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1.xml" ContentType="application/vnd.openxmlformats-officedocument.drawing+xml"/>
  <Override PartName="/xl/customProperty10.bin" ContentType="application/vnd.openxmlformats-officedocument.spreadsheetml.customProperty"/>
  <Override PartName="/xl/drawings/drawing2.xml" ContentType="application/vnd.openxmlformats-officedocument.drawing+xml"/>
  <Override PartName="/xl/customProperty11.bin" ContentType="application/vnd.openxmlformats-officedocument.spreadsheetml.customProperty"/>
  <Override PartName="/xl/drawings/drawing3.xml" ContentType="application/vnd.openxmlformats-officedocument.drawing+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Tariffs\1. Open Advices\2023-10 Electric Schedule 120 - Electricity Conservation Service Rider (UE-23XXXX) (Eff. 05-01-23)\Workpapers\"/>
    </mc:Choice>
  </mc:AlternateContent>
  <bookViews>
    <workbookView xWindow="360" yWindow="380" windowWidth="18540" windowHeight="6530" tabRatio="798"/>
  </bookViews>
  <sheets>
    <sheet name="Read First" sheetId="113" r:id="rId1"/>
    <sheet name="CurYr (CY) vs. PriorYr (PY) ==&gt;" sheetId="104" r:id="rId2"/>
    <sheet name="Summary" sheetId="100" r:id="rId3"/>
    <sheet name="PY True-up " sheetId="109" r:id="rId4"/>
    <sheet name="Info to Calc CY ==&gt;" sheetId="105" r:id="rId5"/>
    <sheet name="CY Rev Req ==&gt;" sheetId="107" r:id="rId6"/>
    <sheet name="CY Rev Req Non-449" sheetId="98" r:id="rId7"/>
    <sheet name="CY Rev Remove 449" sheetId="96" r:id="rId8"/>
    <sheet name="2023 Budget " sheetId="122" r:id="rId9"/>
    <sheet name="2022 Budget UE-210822" sheetId="124" r:id="rId10"/>
    <sheet name="CY Conv Fctr " sheetId="85" r:id="rId11"/>
    <sheet name="Calculate CY True-Up ==&gt;" sheetId="106" r:id="rId12"/>
    <sheet name="CY True-Up" sheetId="95" r:id="rId13"/>
    <sheet name="21-22 Load True-Up ==&gt;" sheetId="108" r:id="rId14"/>
    <sheet name="PY Rev Req Non-449 (UE-220137)" sheetId="97" r:id="rId15"/>
    <sheet name="2022 Collections" sheetId="89" r:id="rId16"/>
    <sheet name="AC 1820621" sheetId="84" r:id="rId17"/>
    <sheet name="PY COS" sheetId="118" r:id="rId18"/>
    <sheet name="F2022 Load Forecast" sheetId="76" r:id="rId19"/>
    <sheet name="258 Cons Tbl 20-21" sheetId="114" r:id="rId20"/>
    <sheet name="21-22 Spend Variance ==&gt;" sheetId="110" r:id="rId21"/>
    <sheet name="PY Actual Program Costs" sheetId="86" r:id="rId22"/>
    <sheet name="True-up Est in PY Filing ==&gt;" sheetId="111" r:id="rId23"/>
    <sheet name="PY Est - Actual v Est" sheetId="91" r:id="rId24"/>
    <sheet name="Estimate Used in PY Filing" sheetId="88" r:id="rId25"/>
    <sheet name="Act Sch 120 Collctns Feb-Apr 22" sheetId="119" r:id="rId26"/>
  </sheets>
  <externalReferences>
    <externalReference r:id="rId27"/>
    <externalReference r:id="rId28"/>
    <externalReference r:id="rId29"/>
  </externalReferences>
  <definedNames>
    <definedName name="__________________six6" localSheetId="9" hidden="1">{#N/A,#N/A,FALSE,"CRPT";#N/A,#N/A,FALSE,"TREND";#N/A,#N/A,FALSE,"%Curve"}</definedName>
    <definedName name="__________________six6" hidden="1">{#N/A,#N/A,FALSE,"CRPT";#N/A,#N/A,FALSE,"TREND";#N/A,#N/A,FALSE,"%Curve"}</definedName>
    <definedName name="__________________www1" localSheetId="9" hidden="1">{#N/A,#N/A,FALSE,"schA"}</definedName>
    <definedName name="__________________www1" hidden="1">{#N/A,#N/A,FALSE,"schA"}</definedName>
    <definedName name="_________________six6" localSheetId="9" hidden="1">{#N/A,#N/A,FALSE,"CRPT";#N/A,#N/A,FALSE,"TREND";#N/A,#N/A,FALSE,"%Curve"}</definedName>
    <definedName name="_________________six6" hidden="1">{#N/A,#N/A,FALSE,"CRPT";#N/A,#N/A,FALSE,"TREND";#N/A,#N/A,FALSE,"%Curve"}</definedName>
    <definedName name="_________________www1" localSheetId="9" hidden="1">{#N/A,#N/A,FALSE,"schA"}</definedName>
    <definedName name="_________________www1" hidden="1">{#N/A,#N/A,FALSE,"schA"}</definedName>
    <definedName name="________________six6" localSheetId="9" hidden="1">{#N/A,#N/A,FALSE,"CRPT";#N/A,#N/A,FALSE,"TREND";#N/A,#N/A,FALSE,"%Curve"}</definedName>
    <definedName name="________________six6" hidden="1">{#N/A,#N/A,FALSE,"CRPT";#N/A,#N/A,FALSE,"TREND";#N/A,#N/A,FALSE,"%Curve"}</definedName>
    <definedName name="________________www1" localSheetId="9" hidden="1">{#N/A,#N/A,FALSE,"schA"}</definedName>
    <definedName name="________________www1" hidden="1">{#N/A,#N/A,FALSE,"schA"}</definedName>
    <definedName name="_______________six6" localSheetId="9" hidden="1">{#N/A,#N/A,FALSE,"CRPT";#N/A,#N/A,FALSE,"TREND";#N/A,#N/A,FALSE,"%Curve"}</definedName>
    <definedName name="_______________six6" hidden="1">{#N/A,#N/A,FALSE,"CRPT";#N/A,#N/A,FALSE,"TREND";#N/A,#N/A,FALSE,"%Curve"}</definedName>
    <definedName name="_______________www1" localSheetId="9" hidden="1">{#N/A,#N/A,FALSE,"schA"}</definedName>
    <definedName name="_______________www1" hidden="1">{#N/A,#N/A,FALSE,"schA"}</definedName>
    <definedName name="______________six6" localSheetId="9" hidden="1">{#N/A,#N/A,FALSE,"CRPT";#N/A,#N/A,FALSE,"TREND";#N/A,#N/A,FALSE,"%Curve"}</definedName>
    <definedName name="______________six6" hidden="1">{#N/A,#N/A,FALSE,"CRPT";#N/A,#N/A,FALSE,"TREND";#N/A,#N/A,FALSE,"%Curve"}</definedName>
    <definedName name="______________www1" localSheetId="9" hidden="1">{#N/A,#N/A,FALSE,"schA"}</definedName>
    <definedName name="______________www1" hidden="1">{#N/A,#N/A,FALSE,"schA"}</definedName>
    <definedName name="_____________six6" localSheetId="9" hidden="1">{#N/A,#N/A,FALSE,"CRPT";#N/A,#N/A,FALSE,"TREND";#N/A,#N/A,FALSE,"%Curve"}</definedName>
    <definedName name="_____________six6" hidden="1">{#N/A,#N/A,FALSE,"CRPT";#N/A,#N/A,FALSE,"TREND";#N/A,#N/A,FALSE,"%Curve"}</definedName>
    <definedName name="_____________www1" localSheetId="9" hidden="1">{#N/A,#N/A,FALSE,"schA"}</definedName>
    <definedName name="_____________www1" hidden="1">{#N/A,#N/A,FALSE,"schA"}</definedName>
    <definedName name="____________six6" localSheetId="9" hidden="1">{#N/A,#N/A,FALSE,"CRPT";#N/A,#N/A,FALSE,"TREND";#N/A,#N/A,FALSE,"%Curve"}</definedName>
    <definedName name="____________six6" hidden="1">{#N/A,#N/A,FALSE,"CRPT";#N/A,#N/A,FALSE,"TREND";#N/A,#N/A,FALSE,"%Curve"}</definedName>
    <definedName name="____________www1" localSheetId="9" hidden="1">{#N/A,#N/A,FALSE,"schA"}</definedName>
    <definedName name="____________www1" hidden="1">{#N/A,#N/A,FALSE,"schA"}</definedName>
    <definedName name="___________six6" localSheetId="9" hidden="1">{#N/A,#N/A,FALSE,"CRPT";#N/A,#N/A,FALSE,"TREND";#N/A,#N/A,FALSE,"%Curve"}</definedName>
    <definedName name="___________six6" hidden="1">{#N/A,#N/A,FALSE,"CRPT";#N/A,#N/A,FALSE,"TREND";#N/A,#N/A,FALSE,"%Curve"}</definedName>
    <definedName name="___________www1" localSheetId="9" hidden="1">{#N/A,#N/A,FALSE,"schA"}</definedName>
    <definedName name="___________www1" hidden="1">{#N/A,#N/A,FALSE,"schA"}</definedName>
    <definedName name="__________six6" localSheetId="9" hidden="1">{#N/A,#N/A,FALSE,"CRPT";#N/A,#N/A,FALSE,"TREND";#N/A,#N/A,FALSE,"%Curve"}</definedName>
    <definedName name="__________six6" hidden="1">{#N/A,#N/A,FALSE,"CRPT";#N/A,#N/A,FALSE,"TREND";#N/A,#N/A,FALSE,"%Curve"}</definedName>
    <definedName name="__________www1" localSheetId="9" hidden="1">{#N/A,#N/A,FALSE,"schA"}</definedName>
    <definedName name="__________www1" hidden="1">{#N/A,#N/A,FALSE,"schA"}</definedName>
    <definedName name="_________six6" localSheetId="9" hidden="1">{#N/A,#N/A,FALSE,"CRPT";#N/A,#N/A,FALSE,"TREND";#N/A,#N/A,FALSE,"%Curve"}</definedName>
    <definedName name="_________six6" hidden="1">{#N/A,#N/A,FALSE,"CRPT";#N/A,#N/A,FALSE,"TREND";#N/A,#N/A,FALSE,"%Curve"}</definedName>
    <definedName name="_________www1" localSheetId="9" hidden="1">{#N/A,#N/A,FALSE,"schA"}</definedName>
    <definedName name="_________www1" hidden="1">{#N/A,#N/A,FALSE,"schA"}</definedName>
    <definedName name="________six6" localSheetId="9" hidden="1">{#N/A,#N/A,FALSE,"CRPT";#N/A,#N/A,FALSE,"TREND";#N/A,#N/A,FALSE,"%Curve"}</definedName>
    <definedName name="________six6" hidden="1">{#N/A,#N/A,FALSE,"CRPT";#N/A,#N/A,FALSE,"TREND";#N/A,#N/A,FALSE,"%Curve"}</definedName>
    <definedName name="________www1" localSheetId="9" hidden="1">{#N/A,#N/A,FALSE,"schA"}</definedName>
    <definedName name="________www1" hidden="1">{#N/A,#N/A,FALSE,"schA"}</definedName>
    <definedName name="_______six6" localSheetId="9" hidden="1">{#N/A,#N/A,FALSE,"CRPT";#N/A,#N/A,FALSE,"TREND";#N/A,#N/A,FALSE,"%Curve"}</definedName>
    <definedName name="_______six6" hidden="1">{#N/A,#N/A,FALSE,"CRPT";#N/A,#N/A,FALSE,"TREND";#N/A,#N/A,FALSE,"%Curve"}</definedName>
    <definedName name="_______www1" localSheetId="9" hidden="1">{#N/A,#N/A,FALSE,"schA"}</definedName>
    <definedName name="_______www1" hidden="1">{#N/A,#N/A,FALSE,"schA"}</definedName>
    <definedName name="______six6" localSheetId="9" hidden="1">{#N/A,#N/A,FALSE,"CRPT";#N/A,#N/A,FALSE,"TREND";#N/A,#N/A,FALSE,"%Curve"}</definedName>
    <definedName name="______six6" hidden="1">{#N/A,#N/A,FALSE,"CRPT";#N/A,#N/A,FALSE,"TREND";#N/A,#N/A,FALSE,"%Curve"}</definedName>
    <definedName name="______www1" localSheetId="9" hidden="1">{#N/A,#N/A,FALSE,"schA"}</definedName>
    <definedName name="______www1" hidden="1">{#N/A,#N/A,FALSE,"schA"}</definedName>
    <definedName name="_____six6" localSheetId="9" hidden="1">{#N/A,#N/A,FALSE,"CRPT";#N/A,#N/A,FALSE,"TREND";#N/A,#N/A,FALSE,"%Curve"}</definedName>
    <definedName name="_____six6" hidden="1">{#N/A,#N/A,FALSE,"CRPT";#N/A,#N/A,FALSE,"TREND";#N/A,#N/A,FALSE,"%Curve"}</definedName>
    <definedName name="_____www1" localSheetId="9" hidden="1">{#N/A,#N/A,FALSE,"schA"}</definedName>
    <definedName name="_____www1" hidden="1">{#N/A,#N/A,FALSE,"schA"}</definedName>
    <definedName name="____six6" localSheetId="9" hidden="1">{#N/A,#N/A,FALSE,"CRPT";#N/A,#N/A,FALSE,"TREND";#N/A,#N/A,FALSE,"%Curve"}</definedName>
    <definedName name="____six6" hidden="1">{#N/A,#N/A,FALSE,"CRPT";#N/A,#N/A,FALSE,"TREND";#N/A,#N/A,FALSE,"%Curve"}</definedName>
    <definedName name="____www1" localSheetId="9" hidden="1">{#N/A,#N/A,FALSE,"schA"}</definedName>
    <definedName name="____www1" hidden="1">{#N/A,#N/A,FALSE,"schA"}</definedName>
    <definedName name="___six6" localSheetId="9" hidden="1">{#N/A,#N/A,FALSE,"CRPT";#N/A,#N/A,FALSE,"TREND";#N/A,#N/A,FALSE,"%Curve"}</definedName>
    <definedName name="___six6" hidden="1">{#N/A,#N/A,FALSE,"CRPT";#N/A,#N/A,FALSE,"TREND";#N/A,#N/A,FALSE,"%Curve"}</definedName>
    <definedName name="___www1" localSheetId="9" hidden="1">{#N/A,#N/A,FALSE,"schA"}</definedName>
    <definedName name="___www1" hidden="1">{#N/A,#N/A,FALSE,"schA"}</definedName>
    <definedName name="__123Graph_A" hidden="1">[1]Inputs!#REF!</definedName>
    <definedName name="__123Graph_B" hidden="1">[1]Inputs!#REF!</definedName>
    <definedName name="__123Graph_D" hidden="1">#REF!</definedName>
    <definedName name="__123Graph_ECURRENT" hidden="1">[2]ConsolidatingPL!#REF!</definedName>
    <definedName name="__six6" localSheetId="9" hidden="1">{#N/A,#N/A,FALSE,"CRPT";#N/A,#N/A,FALSE,"TREND";#N/A,#N/A,FALSE,"%Curve"}</definedName>
    <definedName name="__six6" hidden="1">{#N/A,#N/A,FALSE,"CRPT";#N/A,#N/A,FALSE,"TREND";#N/A,#N/A,FALSE,"%Curve"}</definedName>
    <definedName name="__www1" localSheetId="9" hidden="1">{#N/A,#N/A,FALSE,"schA"}</definedName>
    <definedName name="__www1" hidden="1">{#N/A,#N/A,FALSE,"schA"}</definedName>
    <definedName name="_ex1" localSheetId="9" hidden="1">{#N/A,#N/A,FALSE,"Summ";#N/A,#N/A,FALSE,"General"}</definedName>
    <definedName name="_ex1" hidden="1">{#N/A,#N/A,FALSE,"Summ";#N/A,#N/A,FALSE,"General"}</definedName>
    <definedName name="_Fill" hidden="1">#REF!</definedName>
    <definedName name="_Key1" hidden="1">#REF!</definedName>
    <definedName name="_Key2" hidden="1">#REF!</definedName>
    <definedName name="_new1" localSheetId="9" hidden="1">{#N/A,#N/A,FALSE,"Summ";#N/A,#N/A,FALSE,"General"}</definedName>
    <definedName name="_new1" hidden="1">{#N/A,#N/A,FALSE,"Summ";#N/A,#N/A,FALSE,"General"}</definedName>
    <definedName name="_Order1" hidden="1">255</definedName>
    <definedName name="_Order2" hidden="1">255</definedName>
    <definedName name="_six6" localSheetId="9" hidden="1">{#N/A,#N/A,FALSE,"CRPT";#N/A,#N/A,FALSE,"TREND";#N/A,#N/A,FALSE,"%Curve"}</definedName>
    <definedName name="_six6" hidden="1">{#N/A,#N/A,FALSE,"CRPT";#N/A,#N/A,FALSE,"TREND";#N/A,#N/A,FALSE,"%Curve"}</definedName>
    <definedName name="_Sort" hidden="1">#REF!</definedName>
    <definedName name="_www1" localSheetId="9" hidden="1">{#N/A,#N/A,FALSE,"schA"}</definedName>
    <definedName name="_www1" hidden="1">{#N/A,#N/A,FALSE,"schA"}</definedName>
    <definedName name="a" localSheetId="9" hidden="1">{#N/A,#N/A,FALSE,"Coversheet";#N/A,#N/A,FALSE,"QA"}</definedName>
    <definedName name="a" hidden="1">{#N/A,#N/A,FALSE,"Coversheet";#N/A,#N/A,FALSE,"QA"}</definedName>
    <definedName name="AAAAAAAAAAAAAA" localSheetId="9" hidden="1">{#N/A,#N/A,FALSE,"Coversheet";#N/A,#N/A,FALSE,"QA"}</definedName>
    <definedName name="AAAAAAAAAAAAAA" hidden="1">{#N/A,#N/A,FALSE,"Coversheet";#N/A,#N/A,FALSE,"QA"}</definedName>
    <definedName name="AccessDatabase" hidden="1">"I:\COMTREL\FINICLE\TradeSummary.mdb"</definedName>
    <definedName name="AS2DocOpenMode" hidden="1">"AS2DocumentEdit"</definedName>
    <definedName name="b" localSheetId="9" hidden="1">{#N/A,#N/A,FALSE,"Coversheet";#N/A,#N/A,FALSE,"QA"}</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[3]ZZCOOM_M03_Q005!#REF!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[3]ZZCOOM_M03_Q005!#REF!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[3]ZZCOOM_M03_Q005!#REF!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[3]ZZCOOM_M03_Q005!#REF!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[3]ZZCOOM_M03_Q005!#REF!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[3]ZZCOOM_M03_Q005!#REF!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CBWorkbookPriority" hidden="1">-2060790043</definedName>
    <definedName name="DELETE01" localSheetId="9" hidden="1">{#N/A,#N/A,FALSE,"Coversheet";#N/A,#N/A,FALSE,"QA"}</definedName>
    <definedName name="DELETE01" hidden="1">{#N/A,#N/A,FALSE,"Coversheet";#N/A,#N/A,FALSE,"QA"}</definedName>
    <definedName name="DELETE02" localSheetId="9" hidden="1">{#N/A,#N/A,FALSE,"Schedule F";#N/A,#N/A,FALSE,"Schedule G"}</definedName>
    <definedName name="DELETE02" hidden="1">{#N/A,#N/A,FALSE,"Schedule F";#N/A,#N/A,FALSE,"Schedule G"}</definedName>
    <definedName name="Delete06" localSheetId="9" hidden="1">{#N/A,#N/A,FALSE,"Coversheet";#N/A,#N/A,FALSE,"QA"}</definedName>
    <definedName name="Delete06" hidden="1">{#N/A,#N/A,FALSE,"Coversheet";#N/A,#N/A,FALSE,"QA"}</definedName>
    <definedName name="Delete09" localSheetId="9" hidden="1">{#N/A,#N/A,FALSE,"Coversheet";#N/A,#N/A,FALSE,"QA"}</definedName>
    <definedName name="Delete09" hidden="1">{#N/A,#N/A,FALSE,"Coversheet";#N/A,#N/A,FALSE,"QA"}</definedName>
    <definedName name="Delete1" localSheetId="9" hidden="1">{#N/A,#N/A,FALSE,"Coversheet";#N/A,#N/A,FALSE,"QA"}</definedName>
    <definedName name="Delete1" hidden="1">{#N/A,#N/A,FALSE,"Coversheet";#N/A,#N/A,FALSE,"QA"}</definedName>
    <definedName name="Delete10" localSheetId="9" hidden="1">{#N/A,#N/A,FALSE,"Schedule F";#N/A,#N/A,FALSE,"Schedule G"}</definedName>
    <definedName name="Delete10" hidden="1">{#N/A,#N/A,FALSE,"Schedule F";#N/A,#N/A,FALSE,"Schedule G"}</definedName>
    <definedName name="Delete21" localSheetId="9" hidden="1">{#N/A,#N/A,FALSE,"Coversheet";#N/A,#N/A,FALSE,"QA"}</definedName>
    <definedName name="Delete21" hidden="1">{#N/A,#N/A,FALSE,"Coversheet";#N/A,#N/A,FALSE,"QA"}</definedName>
    <definedName name="DFIT" localSheetId="9" hidden="1">{#N/A,#N/A,FALSE,"Coversheet";#N/A,#N/A,FALSE,"QA"}</definedName>
    <definedName name="DFIT" hidden="1">{#N/A,#N/A,FALSE,"Coversheet";#N/A,#N/A,FALSE,"QA"}</definedName>
    <definedName name="DUDE" hidden="1">#REF!</definedName>
    <definedName name="ee" localSheetId="9" hidden="1">{#N/A,#N/A,FALSE,"Month ";#N/A,#N/A,FALSE,"YTD";#N/A,#N/A,FALSE,"12 mo ended"}</definedName>
    <definedName name="ee" hidden="1">{#N/A,#N/A,FALSE,"Month ";#N/A,#N/A,FALSE,"YTD";#N/A,#N/A,FALSE,"12 mo ended"}</definedName>
    <definedName name="error" localSheetId="9" hidden="1">{#N/A,#N/A,FALSE,"Coversheet";#N/A,#N/A,FALSE,"QA"}</definedName>
    <definedName name="error" hidden="1">{#N/A,#N/A,FALSE,"Coversheet";#N/A,#N/A,FALSE,"QA"}</definedName>
    <definedName name="Estimate" localSheetId="9" hidden="1">{#N/A,#N/A,FALSE,"Summ";#N/A,#N/A,FALSE,"General"}</definedName>
    <definedName name="Estimate" hidden="1">{#N/A,#N/A,FALSE,"Summ";#N/A,#N/A,FALSE,"General"}</definedName>
    <definedName name="ex" localSheetId="9" hidden="1">{#N/A,#N/A,FALSE,"Summ";#N/A,#N/A,FALSE,"General"}</definedName>
    <definedName name="ex" hidden="1">{#N/A,#N/A,FALSE,"Summ";#N/A,#N/A,FALSE,"General"}</definedName>
    <definedName name="F" hidden="1">#REF!</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9" hidden="1">{#N/A,#N/A,FALSE,"Month ";#N/A,#N/A,FALSE,"YTD";#N/A,#N/A,FALSE,"12 mo ended"}</definedName>
    <definedName name="fdsafdasfdsa" hidden="1">{#N/A,#N/A,FALSE,"Month ";#N/A,#N/A,FALSE,"YTD";#N/A,#N/A,FALSE,"12 mo ended"}</definedName>
    <definedName name="ffff" localSheetId="9" hidden="1">{#N/A,#N/A,FALSE,"Coversheet";#N/A,#N/A,FALSE,"QA"}</definedName>
    <definedName name="ffff" hidden="1">{#N/A,#N/A,FALSE,"Coversheet";#N/A,#N/A,FALSE,"QA"}</definedName>
    <definedName name="fffgf" localSheetId="9" hidden="1">{#N/A,#N/A,FALSE,"Coversheet";#N/A,#N/A,FALSE,"QA"}</definedName>
    <definedName name="fffgf" hidden="1">{#N/A,#N/A,FALSE,"Coversheet";#N/A,#N/A,FALSE,"QA"}</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9" hidden="1">{#N/A,#N/A,FALSE,"Coversheet";#N/A,#N/A,FALSE,"QA"}</definedName>
    <definedName name="HELP" hidden="1">{#N/A,#N/A,FALSE,"Coversheet";#N/A,#N/A,FALSE,"QA"}</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9" hidden="1">{#N/A,#N/A,FALSE,"Summ";#N/A,#N/A,FALSE,"General"}</definedName>
    <definedName name="jfkljsdkljiejgr" hidden="1">{#N/A,#N/A,FALSE,"Summ";#N/A,#N/A,FALSE,"General"}</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9" hidden="1">{#N/A,#N/A,FALSE,"Coversheet";#N/A,#N/A,FALSE,"QA"}</definedName>
    <definedName name="lookup" hidden="1">{#N/A,#N/A,FALSE,"Coversheet";#N/A,#N/A,FALSE,"QA"}</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new" localSheetId="9" hidden="1">{#N/A,#N/A,FALSE,"Summ";#N/A,#N/A,FALSE,"General"}</definedName>
    <definedName name="new" hidden="1">{#N/A,#N/A,FALSE,"Summ";#N/A,#N/A,FALSE,"General"}</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 localSheetId="9" hidden="1">{#N/A,#N/A,FALSE,"Coversheet";#N/A,#N/A,FALSE,"QA"}</definedName>
    <definedName name="q" hidden="1">{#N/A,#N/A,FALSE,"Coversheet";#N/A,#N/A,FALSE,"QA"}</definedName>
    <definedName name="qqq" localSheetId="9" hidden="1">{#N/A,#N/A,FALSE,"schA"}</definedName>
    <definedName name="qqq" hidden="1">{#N/A,#N/A,FALSE,"schA"}</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SAPBEXhrIndnt" hidden="1">"Wide"</definedName>
    <definedName name="SAPsysID" hidden="1">"708C5W7SBKP804JT78WJ0JNKI"</definedName>
    <definedName name="SAPwbID" hidden="1">"ARS"</definedName>
    <definedName name="sdlfhsdlhfkl" localSheetId="9" hidden="1">{#N/A,#N/A,FALSE,"Summ";#N/A,#N/A,FALSE,"General"}</definedName>
    <definedName name="sdlfhsdlhfkl" hidden="1">{#N/A,#N/A,FALSE,"Summ";#N/A,#N/A,FALSE,"General"}</definedName>
    <definedName name="seven" localSheetId="9" hidden="1">{#N/A,#N/A,FALSE,"CRPT";#N/A,#N/A,FALSE,"TREND";#N/A,#N/A,FALSE,"%Curve"}</definedName>
    <definedName name="seven" hidden="1">{#N/A,#N/A,FALSE,"CRPT";#N/A,#N/A,FALSE,"TREND";#N/A,#N/A,FALSE,"%Curve"}</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t" localSheetId="9" hidden="1">{#N/A,#N/A,FALSE,"CESTSUM";#N/A,#N/A,FALSE,"est sum A";#N/A,#N/A,FALSE,"est detail A"}</definedName>
    <definedName name="t" hidden="1">{#N/A,#N/A,FALSE,"CESTSUM";#N/A,#N/A,FALSE,"est sum A";#N/A,#N/A,FALSE,"est detail A"}</definedName>
    <definedName name="tem" localSheetId="9" hidden="1">{#N/A,#N/A,FALSE,"Summ";#N/A,#N/A,FALSE,"General"}</definedName>
    <definedName name="tem" hidden="1">{#N/A,#N/A,FALSE,"Summ";#N/A,#N/A,FALSE,"General"}</definedName>
    <definedName name="TEMP" localSheetId="9" hidden="1">{#N/A,#N/A,FALSE,"Summ";#N/A,#N/A,FALSE,"General"}</definedName>
    <definedName name="TEMP" hidden="1">{#N/A,#N/A,FALSE,"Summ";#N/A,#N/A,FALSE,"General"}</definedName>
    <definedName name="Temp1" localSheetId="9" hidden="1">{#N/A,#N/A,FALSE,"CESTSUM";#N/A,#N/A,FALSE,"est sum A";#N/A,#N/A,FALSE,"est detail A"}</definedName>
    <definedName name="Temp1"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9" hidden="1">{#N/A,#N/A,FALSE,"Summ";#N/A,#N/A,FALSE,"General"}</definedName>
    <definedName name="u" hidden="1">{#N/A,#N/A,FALSE,"Summ";#N/A,#N/A,FALSE,"General"}</definedName>
    <definedName name="v" localSheetId="9" hidden="1">{#N/A,#N/A,FALSE,"Coversheet";#N/A,#N/A,FALSE,"QA"}</definedName>
    <definedName name="v" hidden="1">{#N/A,#N/A,FALSE,"Coversheet";#N/A,#N/A,FALSE,"QA"}</definedName>
    <definedName name="Value" localSheetId="9" hidden="1">{#N/A,#N/A,FALSE,"Summ";#N/A,#N/A,FALSE,"General"}</definedName>
    <definedName name="Value" hidden="1">{#N/A,#N/A,FALSE,"Summ";#N/A,#N/A,FALSE,"General"}</definedName>
    <definedName name="w" localSheetId="9" hidden="1">{#N/A,#N/A,FALSE,"Schedule F";#N/A,#N/A,FALSE,"Schedule G"}</definedName>
    <definedName name="w" hidden="1">{#N/A,#N/A,FALSE,"Schedule F";#N/A,#N/A,FALSE,"Schedule G"}</definedName>
    <definedName name="we" localSheetId="9" hidden="1">{#N/A,#N/A,FALSE,"Pg 6b CustCount_Gas";#N/A,#N/A,FALSE,"QA";#N/A,#N/A,FALSE,"Report";#N/A,#N/A,FALSE,"forecast"}</definedName>
    <definedName name="we" hidden="1">{#N/A,#N/A,FALSE,"Pg 6b CustCount_Gas";#N/A,#N/A,FALSE,"QA";#N/A,#N/A,FALSE,"Report";#N/A,#N/A,FALSE,"forecast"}</definedName>
    <definedName name="WH" localSheetId="9" hidden="1">{#N/A,#N/A,FALSE,"Coversheet";#N/A,#N/A,FALSE,"QA"}</definedName>
    <definedName name="WH" hidden="1">{#N/A,#N/A,FALSE,"Coversheet";#N/A,#N/A,FALSE,"QA"}</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9" hidden="1">{#N/A,#N/A,FALSE,"CRPT";#N/A,#N/A,FALSE,"TREND";#N/A,#N/A,FALSE,"%Curve"}</definedName>
    <definedName name="wrn.AAI." hidden="1">{#N/A,#N/A,FALSE,"CRPT";#N/A,#N/A,FALSE,"TREND";#N/A,#N/A,FALSE,"%Curve"}</definedName>
    <definedName name="wrn.AAI._.Report." localSheetId="9" hidden="1">{#N/A,#N/A,FALSE,"CRPT";#N/A,#N/A,FALSE,"TREND";#N/A,#N/A,FALSE,"% CURVE"}</definedName>
    <definedName name="wrn.AAI._.Report." hidden="1">{#N/A,#N/A,FALSE,"CRPT";#N/A,#N/A,FALSE,"TREND";#N/A,#N/A,FALSE,"% CURVE"}</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9" hidden="1">{#N/A,#N/A,FALSE,"schA"}</definedName>
    <definedName name="wrn.ECR." hidden="1">{#N/A,#N/A,FALSE,"schA"}</definedName>
    <definedName name="wrn.ESTIMATE." localSheetId="9" hidden="1">{#N/A,#N/A,FALSE,"CESTSUM";#N/A,#N/A,FALSE,"est sum A";#N/A,#N/A,FALSE,"est detail A"}</definedName>
    <definedName name="wrn.ESTIMATE." hidden="1">{#N/A,#N/A,FALSE,"CESTSUM";#N/A,#N/A,FALSE,"est sum A";#N/A,#N/A,FALSE,"est detail A"}</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9" hidden="1">{#N/A,#N/A,FALSE,"Coversheet";#N/A,#N/A,FALSE,"QA"}</definedName>
    <definedName name="wrn.Incentive._.Overhead." hidden="1">{#N/A,#N/A,FALSE,"Coversheet";#N/A,#N/A,FALSE,"QA"}</definedName>
    <definedName name="wrn.limit_reports." localSheetId="9" hidden="1">{#N/A,#N/A,FALSE,"Schedule F";#N/A,#N/A,FALSE,"Schedule G"}</definedName>
    <definedName name="wrn.limit_reports." hidden="1">{#N/A,#N/A,FALSE,"Schedule F";#N/A,#N/A,FALSE,"Schedule G"}</definedName>
    <definedName name="wrn.MARGIN_WO_QTR." localSheetId="9" hidden="1">{#N/A,#N/A,FALSE,"Month ";#N/A,#N/A,FALSE,"YTD";#N/A,#N/A,FALSE,"12 mo ended"}</definedName>
    <definedName name="wrn.MARGIN_WO_QTR." hidden="1">{#N/A,#N/A,FALSE,"Month ";#N/A,#N/A,FALSE,"YTD";#N/A,#N/A,FALSE,"12 mo ended"}</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ject._.Services." localSheetId="9" hidden="1">{#N/A,#N/A,FALSE,"BASE";#N/A,#N/A,FALSE,"LOOPS";#N/A,#N/A,FALSE,"PLC"}</definedName>
    <definedName name="wrn.Project._.Services." hidden="1">{#N/A,#N/A,FALSE,"BASE";#N/A,#N/A,FALSE,"LOOPS";#N/A,#N/A,FALSE,"PLC"}</definedName>
    <definedName name="wrn.SCHEDULE." localSheetId="9" hidden="1">{#N/A,#N/A,FALSE,"7617 Fab";#N/A,#N/A,FALSE,"7617 NSK"}</definedName>
    <definedName name="wrn.SCHEDULE." hidden="1">{#N/A,#N/A,FALSE,"7617 Fab";#N/A,#N/A,FALSE,"7617 NSK"}</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9" hidden="1">{#N/A,#N/A,FALSE,"2002 Small Tool OH";#N/A,#N/A,FALSE,"QA"}</definedName>
    <definedName name="wrn.Small._.Tools._.Overhead." hidden="1">{#N/A,#N/A,FALSE,"2002 Small Tool OH";#N/A,#N/A,FALSE,"QA"}</definedName>
    <definedName name="wrn.Summary." localSheetId="9" hidden="1">{#N/A,#N/A,FALSE,"Summ";#N/A,#N/A,FALSE,"General"}</definedName>
    <definedName name="wrn.Summary." hidden="1">{#N/A,#N/A,FALSE,"Summ";#N/A,#N/A,FALSE,"General"}</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9" hidden="1">{#N/A,#N/A,FALSE,"schA"}</definedName>
    <definedName name="www" hidden="1">{#N/A,#N/A,FALSE,"schA"}</definedName>
    <definedName name="x" localSheetId="9" hidden="1">{#N/A,#N/A,FALSE,"Coversheet";#N/A,#N/A,FALSE,"QA"}</definedName>
    <definedName name="x" hidden="1">{#N/A,#N/A,FALSE,"Coversheet";#N/A,#N/A,FALSE,"QA"}</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9" hidden="1">{#N/A,#N/A,FALSE,"Summ";#N/A,#N/A,FALSE,"General"}</definedName>
    <definedName name="yuf" hidden="1">{#N/A,#N/A,FALSE,"Summ";#N/A,#N/A,FALSE,"General"}</definedName>
    <definedName name="z" localSheetId="9" hidden="1">{#N/A,#N/A,FALSE,"Coversheet";#N/A,#N/A,FALSE,"QA"}</definedName>
    <definedName name="z" hidden="1">{#N/A,#N/A,FALSE,"Coversheet";#N/A,#N/A,FALSE,"QA"}</definedName>
  </definedNames>
  <calcPr calcId="162913" concurrentManualCount="8"/>
</workbook>
</file>

<file path=xl/calcChain.xml><?xml version="1.0" encoding="utf-8"?>
<calcChain xmlns="http://schemas.openxmlformats.org/spreadsheetml/2006/main">
  <c r="N88" i="124" l="1"/>
  <c r="B24" i="89" l="1"/>
  <c r="B17" i="100" l="1"/>
  <c r="B18" i="100"/>
  <c r="B14" i="100"/>
  <c r="I26" i="114" l="1"/>
  <c r="J26" i="114"/>
  <c r="K26" i="114"/>
  <c r="H26" i="114"/>
  <c r="N19" i="114" l="1"/>
  <c r="N20" i="114"/>
  <c r="I25" i="114"/>
  <c r="J25" i="114"/>
  <c r="H25" i="114"/>
  <c r="I35" i="114" l="1"/>
  <c r="D15" i="95" l="1"/>
  <c r="D14" i="95"/>
  <c r="D13" i="95"/>
  <c r="N86" i="124"/>
  <c r="P86" i="124"/>
  <c r="O85" i="124"/>
  <c r="O87" i="124" s="1"/>
  <c r="N85" i="124"/>
  <c r="I88" i="124"/>
  <c r="G88" i="124"/>
  <c r="N80" i="124"/>
  <c r="J76" i="124"/>
  <c r="I76" i="124"/>
  <c r="G76" i="124"/>
  <c r="J75" i="124"/>
  <c r="J74" i="124"/>
  <c r="I69" i="124"/>
  <c r="G69" i="124"/>
  <c r="J69" i="124" s="1"/>
  <c r="J68" i="124"/>
  <c r="J67" i="124"/>
  <c r="J66" i="124"/>
  <c r="J65" i="124"/>
  <c r="J64" i="124"/>
  <c r="I61" i="124"/>
  <c r="G61" i="124"/>
  <c r="J61" i="124" s="1"/>
  <c r="J60" i="124"/>
  <c r="J59" i="124"/>
  <c r="J58" i="124"/>
  <c r="J57" i="124"/>
  <c r="J56" i="124"/>
  <c r="J55" i="124"/>
  <c r="J54" i="124"/>
  <c r="J53" i="124"/>
  <c r="J52" i="124"/>
  <c r="J51" i="124"/>
  <c r="J50" i="124"/>
  <c r="J49" i="124"/>
  <c r="I46" i="124"/>
  <c r="H46" i="124"/>
  <c r="G46" i="124"/>
  <c r="J46" i="124" s="1"/>
  <c r="F46" i="124"/>
  <c r="J45" i="124"/>
  <c r="J44" i="124"/>
  <c r="J43" i="124"/>
  <c r="J42" i="124"/>
  <c r="I39" i="124"/>
  <c r="H39" i="124"/>
  <c r="G39" i="124"/>
  <c r="J39" i="124" s="1"/>
  <c r="F39" i="124"/>
  <c r="J38" i="124"/>
  <c r="J37" i="124"/>
  <c r="I34" i="124"/>
  <c r="H34" i="124"/>
  <c r="G34" i="124"/>
  <c r="J34" i="124" s="1"/>
  <c r="F34" i="124"/>
  <c r="J33" i="124"/>
  <c r="J32" i="124"/>
  <c r="J31" i="124"/>
  <c r="J30" i="124"/>
  <c r="J29" i="124"/>
  <c r="G29" i="124"/>
  <c r="F29" i="124"/>
  <c r="J28" i="124"/>
  <c r="J27" i="124"/>
  <c r="J26" i="124"/>
  <c r="J22" i="124"/>
  <c r="J21" i="124"/>
  <c r="J20" i="124"/>
  <c r="J19" i="124"/>
  <c r="J18" i="124"/>
  <c r="J17" i="124"/>
  <c r="J16" i="124"/>
  <c r="J15" i="124"/>
  <c r="J14" i="124"/>
  <c r="J13" i="124"/>
  <c r="J12" i="124"/>
  <c r="J11" i="124"/>
  <c r="J10" i="124"/>
  <c r="J9" i="124"/>
  <c r="J8" i="124" s="1"/>
  <c r="I8" i="124"/>
  <c r="I23" i="124" s="1"/>
  <c r="H8" i="124"/>
  <c r="H23" i="124" s="1"/>
  <c r="H71" i="124" s="1"/>
  <c r="H80" i="124" s="1"/>
  <c r="G8" i="124"/>
  <c r="G23" i="124" s="1"/>
  <c r="F8" i="124"/>
  <c r="F23" i="124" s="1"/>
  <c r="F71" i="124" s="1"/>
  <c r="F80" i="124" s="1"/>
  <c r="F81" i="124" s="1"/>
  <c r="J7" i="124"/>
  <c r="G77" i="122"/>
  <c r="N80" i="122"/>
  <c r="I77" i="122" l="1"/>
  <c r="N87" i="124"/>
  <c r="P85" i="124"/>
  <c r="P87" i="124" s="1"/>
  <c r="P88" i="124" s="1"/>
  <c r="I87" i="124"/>
  <c r="I71" i="124"/>
  <c r="J23" i="124"/>
  <c r="G87" i="124"/>
  <c r="G71" i="124"/>
  <c r="J77" i="122"/>
  <c r="G83" i="124" l="1"/>
  <c r="G80" i="124"/>
  <c r="J71" i="124"/>
  <c r="I80" i="124"/>
  <c r="I83" i="124"/>
  <c r="J80" i="124" l="1"/>
  <c r="N79" i="124"/>
  <c r="N81" i="124" s="1"/>
  <c r="Q21" i="76" l="1"/>
  <c r="O8" i="76"/>
  <c r="B31" i="76"/>
  <c r="B43" i="76" s="1"/>
  <c r="B55" i="76" s="1"/>
  <c r="A31" i="76"/>
  <c r="A43" i="76" s="1"/>
  <c r="A55" i="76" s="1"/>
  <c r="B30" i="76"/>
  <c r="B42" i="76" s="1"/>
  <c r="B54" i="76" s="1"/>
  <c r="A30" i="76"/>
  <c r="A42" i="76" s="1"/>
  <c r="A54" i="76" s="1"/>
  <c r="B29" i="76"/>
  <c r="B41" i="76" s="1"/>
  <c r="B53" i="76" s="1"/>
  <c r="A29" i="76"/>
  <c r="A41" i="76" s="1"/>
  <c r="A53" i="76" s="1"/>
  <c r="B28" i="76"/>
  <c r="B40" i="76" s="1"/>
  <c r="B52" i="76" s="1"/>
  <c r="A28" i="76"/>
  <c r="A40" i="76" s="1"/>
  <c r="A52" i="76" s="1"/>
  <c r="B27" i="76"/>
  <c r="B39" i="76" s="1"/>
  <c r="B51" i="76" s="1"/>
  <c r="A27" i="76"/>
  <c r="A39" i="76" s="1"/>
  <c r="A51" i="76" s="1"/>
  <c r="B26" i="76"/>
  <c r="B38" i="76" s="1"/>
  <c r="B50" i="76" s="1"/>
  <c r="A26" i="76"/>
  <c r="A38" i="76" s="1"/>
  <c r="A50" i="76" s="1"/>
  <c r="B25" i="76"/>
  <c r="B37" i="76" s="1"/>
  <c r="B49" i="76" s="1"/>
  <c r="A25" i="76"/>
  <c r="A37" i="76" s="1"/>
  <c r="A49" i="76" s="1"/>
  <c r="B24" i="76"/>
  <c r="B36" i="76" s="1"/>
  <c r="B48" i="76" s="1"/>
  <c r="A24" i="76"/>
  <c r="A36" i="76" s="1"/>
  <c r="A48" i="76" s="1"/>
  <c r="B23" i="76"/>
  <c r="B35" i="76" s="1"/>
  <c r="B47" i="76" s="1"/>
  <c r="A23" i="76"/>
  <c r="A35" i="76" s="1"/>
  <c r="A47" i="76" s="1"/>
  <c r="B22" i="76"/>
  <c r="B34" i="76" s="1"/>
  <c r="B46" i="76" s="1"/>
  <c r="A22" i="76"/>
  <c r="A34" i="76" s="1"/>
  <c r="A46" i="76" s="1"/>
  <c r="B21" i="76"/>
  <c r="B33" i="76" s="1"/>
  <c r="B45" i="76" s="1"/>
  <c r="A21" i="76"/>
  <c r="A33" i="76" s="1"/>
  <c r="A45" i="76" s="1"/>
  <c r="B20" i="76"/>
  <c r="B32" i="76" s="1"/>
  <c r="B44" i="76" s="1"/>
  <c r="A20" i="76"/>
  <c r="A32" i="76" s="1"/>
  <c r="A44" i="76" s="1"/>
  <c r="D5" i="86" l="1"/>
  <c r="D9" i="86"/>
  <c r="E83" i="86"/>
  <c r="E82" i="86"/>
  <c r="D28" i="84" l="1"/>
  <c r="E28" i="84" s="1"/>
  <c r="H49" i="118"/>
  <c r="D49" i="118"/>
  <c r="K16" i="85" l="1"/>
  <c r="I14" i="85" l="1"/>
  <c r="K18" i="85"/>
  <c r="K19" i="85" l="1"/>
  <c r="K20" i="85" s="1"/>
  <c r="D8" i="98"/>
  <c r="D22" i="96"/>
  <c r="L27" i="118"/>
  <c r="K27" i="118" s="1"/>
  <c r="G33" i="118"/>
  <c r="A7" i="118"/>
  <c r="A8" i="118" s="1"/>
  <c r="A9" i="118" s="1"/>
  <c r="A10" i="118" s="1"/>
  <c r="A11" i="118" s="1"/>
  <c r="A12" i="118" s="1"/>
  <c r="A13" i="118" s="1"/>
  <c r="A14" i="118" s="1"/>
  <c r="A15" i="118" s="1"/>
  <c r="A16" i="118" s="1"/>
  <c r="A17" i="118" s="1"/>
  <c r="A18" i="118" s="1"/>
  <c r="A19" i="118" s="1"/>
  <c r="A20" i="118" s="1"/>
  <c r="A21" i="118" s="1"/>
  <c r="A22" i="118" s="1"/>
  <c r="A23" i="118" s="1"/>
  <c r="A24" i="118" s="1"/>
  <c r="A25" i="118" s="1"/>
  <c r="A26" i="118" s="1"/>
  <c r="A27" i="118" s="1"/>
  <c r="A28" i="118" s="1"/>
  <c r="A29" i="118" s="1"/>
  <c r="A30" i="118" s="1"/>
  <c r="A31" i="118" s="1"/>
  <c r="A32" i="118" s="1"/>
  <c r="A33" i="118" s="1"/>
  <c r="E33" i="118" l="1"/>
  <c r="N33" i="118"/>
  <c r="D33" i="118"/>
  <c r="D48" i="118" s="1"/>
  <c r="M33" i="118"/>
  <c r="L23" i="118"/>
  <c r="L7" i="118"/>
  <c r="K7" i="118" s="1"/>
  <c r="F33" i="118" l="1"/>
  <c r="K23" i="118"/>
  <c r="R21" i="76" l="1"/>
  <c r="Q23" i="76"/>
  <c r="C8" i="76"/>
  <c r="J22" i="114" l="1"/>
  <c r="I22" i="114"/>
  <c r="H22" i="114"/>
  <c r="N21" i="114" l="1"/>
  <c r="J75" i="122" l="1"/>
  <c r="J74" i="122"/>
  <c r="J68" i="122"/>
  <c r="G69" i="122"/>
  <c r="J64" i="122"/>
  <c r="J60" i="122"/>
  <c r="J59" i="122"/>
  <c r="J58" i="122"/>
  <c r="J56" i="122"/>
  <c r="J52" i="122"/>
  <c r="J51" i="122"/>
  <c r="J50" i="122"/>
  <c r="J45" i="122"/>
  <c r="J44" i="122"/>
  <c r="I46" i="122"/>
  <c r="H46" i="122"/>
  <c r="J42" i="122"/>
  <c r="J38" i="122"/>
  <c r="I39" i="122"/>
  <c r="H39" i="122"/>
  <c r="G39" i="122"/>
  <c r="F39" i="122"/>
  <c r="J33" i="122"/>
  <c r="J32" i="122"/>
  <c r="J31" i="122"/>
  <c r="E11" i="96"/>
  <c r="J28" i="122"/>
  <c r="J26" i="122"/>
  <c r="J17" i="122"/>
  <c r="J16" i="122"/>
  <c r="J15" i="122"/>
  <c r="J14" i="122"/>
  <c r="J13" i="122"/>
  <c r="J12" i="122"/>
  <c r="J67" i="122" l="1"/>
  <c r="G88" i="122"/>
  <c r="J54" i="122"/>
  <c r="J19" i="122"/>
  <c r="J22" i="122"/>
  <c r="I88" i="122"/>
  <c r="J11" i="122"/>
  <c r="J21" i="122"/>
  <c r="J53" i="122"/>
  <c r="J66" i="122"/>
  <c r="H34" i="122"/>
  <c r="J57" i="122"/>
  <c r="J76" i="122"/>
  <c r="G23" i="122"/>
  <c r="I34" i="122"/>
  <c r="H23" i="122"/>
  <c r="J10" i="122"/>
  <c r="I23" i="122"/>
  <c r="J18" i="122"/>
  <c r="J20" i="122"/>
  <c r="F46" i="122"/>
  <c r="I69" i="122"/>
  <c r="J69" i="122" s="1"/>
  <c r="F23" i="122"/>
  <c r="J27" i="122"/>
  <c r="J29" i="122"/>
  <c r="J55" i="122"/>
  <c r="F34" i="122"/>
  <c r="J39" i="122"/>
  <c r="J9" i="122"/>
  <c r="J37" i="122"/>
  <c r="J43" i="122"/>
  <c r="J30" i="122"/>
  <c r="J49" i="122"/>
  <c r="G46" i="122"/>
  <c r="J46" i="122" s="1"/>
  <c r="G61" i="122"/>
  <c r="J65" i="122"/>
  <c r="J7" i="122"/>
  <c r="I61" i="122"/>
  <c r="I80" i="122" l="1"/>
  <c r="I87" i="122"/>
  <c r="H71" i="122"/>
  <c r="H80" i="122" s="1"/>
  <c r="J8" i="122"/>
  <c r="J23" i="122" s="1"/>
  <c r="G34" i="122"/>
  <c r="J34" i="122" s="1"/>
  <c r="F71" i="122"/>
  <c r="F80" i="122" s="1"/>
  <c r="F81" i="122" s="1"/>
  <c r="I71" i="122"/>
  <c r="J61" i="122"/>
  <c r="G87" i="122" l="1"/>
  <c r="G71" i="122"/>
  <c r="I83" i="122"/>
  <c r="G83" i="122" l="1"/>
  <c r="G80" i="122"/>
  <c r="J71" i="122"/>
  <c r="I11" i="84"/>
  <c r="B34" i="88"/>
  <c r="N79" i="122" l="1"/>
  <c r="J80" i="122"/>
  <c r="N81" i="122"/>
  <c r="D11" i="96"/>
  <c r="L31" i="118" l="1"/>
  <c r="K31" i="118" l="1"/>
  <c r="C9" i="76" l="1"/>
  <c r="C10" i="76" l="1"/>
  <c r="C11" i="76" l="1"/>
  <c r="D15" i="114"/>
  <c r="D16" i="114" s="1"/>
  <c r="D54" i="119" l="1"/>
  <c r="D58" i="119" s="1"/>
  <c r="E32" i="88"/>
  <c r="C12" i="76"/>
  <c r="E28" i="88"/>
  <c r="E30" i="88"/>
  <c r="C54" i="119" l="1"/>
  <c r="C58" i="119" s="1"/>
  <c r="C13" i="76"/>
  <c r="C14" i="76" l="1"/>
  <c r="B54" i="119"/>
  <c r="B58" i="119" s="1"/>
  <c r="B26" i="119"/>
  <c r="B16" i="119"/>
  <c r="B20" i="119" s="1"/>
  <c r="B28" i="119" l="1"/>
  <c r="C15" i="76"/>
  <c r="C16" i="76" l="1"/>
  <c r="C17" i="76" l="1"/>
  <c r="C18" i="76" l="1"/>
  <c r="C19" i="76"/>
  <c r="C8" i="119" l="1"/>
  <c r="D8" i="119" s="1"/>
  <c r="C16" i="119" l="1"/>
  <c r="C20" i="119" s="1"/>
  <c r="D16" i="119"/>
  <c r="D20" i="119" s="1"/>
  <c r="C26" i="119"/>
  <c r="D26" i="119"/>
  <c r="C28" i="119" l="1"/>
  <c r="D28" i="119"/>
  <c r="L9" i="118" l="1"/>
  <c r="L10" i="118"/>
  <c r="L11" i="118"/>
  <c r="L12" i="118"/>
  <c r="L16" i="118"/>
  <c r="L17" i="118"/>
  <c r="L18" i="118"/>
  <c r="L22" i="118"/>
  <c r="L25" i="118"/>
  <c r="L29" i="118"/>
  <c r="H33" i="118"/>
  <c r="L33" i="118"/>
  <c r="D50" i="118"/>
  <c r="K33" i="118" l="1"/>
  <c r="I33" i="118"/>
  <c r="H48" i="118"/>
  <c r="F48" i="118" s="1"/>
  <c r="G48" i="118" s="1"/>
  <c r="K10" i="118"/>
  <c r="K16" i="118"/>
  <c r="K25" i="118"/>
  <c r="K18" i="118"/>
  <c r="K12" i="118"/>
  <c r="I24" i="118"/>
  <c r="F49" i="118"/>
  <c r="G49" i="118" s="1"/>
  <c r="K29" i="118"/>
  <c r="K22" i="118"/>
  <c r="K9" i="118"/>
  <c r="K11" i="118"/>
  <c r="K17" i="118"/>
  <c r="H50" i="118" l="1"/>
  <c r="F50" i="118" s="1"/>
  <c r="F52" i="118" s="1"/>
  <c r="B23" i="89" s="1"/>
  <c r="B26" i="89" l="1"/>
  <c r="O55" i="76" l="1"/>
  <c r="O54" i="76"/>
  <c r="O53" i="76"/>
  <c r="O52" i="76"/>
  <c r="O51" i="76"/>
  <c r="O50" i="76"/>
  <c r="O49" i="76"/>
  <c r="O48" i="76"/>
  <c r="O47" i="76"/>
  <c r="O46" i="76"/>
  <c r="O45" i="76"/>
  <c r="O44" i="76"/>
  <c r="O43" i="76"/>
  <c r="O42" i="76"/>
  <c r="O41" i="76"/>
  <c r="O40" i="76"/>
  <c r="O39" i="76"/>
  <c r="O38" i="76"/>
  <c r="O37" i="76"/>
  <c r="O36" i="76"/>
  <c r="O35" i="76"/>
  <c r="O34" i="76"/>
  <c r="O33" i="76"/>
  <c r="O32" i="76"/>
  <c r="O31" i="76"/>
  <c r="O30" i="76"/>
  <c r="O29" i="76"/>
  <c r="O28" i="76"/>
  <c r="O27" i="76"/>
  <c r="O26" i="76"/>
  <c r="O25" i="76"/>
  <c r="O24" i="76"/>
  <c r="O23" i="76"/>
  <c r="O22" i="76"/>
  <c r="O21" i="76"/>
  <c r="O20" i="76"/>
  <c r="O19" i="76"/>
  <c r="O18" i="76"/>
  <c r="O17" i="76"/>
  <c r="O16" i="76"/>
  <c r="O15" i="76"/>
  <c r="O14" i="76"/>
  <c r="O13" i="76"/>
  <c r="O12" i="76"/>
  <c r="O11" i="76"/>
  <c r="O10" i="76"/>
  <c r="O9" i="76"/>
  <c r="C20" i="76" l="1"/>
  <c r="C21" i="76" l="1"/>
  <c r="C22" i="76" l="1"/>
  <c r="C23" i="76" l="1"/>
  <c r="C24" i="76" l="1"/>
  <c r="C25" i="76" l="1"/>
  <c r="C26" i="76" l="1"/>
  <c r="C27" i="76" l="1"/>
  <c r="C28" i="76" l="1"/>
  <c r="C29" i="76" l="1"/>
  <c r="C30" i="76" l="1"/>
  <c r="C31" i="76" l="1"/>
  <c r="C32" i="76" l="1"/>
  <c r="C33" i="76" l="1"/>
  <c r="C34" i="76" l="1"/>
  <c r="C35" i="76" l="1"/>
  <c r="C36" i="76" l="1"/>
  <c r="C37" i="76" l="1"/>
  <c r="C38" i="76" l="1"/>
  <c r="C39" i="76" l="1"/>
  <c r="C40" i="76" l="1"/>
  <c r="C41" i="76" l="1"/>
  <c r="C42" i="76" l="1"/>
  <c r="C43" i="76" l="1"/>
  <c r="C44" i="76" l="1"/>
  <c r="C45" i="76" l="1"/>
  <c r="C46" i="76" l="1"/>
  <c r="C47" i="76" l="1"/>
  <c r="C48" i="76" l="1"/>
  <c r="C49" i="76" l="1"/>
  <c r="C50" i="76" l="1"/>
  <c r="C51" i="76" l="1"/>
  <c r="C52" i="76" l="1"/>
  <c r="C53" i="76" l="1"/>
  <c r="C54" i="76" l="1"/>
  <c r="C55" i="76"/>
  <c r="H34" i="114" l="1"/>
  <c r="E34" i="114"/>
  <c r="D34" i="114"/>
  <c r="C34" i="114"/>
  <c r="J34" i="114"/>
  <c r="I34" i="114"/>
  <c r="C44" i="84"/>
  <c r="B44" i="84"/>
  <c r="D44" i="84"/>
  <c r="C21" i="84"/>
  <c r="D6" i="84"/>
  <c r="D7" i="84"/>
  <c r="D8" i="84"/>
  <c r="D9" i="84"/>
  <c r="D10" i="84"/>
  <c r="D11" i="84"/>
  <c r="D12" i="84"/>
  <c r="D13" i="84"/>
  <c r="D14" i="84"/>
  <c r="D15" i="84"/>
  <c r="D16" i="84"/>
  <c r="D5" i="84"/>
  <c r="E5" i="84" s="1"/>
  <c r="B21" i="84"/>
  <c r="E6" i="84" l="1"/>
  <c r="E7" i="84"/>
  <c r="E8" i="84" s="1"/>
  <c r="E9" i="84" s="1"/>
  <c r="E10" i="84" s="1"/>
  <c r="E11" i="84" s="1"/>
  <c r="E12" i="84" s="1"/>
  <c r="E13" i="84" s="1"/>
  <c r="E14" i="84" s="1"/>
  <c r="E15" i="84" s="1"/>
  <c r="E16" i="84" s="1"/>
  <c r="E17" i="84" s="1"/>
  <c r="D21" i="84"/>
  <c r="H36" i="114"/>
  <c r="I36" i="114"/>
  <c r="H35" i="114"/>
  <c r="J35" i="114"/>
  <c r="J36" i="114"/>
  <c r="C38" i="114"/>
  <c r="E38" i="114"/>
  <c r="D38" i="114"/>
  <c r="J37" i="114"/>
  <c r="I37" i="114"/>
  <c r="H37" i="114"/>
  <c r="L14" i="114"/>
  <c r="H14" i="114"/>
  <c r="D14" i="114"/>
  <c r="N14" i="114"/>
  <c r="J14" i="114"/>
  <c r="F14" i="114"/>
  <c r="M14" i="114"/>
  <c r="I14" i="114"/>
  <c r="E14" i="114"/>
  <c r="B14" i="114"/>
  <c r="K14" i="114"/>
  <c r="G14" i="114"/>
  <c r="C14" i="114"/>
  <c r="E27" i="84" l="1"/>
  <c r="E29" i="84" s="1"/>
  <c r="E30" i="84" s="1"/>
  <c r="E31" i="84" s="1"/>
  <c r="E32" i="84" s="1"/>
  <c r="E33" i="84" s="1"/>
  <c r="E34" i="84" s="1"/>
  <c r="E35" i="84" s="1"/>
  <c r="E36" i="84" s="1"/>
  <c r="E37" i="84" s="1"/>
  <c r="E38" i="84" s="1"/>
  <c r="E39" i="84" s="1"/>
  <c r="H38" i="114"/>
  <c r="K23" i="114"/>
  <c r="K25" i="114" s="1"/>
  <c r="J38" i="114"/>
  <c r="I38" i="114"/>
  <c r="K35" i="114"/>
  <c r="K36" i="114"/>
  <c r="K37" i="114"/>
  <c r="K24" i="114"/>
  <c r="K38" i="114" l="1"/>
  <c r="E14" i="95"/>
  <c r="D4" i="86"/>
  <c r="E84" i="86"/>
  <c r="B18" i="85"/>
  <c r="E15" i="114"/>
  <c r="E16" i="114" s="1"/>
  <c r="C15" i="114"/>
  <c r="C16" i="114" s="1"/>
  <c r="C25" i="114"/>
  <c r="D21" i="89"/>
  <c r="D4" i="89" s="1"/>
  <c r="R23" i="76"/>
  <c r="R22" i="76"/>
  <c r="S21" i="76"/>
  <c r="B19" i="85"/>
  <c r="B20" i="85"/>
  <c r="E16" i="85"/>
  <c r="E18" i="85" s="1"/>
  <c r="B4" i="119" s="1"/>
  <c r="B14" i="85"/>
  <c r="F10" i="109"/>
  <c r="B10" i="100" s="1"/>
  <c r="F13" i="109"/>
  <c r="F14" i="109"/>
  <c r="F23" i="109"/>
  <c r="Q22" i="76"/>
  <c r="I9" i="84"/>
  <c r="I10" i="84" s="1"/>
  <c r="D33" i="88"/>
  <c r="D5" i="88" s="1"/>
  <c r="E21" i="88"/>
  <c r="D4" i="88"/>
  <c r="E10" i="97"/>
  <c r="E8" i="97"/>
  <c r="E15" i="96"/>
  <c r="E20" i="89"/>
  <c r="E19" i="89"/>
  <c r="E14" i="89"/>
  <c r="E15" i="89"/>
  <c r="E16" i="89"/>
  <c r="E17" i="89"/>
  <c r="E18" i="89"/>
  <c r="E13" i="89"/>
  <c r="E9" i="91"/>
  <c r="E8" i="91"/>
  <c r="E7" i="91"/>
  <c r="A9" i="95"/>
  <c r="A10" i="95"/>
  <c r="A11" i="95"/>
  <c r="A12" i="95" s="1"/>
  <c r="A13" i="95" s="1"/>
  <c r="A14" i="95" s="1"/>
  <c r="A15" i="95" s="1"/>
  <c r="A16" i="95" s="1"/>
  <c r="A17" i="95" s="1"/>
  <c r="A18" i="95" s="1"/>
  <c r="A19" i="95" s="1"/>
  <c r="A20" i="95" s="1"/>
  <c r="A21" i="95" s="1"/>
  <c r="A22" i="95" s="1"/>
  <c r="A23" i="95" s="1"/>
  <c r="A24" i="95" s="1"/>
  <c r="A25" i="95" s="1"/>
  <c r="A26" i="95" s="1"/>
  <c r="A27" i="95" s="1"/>
  <c r="I12" i="84" l="1"/>
  <c r="E12" i="89" s="1"/>
  <c r="E21" i="89" s="1"/>
  <c r="C4" i="119"/>
  <c r="B5" i="119"/>
  <c r="I7" i="91" s="1"/>
  <c r="S22" i="76"/>
  <c r="B30" i="89" s="1"/>
  <c r="E30" i="89" s="1"/>
  <c r="B28" i="89"/>
  <c r="E28" i="89" s="1"/>
  <c r="D6" i="88"/>
  <c r="C21" i="88"/>
  <c r="C4" i="88" s="1"/>
  <c r="H9" i="91"/>
  <c r="B9" i="91" s="1"/>
  <c r="F15" i="109"/>
  <c r="F17" i="109" s="1"/>
  <c r="F27" i="109" s="1"/>
  <c r="E12" i="97" s="1"/>
  <c r="C7" i="100" s="1"/>
  <c r="E10" i="91"/>
  <c r="H7" i="91"/>
  <c r="B7" i="91" s="1"/>
  <c r="F14" i="95"/>
  <c r="D6" i="86"/>
  <c r="D10" i="86" s="1"/>
  <c r="E33" i="88"/>
  <c r="E5" i="88" s="1"/>
  <c r="F8" i="91"/>
  <c r="E25" i="114"/>
  <c r="D16" i="95"/>
  <c r="E19" i="85"/>
  <c r="E20" i="85" s="1"/>
  <c r="E22" i="96"/>
  <c r="D25" i="114"/>
  <c r="H8" i="91"/>
  <c r="C12" i="97"/>
  <c r="E4" i="88"/>
  <c r="S23" i="76"/>
  <c r="B32" i="89" s="1"/>
  <c r="E32" i="89" s="1"/>
  <c r="J27" i="114"/>
  <c r="D32" i="89" s="1"/>
  <c r="D4" i="119" l="1"/>
  <c r="D5" i="119" s="1"/>
  <c r="I9" i="91" s="1"/>
  <c r="C5" i="119"/>
  <c r="I8" i="91" s="1"/>
  <c r="C8" i="91" s="1"/>
  <c r="F9" i="91"/>
  <c r="G9" i="91" s="1"/>
  <c r="F7" i="91"/>
  <c r="F10" i="91" s="1"/>
  <c r="H10" i="91"/>
  <c r="C33" i="88"/>
  <c r="C5" i="88" s="1"/>
  <c r="C6" i="88" s="1"/>
  <c r="G8" i="91"/>
  <c r="H27" i="114"/>
  <c r="D28" i="89" s="1"/>
  <c r="E4" i="89"/>
  <c r="C21" i="89"/>
  <c r="C4" i="89" s="1"/>
  <c r="B8" i="91"/>
  <c r="B10" i="91" s="1"/>
  <c r="D10" i="98"/>
  <c r="D11" i="86"/>
  <c r="D13" i="86" s="1"/>
  <c r="E13" i="95"/>
  <c r="I27" i="114"/>
  <c r="D30" i="89" s="1"/>
  <c r="J9" i="91"/>
  <c r="E6" i="88"/>
  <c r="F22" i="96"/>
  <c r="E24" i="96"/>
  <c r="E28" i="96" s="1"/>
  <c r="D10" i="95"/>
  <c r="J7" i="91"/>
  <c r="C9" i="91" l="1"/>
  <c r="D9" i="91" s="1"/>
  <c r="C7" i="91"/>
  <c r="J8" i="91"/>
  <c r="J10" i="91" s="1"/>
  <c r="I10" i="91"/>
  <c r="D7" i="91"/>
  <c r="G7" i="91"/>
  <c r="G10" i="91" s="1"/>
  <c r="C28" i="89"/>
  <c r="D8" i="91"/>
  <c r="D23" i="95"/>
  <c r="D33" i="89"/>
  <c r="D5" i="89" s="1"/>
  <c r="D6" i="89" s="1"/>
  <c r="E15" i="95"/>
  <c r="E16" i="95" s="1"/>
  <c r="F13" i="95"/>
  <c r="F15" i="95" s="1"/>
  <c r="R17" i="113" s="1"/>
  <c r="K27" i="114"/>
  <c r="C10" i="91" l="1"/>
  <c r="E23" i="95" s="1"/>
  <c r="D10" i="91"/>
  <c r="C30" i="89"/>
  <c r="C32" i="89"/>
  <c r="F23" i="95"/>
  <c r="R31" i="113" s="1"/>
  <c r="E33" i="89"/>
  <c r="D24" i="96"/>
  <c r="F11" i="96"/>
  <c r="C8" i="98" s="1"/>
  <c r="B13" i="100" s="1"/>
  <c r="R15" i="113" l="1"/>
  <c r="E5" i="89"/>
  <c r="E6" i="89" s="1"/>
  <c r="C33" i="89"/>
  <c r="F24" i="96"/>
  <c r="C19" i="100"/>
  <c r="R34" i="113" s="1"/>
  <c r="C5" i="89" l="1"/>
  <c r="C6" i="89" s="1"/>
  <c r="E10" i="95" s="1"/>
  <c r="F10" i="95" s="1"/>
  <c r="R6" i="113"/>
  <c r="E8" i="98"/>
  <c r="F17" i="95" l="1"/>
  <c r="F27" i="95" s="1"/>
  <c r="F13" i="96" s="1"/>
  <c r="B9" i="100"/>
  <c r="R28" i="113"/>
  <c r="R14" i="113"/>
  <c r="R4" i="113" s="1"/>
  <c r="C15" i="100"/>
  <c r="R24" i="113" s="1"/>
  <c r="C10" i="98"/>
  <c r="F26" i="96"/>
  <c r="D13" i="96"/>
  <c r="D26" i="96" s="1"/>
  <c r="F15" i="96"/>
  <c r="F28" i="96" l="1"/>
  <c r="C11" i="100"/>
  <c r="E10" i="98"/>
  <c r="C12" i="98"/>
  <c r="D28" i="96"/>
  <c r="D15" i="96"/>
  <c r="R22" i="113" l="1"/>
  <c r="S22" i="113" s="1"/>
  <c r="E12" i="98"/>
  <c r="B21" i="100" s="1"/>
  <c r="C21" i="100" s="1"/>
  <c r="C23" i="100" s="1"/>
  <c r="C25" i="100" s="1"/>
  <c r="C26" i="100" s="1"/>
  <c r="S4" i="113"/>
</calcChain>
</file>

<file path=xl/comments1.xml><?xml version="1.0" encoding="utf-8"?>
<comments xmlns="http://schemas.openxmlformats.org/spreadsheetml/2006/main">
  <authors>
    <author>Pam Rasanen</author>
  </authors>
  <commentList>
    <comment ref="H43" authorId="0" shapeId="0">
      <text>
        <r>
          <rPr>
            <b/>
            <sz val="8"/>
            <color indexed="81"/>
            <rFont val="Tahoma"/>
            <family val="2"/>
          </rPr>
          <t>PSE:</t>
        </r>
        <r>
          <rPr>
            <sz val="8"/>
            <color indexed="81"/>
            <rFont val="Tahoma"/>
            <family val="2"/>
          </rPr>
          <t xml:space="preserve">
Difference due to rounding</t>
        </r>
      </text>
    </comment>
  </commentList>
</comments>
</file>

<file path=xl/sharedStrings.xml><?xml version="1.0" encoding="utf-8"?>
<sst xmlns="http://schemas.openxmlformats.org/spreadsheetml/2006/main" count="790" uniqueCount="534">
  <si>
    <t>Excludes 449 customers participating in Schedule 258 programs</t>
  </si>
  <si>
    <t>(Over) Under</t>
  </si>
  <si>
    <t>Description</t>
  </si>
  <si>
    <t>Expected Non-449</t>
  </si>
  <si>
    <t>Actuals Non-449</t>
  </si>
  <si>
    <t>Collected</t>
  </si>
  <si>
    <t>a</t>
  </si>
  <si>
    <t>b</t>
  </si>
  <si>
    <t>c = b - a</t>
  </si>
  <si>
    <t>Receipts, net of revenue sensitive items</t>
  </si>
  <si>
    <t>Variance between budgeted and actual expenditures:</t>
  </si>
  <si>
    <t>Non-449 Budget set in rates last rate period</t>
  </si>
  <si>
    <t>Total (over) under collection</t>
  </si>
  <si>
    <t xml:space="preserve"> </t>
  </si>
  <si>
    <t>Puget Sound Energy</t>
  </si>
  <si>
    <t>Determination of Proposed Non-449 Conservation Customer Charge</t>
  </si>
  <si>
    <t>Revenue Requirement</t>
  </si>
  <si>
    <t xml:space="preserve">Line No. </t>
  </si>
  <si>
    <t>Total Amount</t>
  </si>
  <si>
    <t>449 Accounts</t>
  </si>
  <si>
    <t>Non-449</t>
  </si>
  <si>
    <t>c = a + b</t>
  </si>
  <si>
    <t>Amounts to be Recovered</t>
  </si>
  <si>
    <t>(Note 2)</t>
  </si>
  <si>
    <t xml:space="preserve"> = 1 + 2 </t>
  </si>
  <si>
    <t>Total Costs to be Recovered (Note 1)</t>
  </si>
  <si>
    <t xml:space="preserve"> = 1 / 4</t>
  </si>
  <si>
    <t xml:space="preserve"> = 2 / 4</t>
  </si>
  <si>
    <t xml:space="preserve"> = 5 + 6</t>
  </si>
  <si>
    <t>Total Revenue Requirement (Note 1)</t>
  </si>
  <si>
    <t>Conservation Customer Charge</t>
  </si>
  <si>
    <t>Conservation Revenue Requirement Excluding 449/459 customers using Schedule 258</t>
  </si>
  <si>
    <t>Amount</t>
  </si>
  <si>
    <t>Conversion Factor</t>
  </si>
  <si>
    <t>Total to be Recovered</t>
  </si>
  <si>
    <t>Source:  Sch 120 Revenue - CIS</t>
  </si>
  <si>
    <t>Electric Cons. Program Charge</t>
  </si>
  <si>
    <t>Data</t>
  </si>
  <si>
    <t>Tariff</t>
  </si>
  <si>
    <t>Grand Total</t>
  </si>
  <si>
    <t>Sch 449/459</t>
  </si>
  <si>
    <t>Sch 120 Rate</t>
  </si>
  <si>
    <t>Values</t>
  </si>
  <si>
    <t>Sum</t>
  </si>
  <si>
    <t>449</t>
  </si>
  <si>
    <t xml:space="preserve">459 </t>
  </si>
  <si>
    <t>PUGET SOUND ENERGY</t>
  </si>
  <si>
    <t/>
  </si>
  <si>
    <t>ACTUAL</t>
  </si>
  <si>
    <t>SALE OF ELECTRICITY - REVENUE</t>
  </si>
  <si>
    <t>Residential</t>
  </si>
  <si>
    <t>Commercial</t>
  </si>
  <si>
    <t>Industrial</t>
  </si>
  <si>
    <t>Public street &amp; hwy lighting</t>
  </si>
  <si>
    <t>Sales for resale firm</t>
  </si>
  <si>
    <t>Total retail sales</t>
  </si>
  <si>
    <t>Transportation (Billed plus Change in Unbilled)</t>
  </si>
  <si>
    <t>Sales to other utilities and marketers</t>
  </si>
  <si>
    <t>Total electric revenues</t>
  </si>
  <si>
    <t>Non-Core Gas Sales</t>
  </si>
  <si>
    <t>Transmission Revenue</t>
  </si>
  <si>
    <t>Decoupling Revenue</t>
  </si>
  <si>
    <t>Other Misc Operating Revenue</t>
  </si>
  <si>
    <t xml:space="preserve">    Other operating revenues</t>
  </si>
  <si>
    <t>Total electric sales</t>
  </si>
  <si>
    <t>SCH. 94 (Res/farm credit) in above</t>
  </si>
  <si>
    <t>SCH. 120 (Cons. Rider rev) in above</t>
  </si>
  <si>
    <t>Low Income Surcharge included in above</t>
  </si>
  <si>
    <t>SCH. 132 (Merger Rate Credit) in above</t>
  </si>
  <si>
    <t>SCH. 140 (Prop Tax in BillEngy) in above</t>
  </si>
  <si>
    <t>SALE OF ELECTRICITY - KWH</t>
  </si>
  <si>
    <t>Non-449/459</t>
  </si>
  <si>
    <t>449/459</t>
  </si>
  <si>
    <t>Total</t>
  </si>
  <si>
    <t>Total Collections</t>
  </si>
  <si>
    <t>Actual Collections net of RSIs (Billed plus Change in Unbilled) 18230621</t>
  </si>
  <si>
    <t>Estimated Collections</t>
  </si>
  <si>
    <t>(Note)</t>
  </si>
  <si>
    <t>(Note) Calculated by using actual or estimated 449 loads multiplied by the Sch 449 Rate currently in effect</t>
  </si>
  <si>
    <t>Period</t>
  </si>
  <si>
    <t>Debit</t>
  </si>
  <si>
    <t>Credit</t>
  </si>
  <si>
    <t>Balance</t>
  </si>
  <si>
    <t>Cumulative balance</t>
  </si>
  <si>
    <t>Balance Carryforward</t>
  </si>
  <si>
    <t>1</t>
  </si>
  <si>
    <t>2</t>
  </si>
  <si>
    <t>3</t>
  </si>
  <si>
    <t>4</t>
  </si>
  <si>
    <t>5</t>
  </si>
  <si>
    <t>6</t>
  </si>
  <si>
    <t>7</t>
  </si>
  <si>
    <t>8</t>
  </si>
  <si>
    <t>9</t>
  </si>
  <si>
    <t>10</t>
  </si>
  <si>
    <t>11</t>
  </si>
  <si>
    <t>12</t>
  </si>
  <si>
    <t>13</t>
  </si>
  <si>
    <t>14</t>
  </si>
  <si>
    <t>15</t>
  </si>
  <si>
    <t>16</t>
  </si>
  <si>
    <t>Load (MWh)</t>
  </si>
  <si>
    <t>Net of Conservation</t>
  </si>
  <si>
    <t>Year</t>
  </si>
  <si>
    <t>Month</t>
  </si>
  <si>
    <t>Date</t>
  </si>
  <si>
    <t>Streetlight</t>
  </si>
  <si>
    <t>Resale</t>
  </si>
  <si>
    <t>Total Delivered</t>
  </si>
  <si>
    <t>Losses</t>
  </si>
  <si>
    <t>Total Load</t>
  </si>
  <si>
    <t>Station Service</t>
  </si>
  <si>
    <t>Station Service Losses</t>
  </si>
  <si>
    <t>Full Load</t>
  </si>
  <si>
    <t>E251</t>
  </si>
  <si>
    <t>Net Metering</t>
  </si>
  <si>
    <t>Energy Efficient Technology Evaluation</t>
  </si>
  <si>
    <t>LINE</t>
  </si>
  <si>
    <t>NO.</t>
  </si>
  <si>
    <t>DESCRIPTION</t>
  </si>
  <si>
    <t>RATE</t>
  </si>
  <si>
    <t>BAD DEBTS</t>
  </si>
  <si>
    <t>ANNUAL FILING FEE</t>
  </si>
  <si>
    <t>SUM OF TAXES OTHER</t>
  </si>
  <si>
    <t>CUSTOMER CLASS</t>
  </si>
  <si>
    <t>SCHEDULE</t>
  </si>
  <si>
    <t>c</t>
  </si>
  <si>
    <t>Sec Gen Svc - Small</t>
  </si>
  <si>
    <t>Sec Gen Svc - Medium</t>
  </si>
  <si>
    <t>Sec Gen Svc - Large</t>
  </si>
  <si>
    <t>Sec Irrigation Svc</t>
  </si>
  <si>
    <t>Secondary Service Total</t>
  </si>
  <si>
    <t>Pri Gen Svc</t>
  </si>
  <si>
    <t>Pri Irrigation Svc</t>
  </si>
  <si>
    <t>Pri Interruptible Svc</t>
  </si>
  <si>
    <t>449 / 459</t>
  </si>
  <si>
    <t>Primary Service Total</t>
  </si>
  <si>
    <t>HV Interruptible Svc</t>
  </si>
  <si>
    <t>HV Gen Svc</t>
  </si>
  <si>
    <t>High Voltage Service Total</t>
  </si>
  <si>
    <t>Lights</t>
  </si>
  <si>
    <t>Actual versus Expected Collections Net of Revenue Sensitive Items</t>
  </si>
  <si>
    <t>Actual</t>
  </si>
  <si>
    <t>Difference</t>
  </si>
  <si>
    <t>E150</t>
  </si>
  <si>
    <t>E254</t>
  </si>
  <si>
    <t>E214</t>
  </si>
  <si>
    <t>E200</t>
  </si>
  <si>
    <t>E218</t>
  </si>
  <si>
    <t>E253</t>
  </si>
  <si>
    <t>E201</t>
  </si>
  <si>
    <t>E250</t>
  </si>
  <si>
    <t>E262</t>
  </si>
  <si>
    <t>E258</t>
  </si>
  <si>
    <t>E270</t>
  </si>
  <si>
    <t>Prior Year Filing</t>
  </si>
  <si>
    <t>Prior Year</t>
  </si>
  <si>
    <t>Load True-up</t>
  </si>
  <si>
    <t>Budget Variance</t>
  </si>
  <si>
    <t>Spending Variance</t>
  </si>
  <si>
    <t>Net Change</t>
  </si>
  <si>
    <t>Current Year</t>
  </si>
  <si>
    <t>Revenue Sensitive Fees and Taxes</t>
  </si>
  <si>
    <r>
      <t>Schedule Nos.</t>
    </r>
    <r>
      <rPr>
        <sz val="12"/>
        <rFont val="Arial"/>
        <family val="2"/>
      </rPr>
      <t xml:space="preserve"> </t>
    </r>
    <r>
      <rPr>
        <sz val="8"/>
        <rFont val="Arial"/>
        <family val="2"/>
      </rPr>
      <t>(Unless otherwise noted, applies to both electric and gas)</t>
    </r>
  </si>
  <si>
    <t>Program Name</t>
  </si>
  <si>
    <t>MWh Savings</t>
  </si>
  <si>
    <t>Electric Rider Budget</t>
  </si>
  <si>
    <t>Therm Savings</t>
  </si>
  <si>
    <t>Residential Energy Management</t>
  </si>
  <si>
    <t>Low Income Weatherization</t>
  </si>
  <si>
    <t>Residential lighting</t>
  </si>
  <si>
    <t>Space heat</t>
  </si>
  <si>
    <t>Water heat</t>
  </si>
  <si>
    <t>Home Energy Assessment</t>
  </si>
  <si>
    <t>Home Appliances</t>
  </si>
  <si>
    <t>i</t>
  </si>
  <si>
    <t>j</t>
  </si>
  <si>
    <t>Weatherization</t>
  </si>
  <si>
    <t xml:space="preserve">Home Energy Reports </t>
  </si>
  <si>
    <t>Total, Residential Programs</t>
  </si>
  <si>
    <t>Business Energy Management</t>
  </si>
  <si>
    <t>Commercial / Industrial Retrofit</t>
  </si>
  <si>
    <t>Commercial/Industrial New Construction</t>
  </si>
  <si>
    <t>261</t>
  </si>
  <si>
    <t>Commercial Rebates</t>
  </si>
  <si>
    <t>Subtotal, Business Programs</t>
  </si>
  <si>
    <t>Subtotal, Pilots</t>
  </si>
  <si>
    <t>Regional Efficiency Programs</t>
  </si>
  <si>
    <t>Generation, Transmission and Distribution</t>
  </si>
  <si>
    <t>Subtotal, Regional Programs</t>
  </si>
  <si>
    <t>Energy Efficiency Portfolio Support</t>
  </si>
  <si>
    <t>Energy Advisors</t>
  </si>
  <si>
    <t>Events</t>
  </si>
  <si>
    <t>Market Integration</t>
  </si>
  <si>
    <t>Automated Benchmarking System</t>
  </si>
  <si>
    <t>Rebates Processing</t>
  </si>
  <si>
    <t>Programs Support</t>
  </si>
  <si>
    <t>Data and Systems Services</t>
  </si>
  <si>
    <t>Energy Efficient Communities</t>
  </si>
  <si>
    <t>Subtotal, Portfolio Support</t>
  </si>
  <si>
    <t>Energy Efficiency Research &amp; Compliance</t>
  </si>
  <si>
    <t>Conservation Supply Curves</t>
  </si>
  <si>
    <t>Strategic Planning</t>
  </si>
  <si>
    <t>Market Research</t>
  </si>
  <si>
    <t>Program Evaluation</t>
  </si>
  <si>
    <t>Biennial Electric Conservation Acquisition Review</t>
  </si>
  <si>
    <t>Verification Team</t>
  </si>
  <si>
    <t>Subtotal, Research &amp; Compliance</t>
  </si>
  <si>
    <t>Blue cells = use for 10% "info-only" calculation:</t>
  </si>
  <si>
    <t>Add up all blue cells and divide by "Total, Efficiency Programs Included in CE Calculations" line.</t>
  </si>
  <si>
    <t>HER program costs excluded from "info-only" calculation because savings will be measured.</t>
  </si>
  <si>
    <t>Gas Rider Budget</t>
  </si>
  <si>
    <t>NEEA Natural Gas Market Transformation</t>
  </si>
  <si>
    <t>Purple cells = use to indicate a reasonable amt. spent on EM&amp;V (condition (6)(c)):</t>
  </si>
  <si>
    <t>EM&amp;V Budget (WAC 480-109-120(1)(b)(vi)(B))</t>
  </si>
  <si>
    <t>4440 - Sch.258 449 High Voltage Program (36%)</t>
  </si>
  <si>
    <t>4440 - Sch.258 Non 449 High Voltage Progrm (64%)</t>
  </si>
  <si>
    <t>Remove 449</t>
  </si>
  <si>
    <t>Total kWh</t>
  </si>
  <si>
    <t>* Note: Sch. 141 Expedited Rate Filing and Sch. 142 Decoupling Riders were included in this report starting in July 2015</t>
  </si>
  <si>
    <t>Text</t>
  </si>
  <si>
    <t>Account 18230621</t>
  </si>
  <si>
    <t>Difference between non-449 actual collections and the</t>
  </si>
  <si>
    <t>(A) From Last Year's Filing's "Collections" tab.</t>
  </si>
  <si>
    <t>Estimate (A)</t>
  </si>
  <si>
    <t>Schedule</t>
  </si>
  <si>
    <t>Electric Programs</t>
  </si>
  <si>
    <t>Orders</t>
  </si>
  <si>
    <r>
      <t xml:space="preserve">
</t>
    </r>
    <r>
      <rPr>
        <b/>
        <sz val="12"/>
        <rFont val="Arial"/>
        <family val="2"/>
      </rPr>
      <t>PSE Conservation Rider 
Savings Goals and Budgets</t>
    </r>
  </si>
  <si>
    <t>Total Rider Budget</t>
  </si>
  <si>
    <r>
      <t xml:space="preserve">(All indented program or activity names are color-coded and comprise the totals of the </t>
    </r>
    <r>
      <rPr>
        <u/>
        <sz val="8"/>
        <rFont val="Arial"/>
        <family val="2"/>
      </rPr>
      <t>above</t>
    </r>
    <r>
      <rPr>
        <sz val="8"/>
        <rFont val="Arial"/>
        <family val="2"/>
      </rPr>
      <t xml:space="preserve"> program or activity grouping.)</t>
    </r>
  </si>
  <si>
    <t>Single Family Existing Subtotal</t>
  </si>
  <si>
    <t>Single Family New Construction</t>
  </si>
  <si>
    <t>Multifamily Retrofit</t>
  </si>
  <si>
    <t>Multifamily New Construction</t>
  </si>
  <si>
    <t>Commercial Strategic Energy Management</t>
  </si>
  <si>
    <t>Large Power User - Self Directed Program Subtotal</t>
  </si>
  <si>
    <t>449 Customers</t>
  </si>
  <si>
    <t>Non-449 Customers</t>
  </si>
  <si>
    <t>Pilots With Uncertain Savings</t>
  </si>
  <si>
    <t>NW Energy Efficiency Alliance (NEEA)</t>
  </si>
  <si>
    <t>E292</t>
  </si>
  <si>
    <t>Total Savings, Efficiency Programs Included in CE Calculations</t>
  </si>
  <si>
    <t>Line No.</t>
  </si>
  <si>
    <t>8/24</t>
  </si>
  <si>
    <t>7A/11/25</t>
  </si>
  <si>
    <t>12/26</t>
  </si>
  <si>
    <t>10/31</t>
  </si>
  <si>
    <t xml:space="preserve">Transportation </t>
  </si>
  <si>
    <t>50-59</t>
  </si>
  <si>
    <t>Causes of the Change in Revenue Requirement from</t>
  </si>
  <si>
    <t>Composition of Expenditures</t>
  </si>
  <si>
    <t>258 Non 449 Expenditures</t>
  </si>
  <si>
    <t>Non-258 Expenditures</t>
  </si>
  <si>
    <t>&lt;== check total - must be $0</t>
  </si>
  <si>
    <t>Remove Transfer</t>
  </si>
  <si>
    <t>Receipts</t>
  </si>
  <si>
    <t>Assignment</t>
  </si>
  <si>
    <t>Year/month</t>
  </si>
  <si>
    <t>Amount in local currency</t>
  </si>
  <si>
    <t>May Net Activity</t>
  </si>
  <si>
    <t>May Receipts</t>
  </si>
  <si>
    <t>Cons Costs NIRB - Conservation Rider Amortization (already net of revenue sensitive items)</t>
  </si>
  <si>
    <t>Estimated Under (Over) Collection from Prior Year for Non-449/459 customers</t>
  </si>
  <si>
    <t>ELECTRIC OPERATING REVENUE &amp; KWH SALES</t>
  </si>
  <si>
    <t>Over (Under)</t>
  </si>
  <si>
    <t>Spent</t>
  </si>
  <si>
    <t>Source:  SAP Download</t>
  </si>
  <si>
    <t>Total including 449</t>
  </si>
  <si>
    <t>2019 Budget excl 449</t>
  </si>
  <si>
    <t>Sch 120 net of Conversion Factor</t>
  </si>
  <si>
    <t>CONVERSION FACTOR</t>
  </si>
  <si>
    <t>February</t>
  </si>
  <si>
    <t>March</t>
  </si>
  <si>
    <t>April</t>
  </si>
  <si>
    <t>For the current rate period that will be ending</t>
  </si>
  <si>
    <t>ii</t>
  </si>
  <si>
    <t>months and consists of two parts:</t>
  </si>
  <si>
    <t>For the estimated collections used in the prior year's filing</t>
  </si>
  <si>
    <t>iii</t>
  </si>
  <si>
    <t>Time Period</t>
  </si>
  <si>
    <t>Location</t>
  </si>
  <si>
    <t>A variance analysis which demonstrates the causes for the change between the</t>
  </si>
  <si>
    <t>non-449 revenue requirement from the prior filing to the current filing.</t>
  </si>
  <si>
    <t>The non-449 conservation revenue requirement which is made up of two categories:</t>
  </si>
  <si>
    <t>Purple tabs contain information that is new in the current year filing</t>
  </si>
  <si>
    <t>Blue tabs are tabs that come directly from the prior year filing</t>
  </si>
  <si>
    <t>Red tabs are tabs that come directly from the ACP/BCP filings</t>
  </si>
  <si>
    <t>Total (does</t>
  </si>
  <si>
    <t>not inc.</t>
  </si>
  <si>
    <t>Transp.)</t>
  </si>
  <si>
    <t>Less</t>
  </si>
  <si>
    <t>Sch 120</t>
  </si>
  <si>
    <t>Related</t>
  </si>
  <si>
    <t>Transportation</t>
  </si>
  <si>
    <t>Check</t>
  </si>
  <si>
    <t>Current (Payable) Receivable</t>
  </si>
  <si>
    <t>Prior (Payable) Receivable</t>
  </si>
  <si>
    <t>Current Budget</t>
  </si>
  <si>
    <t>Prior Budget</t>
  </si>
  <si>
    <t>Current (Under) Over Spending Variance</t>
  </si>
  <si>
    <t>Prior (Under) Over Spending Variance</t>
  </si>
  <si>
    <t>Difference - Current minus Prior</t>
  </si>
  <si>
    <t>Current Year Non-449 Annual Budget</t>
  </si>
  <si>
    <t>Non-449 True-up for the Prior Year which consists of two categories:</t>
  </si>
  <si>
    <t>"Load Variances" which trues-up the Non-449 amount set in rates to be</t>
  </si>
  <si>
    <t>collected and the Non-449 amount actually collected which covers 15</t>
  </si>
  <si>
    <t>the Non-449 budget set in rates last year to the actual Non-449</t>
  </si>
  <si>
    <t>amounts spent</t>
  </si>
  <si>
    <t>Change in Non-449 Budgeted Spending between this year and last year</t>
  </si>
  <si>
    <t>Change in Non-449 True-up between this year and last year</t>
  </si>
  <si>
    <t>Change in Non-449 load variance for current period</t>
  </si>
  <si>
    <t>Change in Non-449 load variance for estimates used in prior filing</t>
  </si>
  <si>
    <t>Change in Non-449 spending variance</t>
  </si>
  <si>
    <t>MSSC</t>
  </si>
  <si>
    <t>Smart Thermostats</t>
  </si>
  <si>
    <t>214 &amp; 217</t>
  </si>
  <si>
    <t>Moderate Income Residences</t>
  </si>
  <si>
    <t>Targeted DSM Pilot</t>
  </si>
  <si>
    <t xml:space="preserve">Trade Ally Memberships </t>
  </si>
  <si>
    <r>
      <t>Trade Ally Network</t>
    </r>
    <r>
      <rPr>
        <i/>
        <sz val="8"/>
        <color theme="1"/>
        <rFont val="Arial"/>
        <family val="2"/>
      </rPr>
      <t xml:space="preserve"> (revenue + cost)</t>
    </r>
  </si>
  <si>
    <t>Customer Digital Services</t>
  </si>
  <si>
    <t>249A, 271</t>
  </si>
  <si>
    <t>Demand Response Pilot</t>
  </si>
  <si>
    <t>SAP Transaction</t>
  </si>
  <si>
    <t>ZRW_ZO12</t>
  </si>
  <si>
    <t xml:space="preserve">(Line bi) Add up the sum of [Data &amp; Systems Services + Program Evaluation + BECAR + Verification] purple cells </t>
  </si>
  <si>
    <t>(Line bh) Add up the sum of [Data &amp; Systems Services + Program Evaluation + BECAR + Verification] purple cells and divide by the [Residential + Business] purple cells.</t>
  </si>
  <si>
    <t>Subtotal, Other Energy Efficiency Programs</t>
  </si>
  <si>
    <t>Other Customer Programs</t>
  </si>
  <si>
    <t xml:space="preserve">Commercial </t>
  </si>
  <si>
    <t>Net of revenue sensitive items</t>
  </si>
  <si>
    <t>Conversion Factor from Last Year's filing</t>
  </si>
  <si>
    <t>Use for Non-449 Revenue Requirement True-Up</t>
  </si>
  <si>
    <t>Total (already does not include firm resale)</t>
  </si>
  <si>
    <t>Check to Total</t>
  </si>
  <si>
    <t>Add:  Sch 258 Collections (Sch 449 &amp; 459)</t>
  </si>
  <si>
    <t>Check Revenue from Table 1</t>
  </si>
  <si>
    <t>h = i + j</t>
  </si>
  <si>
    <t>g = h - e</t>
  </si>
  <si>
    <t>e = d - b</t>
  </si>
  <si>
    <t>d = b + (a * c)</t>
  </si>
  <si>
    <t>Total Class Allocation</t>
  </si>
  <si>
    <t>Rounding Difference</t>
  </si>
  <si>
    <t>Revenue Class Allocations</t>
  </si>
  <si>
    <t>Rate Effects on Revenue without Schedule 120 vs. Revenue with Proposed Schedule 120</t>
  </si>
  <si>
    <t>$ per kWh</t>
  </si>
  <si>
    <t xml:space="preserve">2020/05   </t>
  </si>
  <si>
    <t>Source:  F2020, Delivered kWH</t>
  </si>
  <si>
    <t xml:space="preserve">PUGET SOUND ENERGY </t>
  </si>
  <si>
    <t>ELECTRIC RESULTS OF OPERATIONS</t>
  </si>
  <si>
    <t>As Used in UE-190529 and UG-190530</t>
  </si>
  <si>
    <t xml:space="preserve">Single Family Existing Subtotal  </t>
  </si>
  <si>
    <t>Special Contract</t>
  </si>
  <si>
    <t>SC</t>
  </si>
  <si>
    <t>2021 Conservation Costs (12  Months) - Non-449/459 customers only</t>
  </si>
  <si>
    <t>This file contains conservation two main pieces of information related to Electric Schedule 120 (non-449 customers only).</t>
  </si>
  <si>
    <t>Jan-Dec 2021 vs. Jan-Dec 2020</t>
  </si>
  <si>
    <t>Variance between estimated and actual loads for May through April</t>
  </si>
  <si>
    <t>in the 2021 filing vs. the 2020 filing</t>
  </si>
  <si>
    <t xml:space="preserve">Variance between estimated and actual loads for Feb to Apr from </t>
  </si>
  <si>
    <t>each prior year filing in the 2021 filing vs. the 2020 filing</t>
  </si>
  <si>
    <t>Budget vs. Actual for Jan-Dec 2020 vs. Bdgt to Actual Jan-Dec 2019</t>
  </si>
  <si>
    <t>"Spending Variances" which consists of the difference between</t>
  </si>
  <si>
    <t>All Else</t>
  </si>
  <si>
    <t>Total Budget</t>
  </si>
  <si>
    <t>Summary</t>
  </si>
  <si>
    <t>Converstion Factor From  2019 GRC UE-190529</t>
  </si>
  <si>
    <t>Year 2022</t>
  </si>
  <si>
    <t>BCP 2022</t>
  </si>
  <si>
    <t>Water Use Reducers</t>
  </si>
  <si>
    <t>Midstream HVAC and Water Heat</t>
  </si>
  <si>
    <t>TOTAL SAVINGS AND TOTAL BUDGETS</t>
  </si>
  <si>
    <t>Effective May 2022</t>
  </si>
  <si>
    <t>True up of 2021/2022 Related Revenue Requirement</t>
  </si>
  <si>
    <t>True-Up of Amounts for Current Reporting Period (May 2021 through April 2022 with February through April 2021 re-forecasted)</t>
  </si>
  <si>
    <t>2021 - 2022 True up</t>
  </si>
  <si>
    <t>May 2021 through April 2022 (2/22 - 4/22 forecasted)</t>
  </si>
  <si>
    <t>estimated collections for Feb - Apr 2021 used</t>
  </si>
  <si>
    <t>for 2020/2021 true up in UE-210141</t>
  </si>
  <si>
    <t>2021 budgeted expenditures set in rates versus actual expenditures made - Non-258</t>
  </si>
  <si>
    <t>2021 budgeted expenditures set in rates versus actual expenditures made - 40, 46 and 49 under 258</t>
  </si>
  <si>
    <t>2021 - 2022 True up of Estimated collections</t>
  </si>
  <si>
    <t>Schedule 120 Revenue $</t>
  </si>
  <si>
    <t>Schedule 120 Revenue % to Total Revenue</t>
  </si>
  <si>
    <t>f = e / d</t>
  </si>
  <si>
    <t>Collections - 12ME April 2022</t>
  </si>
  <si>
    <t>May 2021 through January 2022 - Actuals</t>
  </si>
  <si>
    <t>February 2022 through April 2022 - Estimated</t>
  </si>
  <si>
    <t>and most current forecast delivered load (shown below in MWh's) from F2021</t>
  </si>
  <si>
    <t>12 MONTHS ENDED DECEMBER 31, 2018</t>
  </si>
  <si>
    <t>2019 GENERAL RATE CASE</t>
  </si>
  <si>
    <t>Information in this tab is from UE-210822 - file "210822;210823-PSE-BCP-2022-2023-Exh-1-Svgs-Budgets" filed on 10/29/2021.</t>
  </si>
  <si>
    <t>Tab is from UE-220137</t>
  </si>
  <si>
    <t>PUGET SOUND ENERGY-ELECTRIC</t>
  </si>
  <si>
    <t>FOR THE TWELVE MONTHS ENDED JUNE 30, 2021</t>
  </si>
  <si>
    <t>2022 GENERAL RATE CASE</t>
  </si>
  <si>
    <t>CONVERSION FACTOR EXCLUDING FEDERAL INCOME TAX ( 1 - LINE 5)</t>
  </si>
  <si>
    <t>FEDERAL INCOME TAX</t>
  </si>
  <si>
    <t xml:space="preserve">CONVERSION FACTOR INCL FEDERAL INCOME TAX ( LINE 5 + LINE 8 ) </t>
  </si>
  <si>
    <t>UE-220066 UPDATED FOR THE MOST RECENT ANNUAL FILING FEE</t>
  </si>
  <si>
    <t>Effective May 2023</t>
  </si>
  <si>
    <t>2022 Conservation Costs (12  Months) - Non-449/459 customers only</t>
  </si>
  <si>
    <t>2022 TOTAL CONSERVATION REVENUE SERVICE RIDER AS % OF REVENUE</t>
  </si>
  <si>
    <t>Proposed
Schedule 120
Effective
5-1-22</t>
  </si>
  <si>
    <t>REVENUE
(Including 5-1-22
Sch 120 revenue)</t>
  </si>
  <si>
    <t>2022 Class Allocation</t>
  </si>
  <si>
    <t>2021 Under / (Over) Allocation</t>
  </si>
  <si>
    <t>Note 1 - Projected Revenue Includes Base Revenue plus Rider Schedules 95, 95A, 129, 137, 140, 141X, 141Z, 142 &amp; 194</t>
  </si>
  <si>
    <t>Year 2023</t>
  </si>
  <si>
    <t>Sch120 Unbilled-4/2022</t>
  </si>
  <si>
    <t>Transf. 2021 E Conservation Recovery Amt</t>
  </si>
  <si>
    <t>Sch120 Billed-5/2022</t>
  </si>
  <si>
    <t>Sch120 Unbilled-5/2022</t>
  </si>
  <si>
    <t>February 2023 through April 2023 - Estimated</t>
  </si>
  <si>
    <t>May 2022 through January 2023 - Actuals</t>
  </si>
  <si>
    <t>Total 2022 Spending to Include in Calculation of the True Up to Electric Schedule 120</t>
  </si>
  <si>
    <t xml:space="preserve">2022 Electric Actual Spend </t>
  </si>
  <si>
    <t>Less 449's Actual 2022</t>
  </si>
  <si>
    <t>Total 2022 Expenditures to use in True-Up calculation</t>
  </si>
  <si>
    <t>4430 Web-Enabled Prog Thermo</t>
  </si>
  <si>
    <t>Clean Buildings Accelerator - E</t>
  </si>
  <si>
    <t>Lodging Rebates - Electric</t>
  </si>
  <si>
    <t>4440 - SMB Virtual Comm Prog - Elec</t>
  </si>
  <si>
    <t>4430 - Manufactured Home MHNC Program Electric</t>
  </si>
  <si>
    <t>4430 - EE Demand Response- Elec</t>
  </si>
  <si>
    <t>4430 - Targeted Demand-Side Mgmt- Elec</t>
  </si>
  <si>
    <t>4440 - BEM Pay - Elect Performance Pilot</t>
  </si>
  <si>
    <t>4427 - Digital Experience</t>
  </si>
  <si>
    <t>4430 - Residential New Construction (E215) - Electric</t>
  </si>
  <si>
    <t>4430 - Multi-Family Retrofit - (E217)-Electric</t>
  </si>
  <si>
    <t>4400 - Customer Online Experience - Elec</t>
  </si>
  <si>
    <t>4445 - Automated Benchmarking System - Electric</t>
  </si>
  <si>
    <t>4427 - Marketing Research - Electric</t>
  </si>
  <si>
    <t>4445 - EES Verification - Elec</t>
  </si>
  <si>
    <t>NW Energy Efficiency Alliance</t>
  </si>
  <si>
    <t>Energy Star Appliances, Electric</t>
  </si>
  <si>
    <t>Residential Showerheads - Electric</t>
  </si>
  <si>
    <t>Residential Energy Efficient Lighting Rebate</t>
  </si>
  <si>
    <t>Home energy reports (Opower)</t>
  </si>
  <si>
    <t>EES Market Integration- Elec</t>
  </si>
  <si>
    <t>4420 - Conservation Strategic Planning Elec</t>
  </si>
  <si>
    <t>Multi-Family New Const.- Elec</t>
  </si>
  <si>
    <t>4430 - Events Electric</t>
  </si>
  <si>
    <t>4429 - Rebates Processing - Elec</t>
  </si>
  <si>
    <t>4430 - Customer Awareness Tools - Elec</t>
  </si>
  <si>
    <t>4430 - ShopPSE - Elec</t>
  </si>
  <si>
    <t>4430 - Commercial Midstread Incentive - E</t>
  </si>
  <si>
    <t>4430 - Energy Advisors - Electric</t>
  </si>
  <si>
    <t>LIW - Electric Rider</t>
  </si>
  <si>
    <t>4423 - Biennial Elec Conserv Achieve-BECAR</t>
  </si>
  <si>
    <t>4430 - SF Existing Water Heat - Electric "Other"</t>
  </si>
  <si>
    <t>4430 - SF Existing Wx - Electric [NEW]</t>
  </si>
  <si>
    <t>4430 - SF Existing Space Heat - Electric</t>
  </si>
  <si>
    <t>C/I Energy Efficiency</t>
  </si>
  <si>
    <t>4430 - Sch 262 Business Ltg Markdown -Elec</t>
  </si>
  <si>
    <t>C/I New Construction</t>
  </si>
  <si>
    <t>4430 - Sch 262 Comm Kitchen/Laundry -Elec</t>
  </si>
  <si>
    <t>4430 - Sch 262 Comm HVAC - Elec</t>
  </si>
  <si>
    <t>Resource Conservation Manager (RCM)</t>
  </si>
  <si>
    <t>4440 - Sch 250 Business Ltg Grants - Elec</t>
  </si>
  <si>
    <t>4420 - Sch 270 Trade Ally Support - Elec</t>
  </si>
  <si>
    <t>4445 - Data &amp; Systems Services - Elec</t>
  </si>
  <si>
    <t>4430 - Contract Alliance Network Rev &amp; Exp</t>
  </si>
  <si>
    <t>4430 - Single Fam AMI Pilot Prgrm - Elec</t>
  </si>
  <si>
    <t>4430 - Retail Choice Pilot Prgm - Elec</t>
  </si>
  <si>
    <t>4430 - Mod Incm Resid Pilot Prgm - Elec</t>
  </si>
  <si>
    <t>Program Evaluation and Research- Elec</t>
  </si>
  <si>
    <t>Conservation Supply Curves- Elec</t>
  </si>
  <si>
    <t>Program Support</t>
  </si>
  <si>
    <t>3545 Energy Efficient Communities</t>
  </si>
  <si>
    <t>4440 -  BEM AMI SMB Pilot - Electric</t>
  </si>
  <si>
    <t>4440 - E250 Industrial Systems Optimization</t>
  </si>
  <si>
    <t>4440 - E262 Small Business Direct Install - Elec</t>
  </si>
  <si>
    <t>4440 - Industrial Energy Management - Elec</t>
  </si>
  <si>
    <t>4440 - Pay for Performance - E</t>
  </si>
  <si>
    <t>Residential Midstream HVAC &amp; W Heat-Elec</t>
  </si>
  <si>
    <t>4440 -  Telecommunications - Electric</t>
  </si>
  <si>
    <t>Demand Response Program Development–Elec</t>
  </si>
  <si>
    <t>2022 Total</t>
  </si>
  <si>
    <t>SCH. 81 (B&amp;O tax) in above-billed</t>
  </si>
  <si>
    <t>SCH. 95A (Fed Incentive) in above</t>
  </si>
  <si>
    <t>SCH. 95 PCA Amortization Recovery</t>
  </si>
  <si>
    <t>SCH. 95 PCORC Billed + Chng Unbilled</t>
  </si>
  <si>
    <t>SCH. 137 (REC Proceeds Credit) in above</t>
  </si>
  <si>
    <t>SCH. 141Y (TCJA Overcollection) in above</t>
  </si>
  <si>
    <t>SCH. 141X (Protected-Plus EDIT) in above</t>
  </si>
  <si>
    <t>SCH. 141Z (Unprotected EDIT) in above</t>
  </si>
  <si>
    <t>February 2022</t>
  </si>
  <si>
    <t>March 2022</t>
  </si>
  <si>
    <t>April 2022</t>
  </si>
  <si>
    <t>Collections actual vs. estimated in 21-22 true-up included in UE-220137</t>
  </si>
  <si>
    <t>2022 - 2023 True up</t>
  </si>
  <si>
    <t>May 2022 through April 2023 (2/23 - 4/23 forecasted)</t>
  </si>
  <si>
    <t>2022 budgeted expenditures set in rates versus actual expenditures made - Non-258</t>
  </si>
  <si>
    <t>2022 budgeted expenditures set in rates versus actual expenditures made - 40, 46 and 49 under 258</t>
  </si>
  <si>
    <t>2023 Conservation Budget (12 Months) (Note 1)</t>
  </si>
  <si>
    <t>True up of 2021/2022 - (Note 2)</t>
  </si>
  <si>
    <t>Losses were assumed at 7.8%</t>
  </si>
  <si>
    <t>2022/2023 Electric Conservation Rider Filing</t>
  </si>
  <si>
    <t>ACP 2023</t>
  </si>
  <si>
    <t>E271</t>
  </si>
  <si>
    <t>Demand Response Administration</t>
  </si>
  <si>
    <t>Conversion Factor (2022 GRC Updated for Filing Fee)</t>
  </si>
  <si>
    <t>2023 Conservation Costs Related Revenue Requirement</t>
  </si>
  <si>
    <t>2022 - 2023 True up of Estimated collections</t>
  </si>
  <si>
    <t>estimated collections for Feb - Apr 2022 used</t>
  </si>
  <si>
    <t>for 2021/2022 true up in UE-210137</t>
  </si>
  <si>
    <t>Source:  F2022, Delivered Transporation kWH</t>
  </si>
  <si>
    <t>May 22-Jan 23</t>
  </si>
  <si>
    <t>Sum of Feb-23</t>
  </si>
  <si>
    <t>Sum of Mar-23</t>
  </si>
  <si>
    <t>Sum of Apr-23</t>
  </si>
  <si>
    <t>Eff 5-1-22</t>
  </si>
  <si>
    <t>2019 GRC</t>
  </si>
  <si>
    <t>AS FILED IN UE-220137</t>
  </si>
  <si>
    <t>(Note 2) The true up for collections through April 2022 does not relate to Schedule 449 customers participating in conservation programs under Schedule 258.</t>
  </si>
  <si>
    <t>Information is from UE-210822 - file "210822-210823-PSE-2023-ACP-Exh-1-11-15-22.xlsm" filed on 11/15/2022, tab "Portfolio--2023 Specific".</t>
  </si>
  <si>
    <t>(Note 1) The amount reflected in column b is based on expected expenditures for Sch 449 customers for the 2023 budget year as included in UE-2108222 - file "210822-210823-PSE-2023-ACP-Exh-1-11-15-22.xlsm" tab "Portfolio--2023 Specific" filed on November 15, 2022 and may not necessarily reflect the revenue requirement to be set in rates for Sch 449 customers.  The amount to collect from these customers will be determined in the Cost of Service workpapers.</t>
  </si>
  <si>
    <t>January through December 2023</t>
  </si>
  <si>
    <t>May 2022 through April 2023</t>
  </si>
  <si>
    <t>February 2022 through April 2022</t>
  </si>
  <si>
    <t>January through December 2022</t>
  </si>
  <si>
    <t>True-Up of Amounts for Current Reporting Period (May 2022 through April 2023 with February through April 2023 re-forecasted)</t>
  </si>
  <si>
    <t>The information above this line is from last year's Sch 120 filing in UE-220137; file "220137-Advice-2022-04-PSE-WP-SUB-2022-SCH120-RATE-DESIGN-(03-29-22).xlsx" tab "Proposed Revenue"</t>
  </si>
  <si>
    <t>and most current forecast delivered load (shown below in MWh's) from F2022</t>
  </si>
  <si>
    <t>Schedule 258-Non449</t>
  </si>
  <si>
    <t>Totals are based on average total composite rate of $0.003452 per kWh x</t>
  </si>
  <si>
    <t>0.951115 conversion factor in existing Sch 120 from UE-210140</t>
  </si>
  <si>
    <t>F2022
Delivered kWh
05/22 to 04/23</t>
  </si>
  <si>
    <t>Projected
Revenue
05/22 to 04/23
[Note 1]</t>
  </si>
  <si>
    <t>F22 Final Electric Load Forecast</t>
  </si>
  <si>
    <t>2023 Budget excl 449</t>
  </si>
  <si>
    <t>Difference between estimated collections used in UE-220137 and actual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</si>
</sst>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_);\(#,##0.000000\)"/>
    <numFmt numFmtId="167" formatCode="0.0%"/>
    <numFmt numFmtId="168" formatCode="_(&quot;$&quot;* #,##0.000000_);_(&quot;$&quot;* \(#,##0.000000\);_(&quot;$&quot;* &quot;-&quot;??_);_(@_)"/>
    <numFmt numFmtId="169" formatCode="[$-409]mmmm\ d\,\ yyyy;@"/>
    <numFmt numFmtId="170" formatCode="0.000000"/>
    <numFmt numFmtId="171" formatCode="0.0000%"/>
    <numFmt numFmtId="172" formatCode="[$-409]m/d/yy\ h:mm\ AM/PM;@"/>
    <numFmt numFmtId="173" formatCode="###.0\ &quot;aMW&quot;"/>
    <numFmt numFmtId="174" formatCode="#,###\ &quot;MWh&quot;"/>
    <numFmt numFmtId="175" formatCode="##.0\ &quot;FTEs&quot;"/>
    <numFmt numFmtId="176" formatCode="_(&quot;$&quot;* #,##0.0000_);_(&quot;$&quot;* \(#,##0.0000\);_(&quot;$&quot;* &quot;-&quot;????_);_(@_)"/>
    <numFmt numFmtId="177" formatCode="[$-409]d\-mmm\-yyyy;@"/>
    <numFmt numFmtId="178" formatCode="0.000%"/>
    <numFmt numFmtId="179" formatCode="&quot;$&quot;#,##0.000000_);\(&quot;$&quot;#,##0.000000\)"/>
    <numFmt numFmtId="180" formatCode="[$-409]mmm\-yy;@"/>
  </numFmts>
  <fonts count="8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1"/>
      <name val="Calibri"/>
      <family val="2"/>
      <scheme val="minor"/>
    </font>
    <font>
      <sz val="10"/>
      <color indexed="12"/>
      <name val="Arial"/>
      <family val="2"/>
    </font>
    <font>
      <sz val="11"/>
      <name val="Calibri"/>
      <family val="2"/>
    </font>
    <font>
      <sz val="9"/>
      <name val="Arial"/>
      <family val="2"/>
    </font>
    <font>
      <b/>
      <u/>
      <sz val="11"/>
      <color theme="1"/>
      <name val="Calibri"/>
      <family val="2"/>
      <scheme val="minor"/>
    </font>
    <font>
      <b/>
      <sz val="11"/>
      <name val="Arial"/>
      <family val="2"/>
    </font>
    <font>
      <b/>
      <sz val="9"/>
      <name val="Arial"/>
      <family val="2"/>
    </font>
    <font>
      <sz val="11"/>
      <color rgb="FFFF0000"/>
      <name val="Calibri"/>
      <family val="2"/>
      <scheme val="minor"/>
    </font>
    <font>
      <b/>
      <sz val="10"/>
      <color theme="1"/>
      <name val="Calibri"/>
      <family val="2"/>
    </font>
    <font>
      <sz val="10"/>
      <name val="Times New Roman"/>
      <family val="1"/>
    </font>
    <font>
      <b/>
      <sz val="10"/>
      <name val="Times New Roman"/>
      <family val="1"/>
    </font>
    <font>
      <sz val="10"/>
      <color indexed="8"/>
      <name val="Arial"/>
      <family val="2"/>
    </font>
    <font>
      <sz val="10"/>
      <color theme="1"/>
      <name val="Arial"/>
      <family val="2"/>
    </font>
    <font>
      <sz val="8"/>
      <name val="Arial"/>
      <family val="2"/>
    </font>
    <font>
      <b/>
      <sz val="12"/>
      <name val="Arial"/>
      <family val="2"/>
    </font>
    <font>
      <b/>
      <sz val="10"/>
      <color indexed="8"/>
      <name val="Arial"/>
      <family val="2"/>
    </font>
    <font>
      <b/>
      <sz val="12"/>
      <color indexed="8"/>
      <name val="Arial"/>
      <family val="2"/>
    </font>
    <font>
      <b/>
      <sz val="14"/>
      <color rgb="FF0000FF"/>
      <name val="Arial"/>
      <family val="2"/>
    </font>
    <font>
      <sz val="12"/>
      <name val="Arial"/>
      <family val="2"/>
    </font>
    <font>
      <u/>
      <sz val="8"/>
      <name val="Arial"/>
      <family val="2"/>
    </font>
    <font>
      <b/>
      <sz val="12"/>
      <color indexed="9"/>
      <name val="Arial"/>
      <family val="2"/>
    </font>
    <font>
      <i/>
      <sz val="10"/>
      <color rgb="FF0430AC"/>
      <name val="Arial"/>
      <family val="2"/>
    </font>
    <font>
      <i/>
      <sz val="10"/>
      <color indexed="10"/>
      <name val="Arial"/>
      <family val="2"/>
    </font>
    <font>
      <u val="singleAccounting"/>
      <sz val="10"/>
      <color indexed="8"/>
      <name val="Arial"/>
      <family val="2"/>
    </font>
    <font>
      <i/>
      <sz val="9"/>
      <color rgb="FF0430AC"/>
      <name val="Arial"/>
      <family val="2"/>
    </font>
    <font>
      <sz val="10"/>
      <color rgb="FF0430AC"/>
      <name val="Arial"/>
      <family val="2"/>
    </font>
    <font>
      <i/>
      <sz val="9"/>
      <color theme="1"/>
      <name val="Arial"/>
      <family val="2"/>
    </font>
    <font>
      <b/>
      <sz val="10"/>
      <color indexed="12"/>
      <name val="Arial"/>
      <family val="2"/>
    </font>
    <font>
      <b/>
      <sz val="10"/>
      <color theme="0"/>
      <name val="Arial"/>
      <family val="2"/>
    </font>
    <font>
      <sz val="10"/>
      <color rgb="FFFF0000"/>
      <name val="Arial"/>
      <family val="2"/>
    </font>
    <font>
      <b/>
      <sz val="12"/>
      <color theme="0"/>
      <name val="Arial"/>
      <family val="2"/>
    </font>
    <font>
      <sz val="10"/>
      <name val="Courier"/>
      <family val="3"/>
    </font>
    <font>
      <sz val="10"/>
      <name val="Arial"/>
      <family val="2"/>
    </font>
    <font>
      <b/>
      <sz val="10"/>
      <color theme="1"/>
      <name val="Arial"/>
      <family val="2"/>
    </font>
    <font>
      <b/>
      <i/>
      <sz val="20"/>
      <color rgb="FF0070C0"/>
      <name val="Arial"/>
      <family val="2"/>
    </font>
    <font>
      <sz val="12"/>
      <color indexed="10"/>
      <name val="Arial"/>
      <family val="2"/>
    </font>
    <font>
      <b/>
      <sz val="12"/>
      <color indexed="10"/>
      <name val="Arial"/>
      <family val="2"/>
    </font>
    <font>
      <i/>
      <sz val="10"/>
      <color rgb="FF0070C0"/>
      <name val="Arial"/>
      <family val="2"/>
    </font>
    <font>
      <sz val="10"/>
      <color rgb="FF0070C0"/>
      <name val="Arial"/>
      <family val="2"/>
    </font>
    <font>
      <b/>
      <sz val="10"/>
      <color rgb="FFFF0000"/>
      <name val="Arial"/>
      <family val="2"/>
    </font>
    <font>
      <b/>
      <sz val="11"/>
      <name val="Calibri"/>
      <family val="2"/>
      <scheme val="minor"/>
    </font>
    <font>
      <b/>
      <sz val="14"/>
      <color rgb="FFFF0000"/>
      <name val="Arial"/>
      <family val="2"/>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0"/>
      <color rgb="FFFF0000"/>
      <name val="Times New Roman"/>
      <family val="1"/>
    </font>
    <font>
      <b/>
      <sz val="10"/>
      <color rgb="FF0000FF"/>
      <name val="Arial"/>
      <family val="2"/>
    </font>
    <font>
      <b/>
      <sz val="9"/>
      <color rgb="FF0000FF"/>
      <name val="Arial"/>
      <family val="2"/>
    </font>
    <font>
      <b/>
      <sz val="10"/>
      <color rgb="FF0000FF"/>
      <name val="Times New Roman"/>
      <family val="1"/>
    </font>
    <font>
      <sz val="11"/>
      <color theme="1"/>
      <name val="Times New Roman"/>
      <family val="2"/>
    </font>
    <font>
      <i/>
      <sz val="8"/>
      <color theme="1"/>
      <name val="Arial"/>
      <family val="2"/>
    </font>
    <font>
      <u/>
      <sz val="10"/>
      <color theme="10"/>
      <name val="Calibri"/>
      <family val="2"/>
    </font>
    <font>
      <b/>
      <i/>
      <sz val="10"/>
      <color theme="0"/>
      <name val="Arial"/>
      <family val="2"/>
    </font>
    <font>
      <sz val="8"/>
      <color rgb="FFFF0000"/>
      <name val="Arial"/>
      <family val="2"/>
    </font>
    <font>
      <b/>
      <sz val="8"/>
      <color indexed="81"/>
      <name val="Tahoma"/>
      <family val="2"/>
    </font>
    <font>
      <sz val="8"/>
      <color indexed="81"/>
      <name val="Tahoma"/>
      <family val="2"/>
    </font>
    <font>
      <u/>
      <sz val="9"/>
      <color indexed="12"/>
      <name val="Calibri"/>
      <family val="2"/>
    </font>
    <font>
      <sz val="8"/>
      <name val="Helv"/>
    </font>
    <font>
      <b/>
      <sz val="10"/>
      <color theme="1"/>
      <name val="Times New Roman"/>
      <family val="1"/>
    </font>
    <font>
      <sz val="10"/>
      <color theme="1"/>
      <name val="Calibri"/>
      <family val="2"/>
    </font>
    <font>
      <sz val="10"/>
      <color theme="1"/>
      <name val="Times New Roman"/>
      <family val="1"/>
    </font>
    <font>
      <b/>
      <sz val="11"/>
      <color theme="1"/>
      <name val="Times New Roman"/>
      <family val="1"/>
    </font>
    <font>
      <sz val="11"/>
      <color theme="1"/>
      <name val="Times New Roman"/>
      <family val="1"/>
    </font>
    <font>
      <b/>
      <sz val="11"/>
      <name val="Times New Roman"/>
      <family val="1"/>
    </font>
    <font>
      <sz val="24"/>
      <color theme="1"/>
      <name val="Calibri"/>
      <family val="2"/>
    </font>
    <font>
      <sz val="16"/>
      <color theme="1"/>
      <name val="Calibri"/>
      <family val="2"/>
    </font>
  </fonts>
  <fills count="59">
    <fill>
      <patternFill patternType="none"/>
    </fill>
    <fill>
      <patternFill patternType="gray125"/>
    </fill>
    <fill>
      <patternFill patternType="solid">
        <fgColor indexed="22"/>
        <bgColor indexed="64"/>
      </patternFill>
    </fill>
    <fill>
      <patternFill patternType="solid">
        <fgColor rgb="FF506DE8"/>
        <bgColor indexed="64"/>
      </patternFill>
    </fill>
    <fill>
      <patternFill patternType="solid">
        <fgColor rgb="FFEE79F7"/>
        <bgColor indexed="64"/>
      </patternFill>
    </fill>
    <fill>
      <patternFill patternType="solid">
        <fgColor rgb="FFFD6035"/>
        <bgColor indexed="64"/>
      </patternFill>
    </fill>
    <fill>
      <patternFill patternType="solid">
        <fgColor rgb="FFFFE811"/>
        <bgColor indexed="64"/>
      </patternFill>
    </fill>
    <fill>
      <patternFill patternType="solid">
        <fgColor rgb="FFA7A7FF"/>
        <bgColor indexed="64"/>
      </patternFill>
    </fill>
    <fill>
      <patternFill patternType="solid">
        <fgColor rgb="FFABC785"/>
        <bgColor indexed="64"/>
      </patternFill>
    </fill>
    <fill>
      <patternFill patternType="solid">
        <fgColor rgb="FF006A71"/>
        <bgColor indexed="64"/>
      </patternFill>
    </fill>
    <fill>
      <patternFill patternType="solid">
        <fgColor rgb="FFC1B071"/>
        <bgColor indexed="64"/>
      </patternFill>
    </fill>
    <fill>
      <patternFill patternType="solid">
        <fgColor rgb="FFB2541A"/>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DDDDD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CCFFCC"/>
        <bgColor indexed="64"/>
      </patternFill>
    </fill>
    <fill>
      <patternFill patternType="solid">
        <fgColor rgb="FFFF00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C0C0C0"/>
        <bgColor indexed="64"/>
      </patternFill>
    </fill>
    <fill>
      <patternFill patternType="solid">
        <fgColor rgb="FF99FFCC"/>
        <bgColor indexed="64"/>
      </patternFill>
    </fill>
    <fill>
      <patternFill patternType="solid">
        <fgColor rgb="FFFFCCCC"/>
        <bgColor indexed="64"/>
      </patternFill>
    </fill>
    <fill>
      <patternFill patternType="solid">
        <fgColor theme="9" tint="0.39997558519241921"/>
        <bgColor indexed="64"/>
      </patternFill>
    </fill>
  </fills>
  <borders count="97">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theme="4" tint="0.39997558519241921"/>
      </bottom>
      <diagonal/>
    </border>
    <border>
      <left/>
      <right/>
      <top style="thin">
        <color theme="4" tint="0.39997558519241921"/>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DashDotDot">
        <color theme="0" tint="-0.499984740745262"/>
      </bottom>
      <diagonal/>
    </border>
    <border>
      <left style="thin">
        <color indexed="64"/>
      </left>
      <right/>
      <top/>
      <bottom/>
      <diagonal/>
    </border>
    <border>
      <left style="medium">
        <color auto="1"/>
      </left>
      <right style="thin">
        <color auto="1"/>
      </right>
      <top style="medium">
        <color auto="1"/>
      </top>
      <bottom style="thin">
        <color auto="1"/>
      </bottom>
      <diagonal/>
    </border>
    <border>
      <left style="double">
        <color auto="1"/>
      </left>
      <right style="double">
        <color auto="1"/>
      </right>
      <top/>
      <bottom style="hair">
        <color auto="1"/>
      </bottom>
      <diagonal/>
    </border>
    <border>
      <left style="double">
        <color auto="1"/>
      </left>
      <right style="double">
        <color auto="1"/>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4" tint="0.39997558519241921"/>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s>
  <cellStyleXfs count="68">
    <xf numFmtId="0" fontId="0" fillId="0" borderId="0"/>
    <xf numFmtId="43" fontId="1" fillId="0" borderId="0" applyFont="0" applyFill="0" applyBorder="0" applyAlignment="0" applyProtection="0"/>
    <xf numFmtId="44" fontId="1" fillId="0" borderId="0" applyFont="0" applyFill="0" applyBorder="0" applyAlignment="0" applyProtection="0"/>
    <xf numFmtId="39" fontId="36" fillId="0" borderId="0"/>
    <xf numFmtId="0" fontId="3" fillId="0" borderId="0"/>
    <xf numFmtId="9" fontId="3" fillId="0" borderId="0" applyFont="0" applyFill="0" applyBorder="0" applyAlignment="0" applyProtection="0"/>
    <xf numFmtId="39" fontId="36" fillId="0" borderId="0"/>
    <xf numFmtId="176" fontId="3" fillId="0" borderId="0">
      <alignment horizontal="left" wrapText="1"/>
    </xf>
    <xf numFmtId="0" fontId="48" fillId="0" borderId="0" applyNumberFormat="0" applyFill="0" applyBorder="0" applyAlignment="0" applyProtection="0"/>
    <xf numFmtId="0" fontId="49" fillId="0" borderId="74" applyNumberFormat="0" applyFill="0" applyAlignment="0" applyProtection="0"/>
    <xf numFmtId="0" fontId="50" fillId="0" borderId="75" applyNumberFormat="0" applyFill="0" applyAlignment="0" applyProtection="0"/>
    <xf numFmtId="0" fontId="51" fillId="0" borderId="76" applyNumberFormat="0" applyFill="0" applyAlignment="0" applyProtection="0"/>
    <xf numFmtId="0" fontId="51" fillId="0" borderId="0" applyNumberFormat="0" applyFill="0" applyBorder="0" applyAlignment="0" applyProtection="0"/>
    <xf numFmtId="0" fontId="52" fillId="16" borderId="0" applyNumberFormat="0" applyBorder="0" applyAlignment="0" applyProtection="0"/>
    <xf numFmtId="0" fontId="53" fillId="17" borderId="0" applyNumberFormat="0" applyBorder="0" applyAlignment="0" applyProtection="0"/>
    <xf numFmtId="0" fontId="54" fillId="18" borderId="0" applyNumberFormat="0" applyBorder="0" applyAlignment="0" applyProtection="0"/>
    <xf numFmtId="0" fontId="55" fillId="19" borderId="77" applyNumberFormat="0" applyAlignment="0" applyProtection="0"/>
    <xf numFmtId="0" fontId="56" fillId="20" borderId="78" applyNumberFormat="0" applyAlignment="0" applyProtection="0"/>
    <xf numFmtId="0" fontId="57" fillId="20" borderId="77" applyNumberFormat="0" applyAlignment="0" applyProtection="0"/>
    <xf numFmtId="0" fontId="58" fillId="0" borderId="79" applyNumberFormat="0" applyFill="0" applyAlignment="0" applyProtection="0"/>
    <xf numFmtId="0" fontId="59" fillId="21" borderId="80" applyNumberFormat="0" applyAlignment="0" applyProtection="0"/>
    <xf numFmtId="0" fontId="12" fillId="0" borderId="0" applyNumberFormat="0" applyFill="0" applyBorder="0" applyAlignment="0" applyProtection="0"/>
    <xf numFmtId="0" fontId="1" fillId="22" borderId="81" applyNumberFormat="0" applyFont="0" applyAlignment="0" applyProtection="0"/>
    <xf numFmtId="0" fontId="60" fillId="0" borderId="0" applyNumberFormat="0" applyFill="0" applyBorder="0" applyAlignment="0" applyProtection="0"/>
    <xf numFmtId="0" fontId="2" fillId="0" borderId="82" applyNumberFormat="0" applyFill="0" applyAlignment="0" applyProtection="0"/>
    <xf numFmtId="0" fontId="6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61" fillId="30" borderId="0" applyNumberFormat="0" applyBorder="0" applyAlignment="0" applyProtection="0"/>
    <xf numFmtId="0" fontId="6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61" fillId="42" borderId="0" applyNumberFormat="0" applyBorder="0" applyAlignment="0" applyProtection="0"/>
    <xf numFmtId="0" fontId="6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61" fillId="46" borderId="0" applyNumberFormat="0" applyBorder="0" applyAlignment="0" applyProtection="0"/>
    <xf numFmtId="0" fontId="66" fillId="0" borderId="0"/>
    <xf numFmtId="44" fontId="66" fillId="0" borderId="0" applyFont="0" applyFill="0" applyBorder="0" applyAlignment="0" applyProtection="0"/>
    <xf numFmtId="0" fontId="3" fillId="0" borderId="0"/>
    <xf numFmtId="0" fontId="17"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68" fillId="0" borderId="0" applyNumberFormat="0" applyFill="0" applyBorder="0" applyAlignment="0" applyProtection="0">
      <alignment vertical="top"/>
      <protection locked="0"/>
    </xf>
    <xf numFmtId="0" fontId="1" fillId="0" borderId="0"/>
    <xf numFmtId="0" fontId="68"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44" fontId="3"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9" fontId="74" fillId="0" borderId="0" applyFont="0" applyFill="0" applyBorder="0" applyAlignment="0" applyProtection="0"/>
    <xf numFmtId="43" fontId="76" fillId="0" borderId="0" applyFont="0" applyFill="0" applyBorder="0" applyAlignment="0" applyProtection="0"/>
    <xf numFmtId="0" fontId="76" fillId="0" borderId="0"/>
  </cellStyleXfs>
  <cellXfs count="920">
    <xf numFmtId="0" fontId="0" fillId="0" borderId="0" xfId="0"/>
    <xf numFmtId="165" fontId="3" fillId="0" borderId="27" xfId="0" applyNumberFormat="1" applyFont="1" applyFill="1" applyBorder="1" applyAlignment="1">
      <alignment horizontal="center"/>
    </xf>
    <xf numFmtId="0" fontId="0" fillId="0" borderId="66" xfId="0" applyBorder="1"/>
    <xf numFmtId="0" fontId="4" fillId="0" borderId="1" xfId="0" applyFont="1" applyFill="1" applyBorder="1" applyAlignment="1">
      <alignment horizontal="centerContinuous"/>
    </xf>
    <xf numFmtId="0" fontId="4" fillId="0" borderId="0" xfId="0" applyFont="1" applyFill="1" applyBorder="1" applyAlignment="1">
      <alignment horizontal="center"/>
    </xf>
    <xf numFmtId="0" fontId="4" fillId="0" borderId="0" xfId="0" applyFont="1" applyFill="1" applyAlignment="1">
      <alignment horizontal="center"/>
    </xf>
    <xf numFmtId="0" fontId="3" fillId="0" borderId="0" xfId="0" applyFont="1" applyFill="1" applyAlignment="1">
      <alignment horizontal="left" indent="1"/>
    </xf>
    <xf numFmtId="0" fontId="3" fillId="0" borderId="0" xfId="0" applyFont="1" applyFill="1"/>
    <xf numFmtId="0" fontId="3" fillId="0" borderId="4" xfId="0" applyFont="1" applyFill="1" applyBorder="1"/>
    <xf numFmtId="0" fontId="3" fillId="0" borderId="5" xfId="0" applyFont="1" applyFill="1" applyBorder="1" applyAlignment="1">
      <alignment horizontal="center"/>
    </xf>
    <xf numFmtId="0" fontId="4" fillId="0" borderId="5" xfId="0" applyFont="1" applyFill="1" applyBorder="1"/>
    <xf numFmtId="0" fontId="3" fillId="0" borderId="5" xfId="0" applyFont="1" applyFill="1" applyBorder="1" applyAlignment="1">
      <alignment horizontal="centerContinuous"/>
    </xf>
    <xf numFmtId="0" fontId="3" fillId="0" borderId="6" xfId="0" applyFont="1" applyFill="1" applyBorder="1"/>
    <xf numFmtId="0" fontId="3" fillId="0" borderId="7" xfId="0" applyFont="1" applyFill="1" applyBorder="1"/>
    <xf numFmtId="0" fontId="3" fillId="0" borderId="0" xfId="0" applyFont="1" applyFill="1" applyBorder="1" applyAlignment="1">
      <alignment horizontal="centerContinuous"/>
    </xf>
    <xf numFmtId="0" fontId="3" fillId="0" borderId="8" xfId="0" applyFont="1" applyFill="1" applyBorder="1"/>
    <xf numFmtId="0" fontId="3" fillId="0" borderId="7" xfId="0" applyFont="1" applyFill="1" applyBorder="1" applyAlignment="1">
      <alignment horizontal="center"/>
    </xf>
    <xf numFmtId="0" fontId="3" fillId="0" borderId="0" xfId="0" quotePrefix="1" applyFont="1" applyFill="1" applyBorder="1" applyAlignment="1">
      <alignment horizontal="left"/>
    </xf>
    <xf numFmtId="0" fontId="3" fillId="0" borderId="0" xfId="0" quotePrefix="1" applyFont="1" applyFill="1" applyBorder="1" applyAlignment="1">
      <alignment horizontal="center"/>
    </xf>
    <xf numFmtId="0" fontId="3" fillId="0" borderId="0" xfId="0" applyFont="1" applyFill="1" applyBorder="1" applyAlignment="1">
      <alignment horizontal="left"/>
    </xf>
    <xf numFmtId="165" fontId="3" fillId="0" borderId="0" xfId="0" quotePrefix="1" applyNumberFormat="1" applyFont="1" applyFill="1" applyBorder="1" applyAlignment="1">
      <alignment horizontal="right"/>
    </xf>
    <xf numFmtId="165" fontId="3" fillId="0" borderId="8" xfId="0" applyNumberFormat="1" applyFont="1" applyFill="1" applyBorder="1"/>
    <xf numFmtId="0" fontId="3" fillId="0" borderId="9" xfId="0" applyFont="1" applyFill="1" applyBorder="1"/>
    <xf numFmtId="164" fontId="3" fillId="0" borderId="1" xfId="0" applyNumberFormat="1" applyFont="1" applyFill="1" applyBorder="1"/>
    <xf numFmtId="164" fontId="3" fillId="0" borderId="10" xfId="0" applyNumberFormat="1" applyFont="1" applyFill="1" applyBorder="1"/>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2" xfId="0" applyFont="1" applyFill="1" applyBorder="1"/>
    <xf numFmtId="0" fontId="3" fillId="0" borderId="13" xfId="0" applyFont="1" applyFill="1" applyBorder="1"/>
    <xf numFmtId="0" fontId="3" fillId="0" borderId="4" xfId="0" applyFont="1" applyFill="1" applyBorder="1" applyAlignment="1">
      <alignment horizontal="center"/>
    </xf>
    <xf numFmtId="0" fontId="3" fillId="0" borderId="5" xfId="0" applyFont="1" applyFill="1" applyBorder="1"/>
    <xf numFmtId="165" fontId="3" fillId="0" borderId="0" xfId="0" applyNumberFormat="1" applyFont="1" applyFill="1" applyBorder="1"/>
    <xf numFmtId="0" fontId="3" fillId="0" borderId="0" xfId="0" applyFont="1" applyFill="1" applyBorder="1" applyAlignment="1">
      <alignment horizontal="left" indent="2"/>
    </xf>
    <xf numFmtId="164" fontId="3" fillId="0" borderId="8" xfId="0" applyNumberFormat="1" applyFont="1" applyFill="1" applyBorder="1"/>
    <xf numFmtId="0" fontId="3" fillId="0" borderId="11" xfId="0" quotePrefix="1" applyFont="1" applyFill="1" applyBorder="1" applyAlignment="1"/>
    <xf numFmtId="0" fontId="3" fillId="0" borderId="12" xfId="0" applyFont="1" applyFill="1" applyBorder="1" applyAlignment="1"/>
    <xf numFmtId="0" fontId="3" fillId="0" borderId="13" xfId="0" applyFont="1" applyFill="1" applyBorder="1" applyAlignment="1"/>
    <xf numFmtId="0" fontId="3" fillId="0" borderId="0" xfId="0" applyFont="1" applyFill="1" applyAlignment="1"/>
    <xf numFmtId="0" fontId="3" fillId="0" borderId="0" xfId="0" applyFont="1" applyFill="1" applyAlignment="1">
      <alignment horizontal="centerContinuous"/>
    </xf>
    <xf numFmtId="0" fontId="3" fillId="0" borderId="0" xfId="0" quotePrefix="1" applyFont="1" applyFill="1" applyAlignment="1">
      <alignment horizontal="centerContinuous"/>
    </xf>
    <xf numFmtId="0" fontId="3" fillId="0" borderId="1" xfId="0" applyFont="1" applyFill="1" applyBorder="1" applyAlignment="1">
      <alignment horizontal="center" wrapText="1"/>
    </xf>
    <xf numFmtId="0" fontId="3" fillId="0" borderId="0" xfId="0" applyFont="1" applyFill="1" applyAlignment="1">
      <alignment horizontal="center" wrapText="1"/>
    </xf>
    <xf numFmtId="0" fontId="3" fillId="0" borderId="0" xfId="0" applyFont="1" applyFill="1" applyBorder="1" applyAlignment="1">
      <alignment horizontal="center"/>
    </xf>
    <xf numFmtId="166" fontId="3" fillId="0" borderId="0" xfId="0" applyNumberFormat="1" applyFont="1" applyFill="1" applyBorder="1"/>
    <xf numFmtId="0" fontId="3" fillId="0" borderId="2" xfId="0" applyFont="1" applyFill="1" applyBorder="1" applyAlignment="1">
      <alignment horizontal="center"/>
    </xf>
    <xf numFmtId="0" fontId="3" fillId="0" borderId="2" xfId="0" applyFont="1" applyFill="1" applyBorder="1"/>
    <xf numFmtId="164" fontId="3" fillId="0" borderId="3" xfId="0" applyNumberFormat="1" applyFont="1" applyFill="1" applyBorder="1"/>
    <xf numFmtId="164" fontId="3" fillId="0" borderId="0" xfId="0" applyNumberFormat="1" applyFont="1" applyFill="1"/>
    <xf numFmtId="0" fontId="3" fillId="0" borderId="0" xfId="0" applyFont="1" applyFill="1" applyBorder="1"/>
    <xf numFmtId="164" fontId="8" fillId="0" borderId="0" xfId="0" applyNumberFormat="1" applyFont="1" applyFill="1" applyBorder="1"/>
    <xf numFmtId="164" fontId="3" fillId="0" borderId="0" xfId="0" applyNumberFormat="1" applyFont="1" applyFill="1" applyBorder="1"/>
    <xf numFmtId="39" fontId="3" fillId="0" borderId="0" xfId="0" applyNumberFormat="1" applyFont="1" applyFill="1" applyAlignment="1" applyProtection="1">
      <alignment horizontal="left"/>
    </xf>
    <xf numFmtId="0" fontId="4" fillId="0" borderId="1" xfId="0" applyFont="1" applyFill="1" applyBorder="1" applyAlignment="1">
      <alignment horizontal="center"/>
    </xf>
    <xf numFmtId="0" fontId="4" fillId="0" borderId="0" xfId="0" applyFont="1" applyFill="1"/>
    <xf numFmtId="0" fontId="4" fillId="0" borderId="0" xfId="0" applyFont="1" applyFill="1" applyAlignment="1">
      <alignment horizontal="left"/>
    </xf>
    <xf numFmtId="14" fontId="3" fillId="0" borderId="0" xfId="0" applyNumberFormat="1" applyFont="1" applyFill="1" applyAlignment="1">
      <alignment horizontal="left"/>
    </xf>
    <xf numFmtId="165" fontId="3" fillId="0" borderId="0" xfId="0" applyNumberFormat="1" applyFont="1" applyFill="1"/>
    <xf numFmtId="0" fontId="3" fillId="0" borderId="0" xfId="0" applyFont="1" applyFill="1" applyAlignment="1">
      <alignment horizontal="left"/>
    </xf>
    <xf numFmtId="164" fontId="3" fillId="0" borderId="22" xfId="0" applyNumberFormat="1" applyFont="1" applyFill="1" applyBorder="1"/>
    <xf numFmtId="165" fontId="3" fillId="0" borderId="0" xfId="0" quotePrefix="1" applyNumberFormat="1" applyFont="1" applyFill="1" applyAlignment="1">
      <alignment horizontal="right"/>
    </xf>
    <xf numFmtId="42" fontId="3" fillId="0" borderId="0" xfId="0" applyNumberFormat="1" applyFont="1" applyFill="1"/>
    <xf numFmtId="3" fontId="3" fillId="0" borderId="0" xfId="0" applyNumberFormat="1" applyFont="1" applyFill="1" applyAlignment="1">
      <alignment horizontal="center"/>
    </xf>
    <xf numFmtId="165" fontId="3" fillId="0" borderId="0" xfId="0" applyNumberFormat="1" applyFont="1" applyFill="1" applyAlignment="1">
      <alignment horizontal="right"/>
    </xf>
    <xf numFmtId="0" fontId="0" fillId="0" borderId="0" xfId="0" applyBorder="1"/>
    <xf numFmtId="0" fontId="0" fillId="0" borderId="8" xfId="0" applyFill="1" applyBorder="1"/>
    <xf numFmtId="0" fontId="0" fillId="0" borderId="0" xfId="0" applyFill="1" applyBorder="1" applyAlignment="1">
      <alignment horizontal="center"/>
    </xf>
    <xf numFmtId="0" fontId="0" fillId="0" borderId="0" xfId="0" applyFill="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0" xfId="0" applyFill="1" applyBorder="1"/>
    <xf numFmtId="0" fontId="0" fillId="0" borderId="7" xfId="0" applyFill="1" applyBorder="1"/>
    <xf numFmtId="0" fontId="0" fillId="0" borderId="0" xfId="0" applyFill="1"/>
    <xf numFmtId="0" fontId="3" fillId="0" borderId="0" xfId="0" applyFont="1" applyBorder="1"/>
    <xf numFmtId="0" fontId="3" fillId="0" borderId="0" xfId="0" applyFont="1"/>
    <xf numFmtId="0" fontId="4" fillId="0" borderId="24" xfId="0" applyFont="1" applyFill="1" applyBorder="1" applyAlignment="1">
      <alignment horizontal="centerContinuous"/>
    </xf>
    <xf numFmtId="0" fontId="3" fillId="0" borderId="25" xfId="0" applyFont="1" applyFill="1" applyBorder="1" applyAlignment="1">
      <alignment horizontal="centerContinuous"/>
    </xf>
    <xf numFmtId="0" fontId="3" fillId="0" borderId="26" xfId="0" applyFont="1" applyFill="1" applyBorder="1" applyAlignment="1">
      <alignment horizontal="centerContinuous"/>
    </xf>
    <xf numFmtId="0" fontId="4" fillId="0" borderId="23" xfId="0" applyFont="1" applyFill="1" applyBorder="1" applyAlignment="1">
      <alignment horizontal="center"/>
    </xf>
    <xf numFmtId="165" fontId="3" fillId="0" borderId="2" xfId="0" applyNumberFormat="1" applyFont="1" applyFill="1" applyBorder="1"/>
    <xf numFmtId="165" fontId="3" fillId="0" borderId="28" xfId="0" applyNumberFormat="1" applyFont="1" applyFill="1" applyBorder="1"/>
    <xf numFmtId="0" fontId="3" fillId="0" borderId="0" xfId="0" quotePrefix="1" applyFont="1" applyFill="1" applyAlignment="1">
      <alignment horizontal="left" indent="1"/>
    </xf>
    <xf numFmtId="164" fontId="3" fillId="0" borderId="31" xfId="0" applyNumberFormat="1" applyFont="1" applyFill="1" applyBorder="1"/>
    <xf numFmtId="164" fontId="3" fillId="0" borderId="32" xfId="0" applyNumberFormat="1" applyFont="1" applyFill="1" applyBorder="1"/>
    <xf numFmtId="43" fontId="3" fillId="0" borderId="0" xfId="0" applyNumberFormat="1" applyFont="1" applyFill="1"/>
    <xf numFmtId="0" fontId="5" fillId="0" borderId="0" xfId="0" applyFont="1" applyFill="1"/>
    <xf numFmtId="0" fontId="5" fillId="0" borderId="2" xfId="0" applyFont="1" applyFill="1" applyBorder="1"/>
    <xf numFmtId="0" fontId="5" fillId="0" borderId="0" xfId="0" applyFont="1" applyFill="1" applyBorder="1"/>
    <xf numFmtId="0" fontId="5" fillId="0" borderId="0" xfId="0" applyFont="1" applyFill="1" applyAlignment="1">
      <alignment horizontal="left" indent="1"/>
    </xf>
    <xf numFmtId="165" fontId="5" fillId="0" borderId="0" xfId="0" applyNumberFormat="1" applyFont="1" applyFill="1" applyBorder="1"/>
    <xf numFmtId="165" fontId="5" fillId="0" borderId="0" xfId="0" applyNumberFormat="1" applyFont="1" applyFill="1"/>
    <xf numFmtId="165" fontId="5" fillId="0" borderId="2" xfId="0" applyNumberFormat="1" applyFont="1" applyFill="1" applyBorder="1"/>
    <xf numFmtId="164" fontId="5" fillId="0" borderId="3" xfId="0" applyNumberFormat="1" applyFont="1" applyFill="1" applyBorder="1"/>
    <xf numFmtId="165" fontId="17" fillId="0" borderId="0" xfId="0" applyNumberFormat="1" applyFont="1" applyFill="1" applyBorder="1"/>
    <xf numFmtId="164" fontId="17" fillId="0" borderId="1" xfId="0" applyNumberFormat="1" applyFont="1" applyFill="1" applyBorder="1"/>
    <xf numFmtId="164" fontId="17" fillId="0" borderId="0" xfId="0" applyNumberFormat="1" applyFont="1" applyFill="1" applyBorder="1"/>
    <xf numFmtId="164" fontId="17" fillId="0" borderId="0" xfId="0" applyNumberFormat="1" applyFont="1" applyFill="1"/>
    <xf numFmtId="165" fontId="17" fillId="0" borderId="0" xfId="0" applyNumberFormat="1" applyFont="1" applyFill="1"/>
    <xf numFmtId="165" fontId="17" fillId="0" borderId="2" xfId="0" applyNumberFormat="1" applyFont="1" applyFill="1" applyBorder="1"/>
    <xf numFmtId="10" fontId="17" fillId="0" borderId="0" xfId="0" applyNumberFormat="1" applyFont="1" applyFill="1"/>
    <xf numFmtId="164" fontId="17" fillId="0" borderId="3" xfId="0" applyNumberFormat="1" applyFont="1" applyFill="1" applyBorder="1"/>
    <xf numFmtId="0" fontId="34" fillId="0" borderId="0" xfId="0" applyFont="1" applyFill="1" applyAlignment="1">
      <alignment horizontal="centerContinuous"/>
    </xf>
    <xf numFmtId="0" fontId="34" fillId="0" borderId="0" xfId="0" applyFont="1" applyFill="1" applyAlignment="1">
      <alignment horizontal="left"/>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37" xfId="0" applyBorder="1" applyAlignment="1">
      <alignment horizontal="center"/>
    </xf>
    <xf numFmtId="0" fontId="0" fillId="0" borderId="38" xfId="0" applyBorder="1"/>
    <xf numFmtId="0" fontId="0" fillId="0" borderId="39" xfId="0" applyFill="1" applyBorder="1"/>
    <xf numFmtId="0" fontId="0" fillId="0" borderId="37" xfId="0" applyFill="1" applyBorder="1"/>
    <xf numFmtId="0" fontId="0" fillId="0" borderId="43" xfId="0" applyBorder="1" applyAlignment="1">
      <alignment horizontal="center"/>
    </xf>
    <xf numFmtId="0" fontId="0" fillId="0" borderId="44" xfId="0" applyFill="1" applyBorder="1"/>
    <xf numFmtId="0" fontId="0" fillId="0" borderId="45" xfId="0" applyFont="1" applyFill="1" applyBorder="1"/>
    <xf numFmtId="0" fontId="0" fillId="0" borderId="43" xfId="0" applyFont="1" applyFill="1" applyBorder="1"/>
    <xf numFmtId="0" fontId="26" fillId="0" borderId="45" xfId="0" applyFont="1" applyBorder="1" applyAlignment="1">
      <alignment horizontal="center"/>
    </xf>
    <xf numFmtId="0" fontId="26" fillId="0" borderId="44" xfId="0" applyFont="1" applyFill="1" applyBorder="1"/>
    <xf numFmtId="0" fontId="26" fillId="0" borderId="43" xfId="0" applyFont="1" applyFill="1" applyBorder="1"/>
    <xf numFmtId="0" fontId="26" fillId="0" borderId="46" xfId="0" applyFont="1" applyFill="1" applyBorder="1"/>
    <xf numFmtId="0" fontId="0" fillId="0" borderId="38" xfId="0" applyFill="1" applyBorder="1"/>
    <xf numFmtId="0" fontId="0" fillId="0" borderId="45" xfId="0" applyFill="1" applyBorder="1"/>
    <xf numFmtId="0" fontId="0" fillId="0" borderId="43" xfId="0" applyFill="1" applyBorder="1"/>
    <xf numFmtId="0" fontId="0" fillId="0" borderId="25" xfId="0" applyBorder="1" applyAlignment="1">
      <alignment horizontal="center"/>
    </xf>
    <xf numFmtId="0" fontId="4" fillId="0" borderId="25" xfId="0" applyFont="1" applyBorder="1"/>
    <xf numFmtId="42" fontId="20" fillId="4" borderId="25" xfId="0" applyNumberFormat="1" applyFont="1" applyFill="1" applyBorder="1" applyProtection="1"/>
    <xf numFmtId="0" fontId="27" fillId="0" borderId="0" xfId="0" applyFont="1" applyBorder="1"/>
    <xf numFmtId="42" fontId="20" fillId="0" borderId="42" xfId="0" applyNumberFormat="1" applyFont="1" applyBorder="1" applyProtection="1"/>
    <xf numFmtId="49" fontId="0" fillId="0" borderId="43" xfId="0" applyNumberFormat="1" applyFont="1" applyFill="1" applyBorder="1"/>
    <xf numFmtId="42" fontId="6" fillId="0" borderId="46" xfId="0" applyNumberFormat="1" applyFont="1" applyFill="1" applyBorder="1"/>
    <xf numFmtId="42" fontId="0" fillId="0" borderId="45" xfId="0" applyNumberFormat="1" applyFont="1" applyFill="1" applyBorder="1" applyProtection="1"/>
    <xf numFmtId="0" fontId="0" fillId="0" borderId="33" xfId="0" applyFill="1" applyBorder="1"/>
    <xf numFmtId="0" fontId="0" fillId="0" borderId="47" xfId="0" applyFill="1" applyBorder="1"/>
    <xf numFmtId="42" fontId="16" fillId="0" borderId="52" xfId="0" applyNumberFormat="1" applyFont="1" applyBorder="1" applyProtection="1"/>
    <xf numFmtId="0" fontId="0" fillId="0" borderId="1" xfId="0" applyBorder="1"/>
    <xf numFmtId="42" fontId="16" fillId="0" borderId="1" xfId="0" applyNumberFormat="1" applyFont="1" applyBorder="1" applyProtection="1"/>
    <xf numFmtId="42" fontId="20" fillId="7" borderId="25" xfId="0" applyNumberFormat="1" applyFont="1" applyFill="1" applyBorder="1" applyProtection="1"/>
    <xf numFmtId="0" fontId="0" fillId="0" borderId="50" xfId="0" applyFill="1" applyBorder="1"/>
    <xf numFmtId="42" fontId="28" fillId="0" borderId="52" xfId="0" applyNumberFormat="1" applyFont="1" applyBorder="1" applyProtection="1"/>
    <xf numFmtId="42" fontId="16" fillId="0" borderId="45" xfId="0" applyNumberFormat="1" applyFont="1" applyBorder="1" applyProtection="1"/>
    <xf numFmtId="0" fontId="0" fillId="0" borderId="55" xfId="0" applyFill="1" applyBorder="1"/>
    <xf numFmtId="0" fontId="0" fillId="0" borderId="1" xfId="0" applyFill="1" applyBorder="1"/>
    <xf numFmtId="0" fontId="0" fillId="0" borderId="54" xfId="0" applyFill="1" applyBorder="1"/>
    <xf numFmtId="42" fontId="28" fillId="0" borderId="1" xfId="0" applyNumberFormat="1" applyFont="1" applyBorder="1" applyProtection="1"/>
    <xf numFmtId="42" fontId="20" fillId="0" borderId="25" xfId="0" applyNumberFormat="1" applyFont="1" applyFill="1" applyBorder="1" applyProtection="1"/>
    <xf numFmtId="42" fontId="16" fillId="0" borderId="0" xfId="0" applyNumberFormat="1" applyFont="1" applyBorder="1" applyProtection="1"/>
    <xf numFmtId="3" fontId="16" fillId="0" borderId="0" xfId="0" applyNumberFormat="1" applyFont="1" applyBorder="1" applyProtection="1"/>
    <xf numFmtId="3" fontId="16" fillId="0" borderId="1" xfId="0" applyNumberFormat="1" applyFont="1" applyBorder="1" applyProtection="1"/>
    <xf numFmtId="42" fontId="16" fillId="0" borderId="10" xfId="0" applyNumberFormat="1" applyFont="1" applyBorder="1" applyProtection="1"/>
    <xf numFmtId="3" fontId="0" fillId="0" borderId="45" xfId="0" applyNumberFormat="1" applyFont="1" applyFill="1" applyBorder="1" applyProtection="1"/>
    <xf numFmtId="0" fontId="0" fillId="0" borderId="0" xfId="0" applyFont="1"/>
    <xf numFmtId="0" fontId="29" fillId="0" borderId="43" xfId="0" applyFont="1" applyFill="1" applyBorder="1"/>
    <xf numFmtId="0" fontId="29" fillId="0" borderId="46" xfId="0" applyFont="1" applyFill="1" applyBorder="1"/>
    <xf numFmtId="0" fontId="29" fillId="0" borderId="0" xfId="0" applyFont="1"/>
    <xf numFmtId="0" fontId="0" fillId="0" borderId="45" xfId="0" applyFont="1" applyBorder="1" applyAlignment="1">
      <alignment horizontal="center"/>
    </xf>
    <xf numFmtId="0" fontId="30" fillId="0" borderId="46" xfId="0" applyFont="1" applyFill="1" applyBorder="1"/>
    <xf numFmtId="0" fontId="30" fillId="0" borderId="0" xfId="0" applyFont="1"/>
    <xf numFmtId="0" fontId="31" fillId="0" borderId="43" xfId="0" applyFont="1" applyFill="1" applyBorder="1"/>
    <xf numFmtId="0" fontId="0" fillId="0" borderId="46" xfId="0" applyFont="1" applyFill="1" applyBorder="1"/>
    <xf numFmtId="0" fontId="0" fillId="0" borderId="0" xfId="0" applyFont="1" applyFill="1" applyBorder="1"/>
    <xf numFmtId="3" fontId="0" fillId="0" borderId="0" xfId="0" applyNumberFormat="1" applyFont="1" applyFill="1" applyBorder="1" applyProtection="1"/>
    <xf numFmtId="3" fontId="20" fillId="0" borderId="25" xfId="0" applyNumberFormat="1" applyFont="1" applyFill="1" applyBorder="1" applyProtection="1"/>
    <xf numFmtId="0" fontId="19" fillId="10" borderId="25" xfId="0" applyFont="1" applyFill="1" applyBorder="1" applyAlignment="1">
      <alignment horizontal="center"/>
    </xf>
    <xf numFmtId="0" fontId="25" fillId="10" borderId="25" xfId="0" applyFont="1" applyFill="1" applyBorder="1"/>
    <xf numFmtId="0" fontId="0" fillId="0" borderId="57" xfId="0" applyFill="1" applyBorder="1"/>
    <xf numFmtId="0" fontId="0" fillId="0" borderId="46" xfId="0" applyFill="1" applyBorder="1"/>
    <xf numFmtId="0" fontId="0" fillId="0" borderId="60" xfId="0" applyFill="1" applyBorder="1"/>
    <xf numFmtId="0" fontId="0" fillId="0" borderId="58" xfId="0" applyFill="1" applyBorder="1"/>
    <xf numFmtId="0" fontId="10" fillId="2" borderId="1" xfId="0" applyFont="1" applyFill="1" applyBorder="1" applyAlignment="1">
      <alignment horizontal="left"/>
    </xf>
    <xf numFmtId="0" fontId="10" fillId="2" borderId="1" xfId="0" applyFont="1" applyFill="1" applyBorder="1" applyAlignment="1">
      <alignment horizontal="right"/>
    </xf>
    <xf numFmtId="3" fontId="20" fillId="2" borderId="1" xfId="0" applyNumberFormat="1" applyFont="1" applyFill="1" applyBorder="1" applyProtection="1"/>
    <xf numFmtId="42" fontId="20" fillId="7" borderId="1" xfId="0" applyNumberFormat="1" applyFont="1" applyFill="1" applyBorder="1" applyProtection="1"/>
    <xf numFmtId="42" fontId="20" fillId="2" borderId="10" xfId="0" applyNumberFormat="1" applyFont="1" applyFill="1" applyBorder="1" applyProtection="1"/>
    <xf numFmtId="3" fontId="19" fillId="11" borderId="25" xfId="0" applyNumberFormat="1" applyFont="1" applyFill="1" applyBorder="1" applyAlignment="1">
      <alignment horizontal="center"/>
    </xf>
    <xf numFmtId="0" fontId="35" fillId="11" borderId="25" xfId="0" applyFont="1" applyFill="1" applyBorder="1"/>
    <xf numFmtId="0" fontId="19" fillId="11" borderId="25" xfId="0" applyFont="1" applyFill="1" applyBorder="1"/>
    <xf numFmtId="3" fontId="21" fillId="11" borderId="25" xfId="0" applyNumberFormat="1" applyFont="1" applyFill="1" applyBorder="1" applyProtection="1"/>
    <xf numFmtId="3" fontId="21" fillId="11" borderId="42" xfId="0" applyNumberFormat="1" applyFont="1" applyFill="1" applyBorder="1" applyProtection="1"/>
    <xf numFmtId="0" fontId="0" fillId="0" borderId="0" xfId="0" applyBorder="1" applyAlignment="1">
      <alignment horizontal="center" vertical="center"/>
    </xf>
    <xf numFmtId="0" fontId="0" fillId="0" borderId="0" xfId="0" applyProtection="1"/>
    <xf numFmtId="42" fontId="0" fillId="0" borderId="0" xfId="0" applyNumberFormat="1" applyAlignment="1" applyProtection="1">
      <alignment horizontal="center"/>
    </xf>
    <xf numFmtId="0" fontId="0" fillId="4" borderId="55" xfId="0" applyFill="1" applyBorder="1" applyAlignment="1">
      <alignment horizontal="left"/>
    </xf>
    <xf numFmtId="0" fontId="0" fillId="4" borderId="1" xfId="0" applyFill="1" applyBorder="1" applyAlignment="1">
      <alignment horizontal="center"/>
    </xf>
    <xf numFmtId="0" fontId="0" fillId="0" borderId="0" xfId="0" applyAlignment="1">
      <alignment vertical="top"/>
    </xf>
    <xf numFmtId="0" fontId="0" fillId="2" borderId="23" xfId="0" applyFill="1" applyBorder="1" applyAlignment="1">
      <alignment vertical="top"/>
    </xf>
    <xf numFmtId="0" fontId="0" fillId="0" borderId="0" xfId="0"/>
    <xf numFmtId="164" fontId="0" fillId="0" borderId="0" xfId="0" applyNumberFormat="1"/>
    <xf numFmtId="165" fontId="0" fillId="0" borderId="0" xfId="0" applyNumberFormat="1" applyFont="1" applyFill="1" applyBorder="1"/>
    <xf numFmtId="41" fontId="0" fillId="0" borderId="0" xfId="0" applyNumberFormat="1" applyAlignment="1">
      <alignment horizontal="right" vertical="top"/>
    </xf>
    <xf numFmtId="164" fontId="1" fillId="0" borderId="0" xfId="0" applyNumberFormat="1" applyFont="1" applyFill="1"/>
    <xf numFmtId="165" fontId="1" fillId="0" borderId="0" xfId="0" applyNumberFormat="1" applyFont="1" applyFill="1"/>
    <xf numFmtId="0" fontId="11" fillId="14" borderId="68" xfId="0" applyFont="1" applyFill="1" applyBorder="1" applyAlignment="1">
      <alignment horizontal="center"/>
    </xf>
    <xf numFmtId="164" fontId="11" fillId="0" borderId="69" xfId="2" applyNumberFormat="1" applyFont="1" applyFill="1" applyBorder="1" applyAlignment="1">
      <alignment horizontal="center"/>
    </xf>
    <xf numFmtId="0" fontId="8" fillId="0" borderId="70" xfId="0" applyFont="1" applyFill="1" applyBorder="1" applyAlignment="1">
      <alignment horizontal="center"/>
    </xf>
    <xf numFmtId="39" fontId="10" fillId="0" borderId="0" xfId="3" applyFont="1" applyFill="1" applyAlignment="1" applyProtection="1">
      <alignment horizontal="centerContinuous"/>
    </xf>
    <xf numFmtId="0" fontId="3" fillId="0" borderId="0" xfId="4" applyFill="1" applyProtection="1"/>
    <xf numFmtId="39" fontId="4" fillId="0" borderId="0" xfId="3" applyNumberFormat="1" applyFont="1" applyFill="1" applyProtection="1"/>
    <xf numFmtId="39" fontId="3" fillId="0" borderId="0" xfId="3" applyNumberFormat="1" applyFont="1" applyFill="1" applyProtection="1"/>
    <xf numFmtId="39" fontId="3" fillId="0" borderId="0" xfId="3" applyNumberFormat="1" applyFont="1" applyFill="1" applyAlignment="1" applyProtection="1">
      <alignment horizontal="left"/>
    </xf>
    <xf numFmtId="39" fontId="3" fillId="0" borderId="0" xfId="3" applyNumberFormat="1" applyFont="1" applyFill="1" applyAlignment="1" applyProtection="1">
      <alignment horizontal="center"/>
    </xf>
    <xf numFmtId="39" fontId="4" fillId="0" borderId="0" xfId="3" applyNumberFormat="1" applyFont="1" applyFill="1" applyAlignment="1" applyProtection="1">
      <alignment horizontal="left"/>
    </xf>
    <xf numFmtId="39" fontId="8" fillId="0" borderId="0" xfId="3" applyNumberFormat="1" applyFont="1" applyFill="1" applyProtection="1"/>
    <xf numFmtId="39" fontId="8" fillId="0" borderId="0" xfId="3" applyNumberFormat="1" applyFont="1" applyFill="1" applyAlignment="1" applyProtection="1">
      <alignment horizontal="fill"/>
    </xf>
    <xf numFmtId="39" fontId="8" fillId="0" borderId="0" xfId="3" applyFont="1" applyFill="1" applyProtection="1"/>
    <xf numFmtId="39" fontId="8" fillId="0" borderId="0" xfId="3" applyNumberFormat="1" applyFont="1" applyFill="1" applyAlignment="1" applyProtection="1">
      <alignment horizontal="left"/>
    </xf>
    <xf numFmtId="39" fontId="8" fillId="0" borderId="0" xfId="3" applyNumberFormat="1" applyFont="1" applyFill="1" applyAlignment="1" applyProtection="1">
      <alignment horizontal="left" indent="1"/>
    </xf>
    <xf numFmtId="39" fontId="8" fillId="0" borderId="0" xfId="3" applyFont="1" applyFill="1" applyBorder="1" applyAlignment="1" applyProtection="1">
      <alignment horizontal="left" indent="1"/>
    </xf>
    <xf numFmtId="39" fontId="8" fillId="0" borderId="0" xfId="3" applyFont="1" applyFill="1" applyBorder="1" applyAlignment="1" applyProtection="1">
      <alignment horizontal="left"/>
    </xf>
    <xf numFmtId="39" fontId="8" fillId="0" borderId="0" xfId="3" applyFont="1" applyFill="1" applyAlignment="1" applyProtection="1">
      <alignment horizontal="left" indent="1"/>
    </xf>
    <xf numFmtId="39" fontId="8" fillId="0" borderId="0" xfId="3" applyFont="1" applyFill="1" applyAlignment="1" applyProtection="1">
      <alignment horizontal="left"/>
    </xf>
    <xf numFmtId="39" fontId="8" fillId="0" borderId="0" xfId="6" applyFont="1" applyFill="1" applyAlignment="1" applyProtection="1">
      <alignment horizontal="left"/>
    </xf>
    <xf numFmtId="0" fontId="37" fillId="0" borderId="0" xfId="0" applyFont="1"/>
    <xf numFmtId="0" fontId="0" fillId="15" borderId="23" xfId="0" applyFont="1" applyFill="1" applyBorder="1"/>
    <xf numFmtId="41" fontId="0" fillId="0" borderId="0" xfId="0" applyNumberFormat="1" applyFont="1" applyAlignment="1">
      <alignment horizontal="right"/>
    </xf>
    <xf numFmtId="41" fontId="37" fillId="0" borderId="0" xfId="0" applyNumberFormat="1" applyFont="1"/>
    <xf numFmtId="0" fontId="3" fillId="0" borderId="0" xfId="7" applyNumberFormat="1" applyAlignment="1"/>
    <xf numFmtId="0" fontId="0" fillId="0" borderId="71" xfId="0" applyBorder="1" applyAlignment="1">
      <alignment horizontal="center"/>
    </xf>
    <xf numFmtId="0" fontId="0" fillId="0" borderId="56" xfId="0" applyFill="1" applyBorder="1"/>
    <xf numFmtId="0" fontId="42" fillId="0" borderId="43" xfId="0" applyFont="1" applyFill="1" applyBorder="1"/>
    <xf numFmtId="0" fontId="0" fillId="0" borderId="57" xfId="0" applyFont="1" applyFill="1" applyBorder="1"/>
    <xf numFmtId="42" fontId="16" fillId="0" borderId="42" xfId="0" applyNumberFormat="1" applyFont="1" applyBorder="1" applyProtection="1"/>
    <xf numFmtId="0" fontId="0" fillId="0" borderId="67" xfId="0" applyBorder="1" applyAlignment="1">
      <alignment horizontal="center"/>
    </xf>
    <xf numFmtId="0" fontId="4" fillId="0" borderId="67" xfId="0" applyFont="1" applyBorder="1"/>
    <xf numFmtId="3" fontId="20" fillId="0" borderId="67" xfId="0" applyNumberFormat="1" applyFont="1" applyFill="1" applyBorder="1" applyProtection="1"/>
    <xf numFmtId="42" fontId="20" fillId="0" borderId="67" xfId="0" applyNumberFormat="1" applyFont="1" applyFill="1" applyBorder="1" applyProtection="1"/>
    <xf numFmtId="0" fontId="3" fillId="0" borderId="0" xfId="0" applyFont="1" applyFill="1" applyAlignment="1">
      <alignment horizontal="center"/>
    </xf>
    <xf numFmtId="0" fontId="7" fillId="0" borderId="0" xfId="0" applyFont="1" applyFill="1" applyAlignment="1">
      <alignment horizontal="left" wrapText="1"/>
    </xf>
    <xf numFmtId="0" fontId="4" fillId="0" borderId="0" xfId="0" applyFont="1" applyFill="1" applyBorder="1"/>
    <xf numFmtId="0" fontId="44" fillId="0" borderId="0" xfId="0" applyFont="1" applyFill="1" applyAlignment="1">
      <alignment horizontal="left"/>
    </xf>
    <xf numFmtId="0" fontId="46" fillId="0" borderId="0" xfId="0" applyFont="1" applyFill="1"/>
    <xf numFmtId="165" fontId="0" fillId="0" borderId="2" xfId="0" applyNumberFormat="1" applyFont="1" applyFill="1" applyBorder="1"/>
    <xf numFmtId="165" fontId="3" fillId="0" borderId="2" xfId="0" quotePrefix="1" applyNumberFormat="1" applyFont="1" applyFill="1" applyBorder="1" applyAlignment="1">
      <alignment horizontal="right"/>
    </xf>
    <xf numFmtId="165" fontId="3" fillId="0" borderId="9" xfId="0" applyNumberFormat="1" applyFont="1" applyFill="1" applyBorder="1"/>
    <xf numFmtId="0" fontId="0" fillId="0" borderId="64" xfId="0" applyBorder="1"/>
    <xf numFmtId="0" fontId="0" fillId="0" borderId="67" xfId="0" applyBorder="1"/>
    <xf numFmtId="0" fontId="2" fillId="0" borderId="0" xfId="0" applyFont="1"/>
    <xf numFmtId="0" fontId="0" fillId="0" borderId="65" xfId="0" applyFill="1" applyBorder="1"/>
    <xf numFmtId="0" fontId="2" fillId="0" borderId="7" xfId="0" applyFont="1" applyBorder="1"/>
    <xf numFmtId="164" fontId="2" fillId="0" borderId="8" xfId="0" applyNumberFormat="1" applyFont="1" applyFill="1" applyBorder="1"/>
    <xf numFmtId="41" fontId="2" fillId="0" borderId="8" xfId="0" applyNumberFormat="1" applyFont="1" applyFill="1" applyBorder="1"/>
    <xf numFmtId="164" fontId="2" fillId="0" borderId="73" xfId="0" applyNumberFormat="1" applyFont="1" applyFill="1" applyBorder="1"/>
    <xf numFmtId="0" fontId="2" fillId="0" borderId="7" xfId="0" applyFont="1" applyBorder="1" applyAlignment="1">
      <alignment horizontal="left" indent="1"/>
    </xf>
    <xf numFmtId="0" fontId="2" fillId="0" borderId="7" xfId="0" applyFont="1" applyBorder="1" applyAlignment="1">
      <alignment horizontal="left"/>
    </xf>
    <xf numFmtId="0" fontId="2" fillId="0" borderId="62" xfId="0" applyFont="1" applyBorder="1" applyAlignment="1">
      <alignment horizontal="left"/>
    </xf>
    <xf numFmtId="164" fontId="2" fillId="0" borderId="63" xfId="0" applyNumberFormat="1" applyFont="1" applyFill="1" applyBorder="1"/>
    <xf numFmtId="0" fontId="2" fillId="0" borderId="0" xfId="0" applyFont="1" applyBorder="1" applyAlignment="1">
      <alignment horizontal="left"/>
    </xf>
    <xf numFmtId="164" fontId="47" fillId="0" borderId="0" xfId="0" applyNumberFormat="1" applyFont="1" applyFill="1" applyBorder="1"/>
    <xf numFmtId="0" fontId="47" fillId="0" borderId="0" xfId="0" applyFont="1"/>
    <xf numFmtId="0" fontId="2" fillId="0" borderId="0" xfId="0" applyFont="1" applyAlignment="1">
      <alignment horizontal="left"/>
    </xf>
    <xf numFmtId="0" fontId="3" fillId="15" borderId="23" xfId="4" applyFont="1" applyFill="1" applyBorder="1"/>
    <xf numFmtId="0" fontId="45" fillId="0" borderId="0" xfId="0" applyFont="1" applyFill="1"/>
    <xf numFmtId="0" fontId="45" fillId="0" borderId="0" xfId="0" applyFont="1" applyFill="1" applyAlignment="1">
      <alignment horizontal="center"/>
    </xf>
    <xf numFmtId="0" fontId="45" fillId="0" borderId="1" xfId="0" applyFont="1" applyFill="1" applyBorder="1" applyAlignment="1">
      <alignment horizontal="center"/>
    </xf>
    <xf numFmtId="0" fontId="45" fillId="0" borderId="1" xfId="0" applyFont="1" applyFill="1" applyBorder="1" applyAlignment="1">
      <alignment horizontal="centerContinuous"/>
    </xf>
    <xf numFmtId="0" fontId="0" fillId="0" borderId="0" xfId="0" applyFill="1" applyAlignment="1">
      <alignment vertical="top"/>
    </xf>
    <xf numFmtId="41" fontId="0" fillId="0" borderId="0" xfId="0" applyNumberFormat="1" applyFill="1" applyAlignment="1">
      <alignment horizontal="right" vertical="top"/>
    </xf>
    <xf numFmtId="42" fontId="0" fillId="0" borderId="0" xfId="0" applyNumberFormat="1"/>
    <xf numFmtId="0" fontId="0" fillId="0" borderId="0" xfId="0" applyAlignment="1">
      <alignment horizontal="right"/>
    </xf>
    <xf numFmtId="42" fontId="0" fillId="0" borderId="22" xfId="0" applyNumberFormat="1" applyBorder="1"/>
    <xf numFmtId="39" fontId="63" fillId="0" borderId="0" xfId="3" applyFont="1" applyFill="1" applyAlignment="1" applyProtection="1"/>
    <xf numFmtId="44" fontId="64" fillId="0" borderId="0" xfId="3" applyNumberFormat="1" applyFont="1" applyFill="1" applyAlignment="1" applyProtection="1">
      <alignment horizontal="right"/>
    </xf>
    <xf numFmtId="0" fontId="3" fillId="0" borderId="0" xfId="4"/>
    <xf numFmtId="0" fontId="62" fillId="0" borderId="0" xfId="0" quotePrefix="1" applyNumberFormat="1" applyFont="1" applyFill="1" applyBorder="1" applyAlignment="1">
      <alignment horizontal="right"/>
    </xf>
    <xf numFmtId="0" fontId="15" fillId="0" borderId="0" xfId="4" applyNumberFormat="1" applyFont="1" applyFill="1" applyAlignment="1" applyProtection="1">
      <alignment horizontal="centerContinuous"/>
      <protection locked="0"/>
    </xf>
    <xf numFmtId="0" fontId="15" fillId="0" borderId="0" xfId="4" applyNumberFormat="1" applyFont="1" applyFill="1" applyAlignment="1">
      <alignment horizontal="centerContinuous"/>
    </xf>
    <xf numFmtId="0" fontId="65" fillId="0" borderId="0" xfId="4" applyNumberFormat="1" applyFont="1" applyFill="1" applyAlignment="1">
      <alignment horizontal="centerContinuous"/>
    </xf>
    <xf numFmtId="0" fontId="62" fillId="0" borderId="0" xfId="0" applyNumberFormat="1" applyFont="1" applyFill="1" applyAlignment="1">
      <alignment horizontal="centerContinuous"/>
    </xf>
    <xf numFmtId="0" fontId="14" fillId="0" borderId="0" xfId="0" applyNumberFormat="1" applyFont="1" applyFill="1" applyAlignment="1">
      <alignment horizontal="centerContinuous"/>
    </xf>
    <xf numFmtId="0" fontId="14" fillId="0" borderId="0" xfId="0" applyNumberFormat="1" applyFont="1" applyFill="1" applyBorder="1" applyAlignment="1">
      <alignment horizontal="centerContinuous"/>
    </xf>
    <xf numFmtId="0" fontId="0" fillId="0" borderId="0" xfId="0" applyFill="1" applyAlignment="1">
      <alignment horizontal="centerContinuous" wrapText="1"/>
    </xf>
    <xf numFmtId="0" fontId="15" fillId="0" borderId="0" xfId="4" applyNumberFormat="1" applyFont="1" applyFill="1" applyAlignment="1"/>
    <xf numFmtId="0" fontId="15" fillId="0" borderId="0" xfId="4" applyNumberFormat="1" applyFont="1" applyFill="1" applyAlignment="1">
      <alignment horizontal="center"/>
    </xf>
    <xf numFmtId="0" fontId="15" fillId="0" borderId="1" xfId="4" applyNumberFormat="1" applyFont="1" applyFill="1" applyBorder="1" applyAlignment="1">
      <alignment horizontal="center"/>
    </xf>
    <xf numFmtId="0" fontId="15" fillId="0" borderId="1" xfId="4" applyNumberFormat="1" applyFont="1" applyFill="1" applyBorder="1" applyAlignment="1" applyProtection="1">
      <protection locked="0"/>
    </xf>
    <xf numFmtId="0" fontId="15" fillId="0" borderId="1" xfId="4" applyNumberFormat="1" applyFont="1" applyFill="1" applyBorder="1" applyAlignment="1"/>
    <xf numFmtId="0" fontId="15" fillId="0" borderId="1" xfId="4" applyNumberFormat="1" applyFont="1" applyFill="1" applyBorder="1" applyAlignment="1">
      <alignment horizontal="right"/>
    </xf>
    <xf numFmtId="0" fontId="14" fillId="0" borderId="0" xfId="4" applyNumberFormat="1" applyFont="1" applyFill="1" applyAlignment="1"/>
    <xf numFmtId="0" fontId="14" fillId="0" borderId="0" xfId="4" quotePrefix="1" applyNumberFormat="1" applyFont="1" applyFill="1" applyAlignment="1">
      <alignment horizontal="center"/>
    </xf>
    <xf numFmtId="0" fontId="14" fillId="0" borderId="0" xfId="4" applyNumberFormat="1" applyFont="1" applyFill="1" applyAlignment="1">
      <alignment horizontal="center"/>
    </xf>
    <xf numFmtId="0" fontId="14" fillId="0" borderId="0" xfId="4" applyNumberFormat="1" applyFont="1" applyFill="1" applyAlignment="1">
      <alignment horizontal="left"/>
    </xf>
    <xf numFmtId="170" fontId="14" fillId="0" borderId="0" xfId="4" applyNumberFormat="1" applyFont="1" applyFill="1" applyAlignment="1"/>
    <xf numFmtId="0" fontId="1" fillId="0" borderId="0" xfId="4" applyNumberFormat="1" applyFont="1" applyFill="1" applyAlignment="1"/>
    <xf numFmtId="171" fontId="14" fillId="0" borderId="0" xfId="4" applyNumberFormat="1" applyFont="1" applyFill="1" applyAlignment="1"/>
    <xf numFmtId="170" fontId="14" fillId="0" borderId="0" xfId="4" applyNumberFormat="1" applyFont="1" applyFill="1" applyBorder="1" applyAlignment="1"/>
    <xf numFmtId="42" fontId="0" fillId="0" borderId="0" xfId="2" applyNumberFormat="1" applyFont="1"/>
    <xf numFmtId="37" fontId="12" fillId="0" borderId="0" xfId="0" applyNumberFormat="1" applyFont="1"/>
    <xf numFmtId="0" fontId="0" fillId="0" borderId="0" xfId="0" applyAlignment="1">
      <alignment horizontal="centerContinuous"/>
    </xf>
    <xf numFmtId="0" fontId="0" fillId="47" borderId="0" xfId="0" applyFill="1"/>
    <xf numFmtId="0" fontId="0" fillId="48" borderId="0" xfId="0" applyFill="1"/>
    <xf numFmtId="0" fontId="0" fillId="49" borderId="0" xfId="0" applyFill="1"/>
    <xf numFmtId="37" fontId="3" fillId="0" borderId="0" xfId="0" applyNumberFormat="1" applyFont="1" applyFill="1" applyBorder="1"/>
    <xf numFmtId="165" fontId="34" fillId="0" borderId="0" xfId="0" applyNumberFormat="1" applyFont="1" applyFill="1" applyBorder="1"/>
    <xf numFmtId="0" fontId="34" fillId="0" borderId="0" xfId="0" applyFont="1" applyFill="1"/>
    <xf numFmtId="42" fontId="34" fillId="0" borderId="0" xfId="0" applyNumberFormat="1" applyFont="1" applyFill="1" applyBorder="1"/>
    <xf numFmtId="0" fontId="11" fillId="14" borderId="85" xfId="0" applyFont="1" applyFill="1" applyBorder="1" applyAlignment="1">
      <alignment horizontal="center"/>
    </xf>
    <xf numFmtId="164" fontId="8" fillId="0" borderId="86" xfId="2" applyNumberFormat="1" applyFont="1" applyFill="1" applyBorder="1"/>
    <xf numFmtId="164" fontId="11" fillId="0" borderId="87" xfId="0" applyNumberFormat="1" applyFont="1" applyFill="1" applyBorder="1"/>
    <xf numFmtId="0" fontId="3" fillId="0" borderId="0" xfId="0" applyFont="1" applyFill="1" applyAlignment="1">
      <alignment horizontal="center"/>
    </xf>
    <xf numFmtId="0" fontId="17" fillId="0" borderId="0" xfId="52"/>
    <xf numFmtId="0" fontId="17" fillId="0" borderId="0" xfId="52" applyAlignment="1">
      <alignment horizontal="center"/>
    </xf>
    <xf numFmtId="10" fontId="0" fillId="0" borderId="0" xfId="53" applyNumberFormat="1" applyFont="1"/>
    <xf numFmtId="0" fontId="17" fillId="0" borderId="0" xfId="52" applyProtection="1"/>
    <xf numFmtId="3" fontId="17" fillId="0" borderId="1" xfId="52" applyNumberFormat="1" applyBorder="1" applyProtection="1"/>
    <xf numFmtId="0" fontId="17" fillId="4" borderId="1" xfId="52" applyFill="1" applyBorder="1" applyAlignment="1">
      <alignment horizontal="center"/>
    </xf>
    <xf numFmtId="0" fontId="17" fillId="4" borderId="55" xfId="52" applyFill="1" applyBorder="1" applyAlignment="1">
      <alignment horizontal="left"/>
    </xf>
    <xf numFmtId="167" fontId="0" fillId="4" borderId="25" xfId="53" applyNumberFormat="1" applyFont="1" applyFill="1" applyBorder="1" applyAlignment="1" applyProtection="1">
      <alignment horizontal="center" vertical="center"/>
    </xf>
    <xf numFmtId="3" fontId="17" fillId="0" borderId="2" xfId="52" applyNumberFormat="1" applyBorder="1" applyAlignment="1" applyProtection="1">
      <alignment vertical="center"/>
    </xf>
    <xf numFmtId="42" fontId="17" fillId="0" borderId="0" xfId="52" applyNumberFormat="1" applyAlignment="1" applyProtection="1">
      <alignment horizontal="center"/>
    </xf>
    <xf numFmtId="0" fontId="17" fillId="0" borderId="1" xfId="52" applyBorder="1" applyProtection="1"/>
    <xf numFmtId="0" fontId="17" fillId="0" borderId="1" xfId="52" applyBorder="1"/>
    <xf numFmtId="167" fontId="0" fillId="7" borderId="26" xfId="53" applyNumberFormat="1" applyFont="1" applyFill="1" applyBorder="1" applyAlignment="1" applyProtection="1">
      <alignment horizontal="center"/>
    </xf>
    <xf numFmtId="3" fontId="17" fillId="0" borderId="25" xfId="52" applyNumberFormat="1" applyBorder="1" applyProtection="1"/>
    <xf numFmtId="167" fontId="0" fillId="7" borderId="25" xfId="53" applyNumberFormat="1" applyFont="1" applyFill="1" applyBorder="1" applyAlignment="1" applyProtection="1">
      <alignment horizontal="center"/>
    </xf>
    <xf numFmtId="0" fontId="17" fillId="7" borderId="25" xfId="52" applyFill="1" applyBorder="1" applyAlignment="1">
      <alignment horizontal="center"/>
    </xf>
    <xf numFmtId="0" fontId="17" fillId="7" borderId="25" xfId="52" applyFill="1" applyBorder="1" applyAlignment="1">
      <alignment horizontal="left"/>
    </xf>
    <xf numFmtId="0" fontId="17" fillId="7" borderId="24" xfId="52" applyFill="1" applyBorder="1" applyAlignment="1">
      <alignment horizontal="left"/>
    </xf>
    <xf numFmtId="175" fontId="32" fillId="0" borderId="0" xfId="52" applyNumberFormat="1" applyFont="1" applyFill="1" applyBorder="1" applyAlignment="1" applyProtection="1">
      <alignment vertical="center"/>
    </xf>
    <xf numFmtId="42" fontId="4" fillId="0" borderId="0" xfId="52" applyNumberFormat="1" applyFont="1" applyFill="1" applyBorder="1" applyAlignment="1" applyProtection="1">
      <alignment vertical="center"/>
    </xf>
    <xf numFmtId="3" fontId="4" fillId="0" borderId="0" xfId="52" applyNumberFormat="1" applyFont="1" applyFill="1" applyBorder="1" applyAlignment="1" applyProtection="1">
      <alignment vertical="center"/>
    </xf>
    <xf numFmtId="173" fontId="4" fillId="0" borderId="0" xfId="52" applyNumberFormat="1" applyFont="1" applyFill="1" applyBorder="1" applyAlignment="1" applyProtection="1">
      <alignment vertical="center"/>
    </xf>
    <xf numFmtId="0" fontId="10" fillId="0" borderId="0" xfId="52" applyFont="1" applyFill="1" applyBorder="1" applyAlignment="1">
      <alignment vertical="center"/>
    </xf>
    <xf numFmtId="0" fontId="17" fillId="0" borderId="0" xfId="52" applyFill="1" applyBorder="1" applyAlignment="1">
      <alignment vertical="center"/>
    </xf>
    <xf numFmtId="0" fontId="17" fillId="0" borderId="0" xfId="52" applyBorder="1"/>
    <xf numFmtId="0" fontId="17" fillId="0" borderId="0" xfId="52" applyBorder="1" applyAlignment="1">
      <alignment horizontal="center" vertical="center"/>
    </xf>
    <xf numFmtId="42" fontId="16" fillId="0" borderId="1" xfId="52" applyNumberFormat="1" applyFont="1" applyBorder="1" applyProtection="1"/>
    <xf numFmtId="3" fontId="16" fillId="0" borderId="1" xfId="52" applyNumberFormat="1" applyFont="1" applyBorder="1" applyProtection="1"/>
    <xf numFmtId="0" fontId="17" fillId="0" borderId="0" xfId="52" applyBorder="1" applyAlignment="1">
      <alignment horizontal="center"/>
    </xf>
    <xf numFmtId="0" fontId="17" fillId="0" borderId="67" xfId="52" applyBorder="1" applyAlignment="1">
      <alignment horizontal="center"/>
    </xf>
    <xf numFmtId="0" fontId="17" fillId="0" borderId="8" xfId="52" applyBorder="1"/>
    <xf numFmtId="42" fontId="20" fillId="0" borderId="25" xfId="52" applyNumberFormat="1" applyFont="1" applyFill="1" applyBorder="1" applyProtection="1"/>
    <xf numFmtId="3" fontId="20" fillId="0" borderId="25" xfId="52" applyNumberFormat="1" applyFont="1" applyFill="1" applyBorder="1" applyProtection="1"/>
    <xf numFmtId="0" fontId="4" fillId="0" borderId="24" xfId="52" applyFont="1" applyBorder="1"/>
    <xf numFmtId="0" fontId="4" fillId="0" borderId="23" xfId="52" applyFont="1" applyBorder="1"/>
    <xf numFmtId="0" fontId="4" fillId="0" borderId="26" xfId="52" applyFont="1" applyBorder="1"/>
    <xf numFmtId="0" fontId="17" fillId="0" borderId="25" xfId="52" applyBorder="1" applyAlignment="1">
      <alignment horizontal="center"/>
    </xf>
    <xf numFmtId="42" fontId="17" fillId="0" borderId="2" xfId="52" applyNumberFormat="1" applyFill="1" applyBorder="1" applyProtection="1"/>
    <xf numFmtId="3" fontId="16" fillId="0" borderId="2" xfId="52" applyNumberFormat="1" applyFont="1" applyBorder="1" applyProtection="1"/>
    <xf numFmtId="42" fontId="16" fillId="0" borderId="2" xfId="52" applyNumberFormat="1" applyFont="1" applyBorder="1" applyProtection="1"/>
    <xf numFmtId="0" fontId="17" fillId="0" borderId="26" xfId="52" applyBorder="1"/>
    <xf numFmtId="0" fontId="17" fillId="0" borderId="2" xfId="52" applyBorder="1"/>
    <xf numFmtId="0" fontId="17" fillId="0" borderId="24" xfId="52" applyBorder="1"/>
    <xf numFmtId="0" fontId="17" fillId="0" borderId="2" xfId="52" applyBorder="1" applyAlignment="1">
      <alignment horizontal="center"/>
    </xf>
    <xf numFmtId="42" fontId="17" fillId="0" borderId="52" xfId="52" applyNumberFormat="1" applyFill="1" applyBorder="1" applyProtection="1"/>
    <xf numFmtId="3" fontId="16" fillId="0" borderId="52" xfId="52" applyNumberFormat="1" applyFont="1" applyBorder="1" applyProtection="1"/>
    <xf numFmtId="42" fontId="16" fillId="0" borderId="52" xfId="52" applyNumberFormat="1" applyFont="1" applyBorder="1" applyProtection="1"/>
    <xf numFmtId="3" fontId="16" fillId="0" borderId="51" xfId="52" applyNumberFormat="1" applyFont="1" applyBorder="1" applyProtection="1"/>
    <xf numFmtId="0" fontId="17" fillId="0" borderId="49" xfId="52" applyBorder="1"/>
    <xf numFmtId="0" fontId="17" fillId="0" borderId="51" xfId="52" applyBorder="1"/>
    <xf numFmtId="0" fontId="17" fillId="0" borderId="50" xfId="52" applyBorder="1"/>
    <xf numFmtId="0" fontId="17" fillId="0" borderId="49" xfId="52" applyBorder="1" applyAlignment="1">
      <alignment horizontal="center"/>
    </xf>
    <xf numFmtId="3" fontId="21" fillId="11" borderId="42" xfId="52" applyNumberFormat="1" applyFont="1" applyFill="1" applyBorder="1" applyProtection="1"/>
    <xf numFmtId="3" fontId="21" fillId="11" borderId="25" xfId="52" applyNumberFormat="1" applyFont="1" applyFill="1" applyBorder="1" applyProtection="1"/>
    <xf numFmtId="0" fontId="19" fillId="11" borderId="25" xfId="52" applyFont="1" applyFill="1" applyBorder="1"/>
    <xf numFmtId="0" fontId="35" fillId="11" borderId="25" xfId="52" applyFont="1" applyFill="1" applyBorder="1"/>
    <xf numFmtId="3" fontId="19" fillId="11" borderId="25" xfId="52" applyNumberFormat="1" applyFont="1" applyFill="1" applyBorder="1" applyAlignment="1">
      <alignment horizontal="center"/>
    </xf>
    <xf numFmtId="42" fontId="16" fillId="0" borderId="10" xfId="52" applyNumberFormat="1" applyFont="1" applyBorder="1" applyProtection="1"/>
    <xf numFmtId="173" fontId="20" fillId="0" borderId="1" xfId="52" applyNumberFormat="1" applyFont="1" applyBorder="1" applyProtection="1"/>
    <xf numFmtId="0" fontId="17" fillId="0" borderId="1" xfId="52" applyBorder="1" applyAlignment="1">
      <alignment horizontal="center"/>
    </xf>
    <xf numFmtId="42" fontId="20" fillId="2" borderId="10" xfId="52" applyNumberFormat="1" applyFont="1" applyFill="1" applyBorder="1" applyProtection="1"/>
    <xf numFmtId="42" fontId="20" fillId="7" borderId="1" xfId="52" applyNumberFormat="1" applyFont="1" applyFill="1" applyBorder="1" applyProtection="1"/>
    <xf numFmtId="3" fontId="20" fillId="2" borderId="1" xfId="52" applyNumberFormat="1" applyFont="1" applyFill="1" applyBorder="1" applyProtection="1"/>
    <xf numFmtId="0" fontId="10" fillId="2" borderId="1" xfId="52" applyFont="1" applyFill="1" applyBorder="1" applyAlignment="1">
      <alignment horizontal="right"/>
    </xf>
    <xf numFmtId="0" fontId="10" fillId="2" borderId="1" xfId="52" applyFont="1" applyFill="1" applyBorder="1" applyAlignment="1">
      <alignment horizontal="left"/>
    </xf>
    <xf numFmtId="42" fontId="16" fillId="0" borderId="42" xfId="52" applyNumberFormat="1" applyFont="1" applyBorder="1" applyProtection="1"/>
    <xf numFmtId="37" fontId="20" fillId="0" borderId="25" xfId="52" applyNumberFormat="1" applyFont="1" applyFill="1" applyBorder="1" applyProtection="1"/>
    <xf numFmtId="0" fontId="4" fillId="0" borderId="25" xfId="52" applyFont="1" applyBorder="1"/>
    <xf numFmtId="42" fontId="17" fillId="4" borderId="39" xfId="52" applyNumberFormat="1" applyFont="1" applyFill="1" applyBorder="1" applyProtection="1"/>
    <xf numFmtId="3" fontId="17" fillId="0" borderId="33" xfId="52" applyNumberFormat="1" applyFont="1" applyBorder="1" applyProtection="1"/>
    <xf numFmtId="42" fontId="17" fillId="4" borderId="33" xfId="52" applyNumberFormat="1" applyFont="1" applyFill="1" applyBorder="1" applyProtection="1"/>
    <xf numFmtId="3" fontId="16" fillId="0" borderId="60" xfId="52" applyNumberFormat="1" applyFont="1" applyBorder="1" applyProtection="1"/>
    <xf numFmtId="0" fontId="17" fillId="0" borderId="58" xfId="52" applyFill="1" applyBorder="1"/>
    <xf numFmtId="0" fontId="17" fillId="0" borderId="60" xfId="52" applyFill="1" applyBorder="1"/>
    <xf numFmtId="0" fontId="17" fillId="0" borderId="59" xfId="52" applyFill="1" applyBorder="1"/>
    <xf numFmtId="0" fontId="17" fillId="0" borderId="58" xfId="52" applyBorder="1" applyAlignment="1">
      <alignment horizontal="center"/>
    </xf>
    <xf numFmtId="3" fontId="17" fillId="0" borderId="45" xfId="52" applyNumberFormat="1" applyFont="1" applyBorder="1" applyProtection="1"/>
    <xf numFmtId="42" fontId="17" fillId="4" borderId="45" xfId="52" applyNumberFormat="1" applyFont="1" applyFill="1" applyBorder="1" applyProtection="1"/>
    <xf numFmtId="3" fontId="16" fillId="0" borderId="44" xfId="52" applyNumberFormat="1" applyFont="1" applyBorder="1" applyProtection="1"/>
    <xf numFmtId="0" fontId="17" fillId="0" borderId="46" xfId="52" applyFill="1" applyBorder="1"/>
    <xf numFmtId="0" fontId="17" fillId="0" borderId="43" xfId="52" applyBorder="1" applyAlignment="1">
      <alignment horizontal="center"/>
    </xf>
    <xf numFmtId="42" fontId="17" fillId="0" borderId="45" xfId="52" applyNumberFormat="1" applyFont="1" applyFill="1" applyBorder="1" applyProtection="1"/>
    <xf numFmtId="3" fontId="17" fillId="0" borderId="45" xfId="52" applyNumberFormat="1" applyFont="1" applyFill="1" applyBorder="1" applyProtection="1"/>
    <xf numFmtId="42" fontId="17" fillId="0" borderId="33" xfId="52" applyNumberFormat="1" applyFont="1" applyFill="1" applyBorder="1" applyProtection="1"/>
    <xf numFmtId="3" fontId="28" fillId="0" borderId="44" xfId="52" applyNumberFormat="1" applyFont="1" applyBorder="1" applyProtection="1"/>
    <xf numFmtId="42" fontId="17" fillId="0" borderId="39" xfId="52" applyNumberFormat="1" applyFont="1" applyFill="1" applyBorder="1" applyProtection="1"/>
    <xf numFmtId="3" fontId="17" fillId="0" borderId="39" xfId="52" applyNumberFormat="1" applyFont="1" applyFill="1" applyBorder="1" applyProtection="1"/>
    <xf numFmtId="3" fontId="16" fillId="0" borderId="38" xfId="52" applyNumberFormat="1" applyFont="1" applyBorder="1" applyProtection="1"/>
    <xf numFmtId="0" fontId="17" fillId="0" borderId="57" xfId="52" applyFill="1" applyBorder="1"/>
    <xf numFmtId="0" fontId="17" fillId="0" borderId="37" xfId="52" applyBorder="1" applyAlignment="1">
      <alignment horizontal="center"/>
    </xf>
    <xf numFmtId="3" fontId="21" fillId="10" borderId="42" xfId="52" applyNumberFormat="1" applyFont="1" applyFill="1" applyBorder="1" applyProtection="1"/>
    <xf numFmtId="3" fontId="21" fillId="10" borderId="25" xfId="52" applyNumberFormat="1" applyFont="1" applyFill="1" applyBorder="1" applyProtection="1"/>
    <xf numFmtId="0" fontId="25" fillId="10" borderId="25" xfId="52" applyFont="1" applyFill="1" applyBorder="1"/>
    <xf numFmtId="0" fontId="19" fillId="10" borderId="25" xfId="52" applyFont="1" applyFill="1" applyBorder="1" applyAlignment="1">
      <alignment horizontal="center"/>
    </xf>
    <xf numFmtId="42" fontId="16" fillId="0" borderId="0" xfId="52" applyNumberFormat="1" applyFont="1" applyBorder="1" applyProtection="1"/>
    <xf numFmtId="3" fontId="16" fillId="0" borderId="0" xfId="52" applyNumberFormat="1" applyFont="1" applyBorder="1" applyProtection="1"/>
    <xf numFmtId="0" fontId="3" fillId="0" borderId="0" xfId="52" applyFont="1" applyBorder="1"/>
    <xf numFmtId="42" fontId="20" fillId="7" borderId="25" xfId="52" applyNumberFormat="1" applyFont="1" applyFill="1" applyBorder="1" applyProtection="1"/>
    <xf numFmtId="0" fontId="29" fillId="0" borderId="0" xfId="52" applyFont="1"/>
    <xf numFmtId="167" fontId="29" fillId="0" borderId="0" xfId="53" applyNumberFormat="1" applyFont="1"/>
    <xf numFmtId="37" fontId="29" fillId="0" borderId="44" xfId="52" applyNumberFormat="1" applyFont="1" applyFill="1" applyBorder="1" applyProtection="1"/>
    <xf numFmtId="0" fontId="17" fillId="0" borderId="46" xfId="52" applyFont="1" applyFill="1" applyBorder="1"/>
    <xf numFmtId="0" fontId="29" fillId="0" borderId="45" xfId="52" applyFont="1" applyBorder="1" applyAlignment="1">
      <alignment horizontal="center"/>
    </xf>
    <xf numFmtId="0" fontId="29" fillId="0" borderId="8" xfId="52" applyFont="1" applyBorder="1"/>
    <xf numFmtId="0" fontId="29" fillId="0" borderId="43" xfId="52" applyFont="1" applyFill="1" applyBorder="1"/>
    <xf numFmtId="0" fontId="29" fillId="0" borderId="45" xfId="52" applyFont="1" applyBorder="1"/>
    <xf numFmtId="0" fontId="17" fillId="0" borderId="44" xfId="52" applyFont="1" applyFill="1" applyBorder="1"/>
    <xf numFmtId="0" fontId="30" fillId="0" borderId="0" xfId="52" applyFont="1"/>
    <xf numFmtId="167" fontId="30" fillId="0" borderId="0" xfId="53" applyNumberFormat="1" applyFont="1"/>
    <xf numFmtId="3" fontId="30" fillId="0" borderId="44" xfId="52" applyNumberFormat="1" applyFont="1" applyFill="1" applyBorder="1" applyProtection="1"/>
    <xf numFmtId="0" fontId="30" fillId="0" borderId="46" xfId="52" applyFont="1" applyFill="1" applyBorder="1"/>
    <xf numFmtId="0" fontId="30" fillId="0" borderId="45" xfId="52" applyFont="1" applyBorder="1" applyAlignment="1">
      <alignment horizontal="center"/>
    </xf>
    <xf numFmtId="0" fontId="30" fillId="0" borderId="8" xfId="52" applyFont="1" applyBorder="1"/>
    <xf numFmtId="0" fontId="30" fillId="0" borderId="46" xfId="52" applyFont="1" applyBorder="1"/>
    <xf numFmtId="0" fontId="17" fillId="0" borderId="0" xfId="52" applyFont="1"/>
    <xf numFmtId="167" fontId="0" fillId="0" borderId="0" xfId="53" applyNumberFormat="1" applyFont="1"/>
    <xf numFmtId="3" fontId="17" fillId="0" borderId="44" xfId="52" applyNumberFormat="1" applyFont="1" applyFill="1" applyBorder="1" applyProtection="1"/>
    <xf numFmtId="0" fontId="17" fillId="0" borderId="45" xfId="52" applyFont="1" applyBorder="1" applyAlignment="1">
      <alignment horizontal="center"/>
    </xf>
    <xf numFmtId="0" fontId="17" fillId="0" borderId="8" xfId="52" applyFont="1" applyBorder="1"/>
    <xf numFmtId="0" fontId="29" fillId="0" borderId="46" xfId="52" applyFont="1" applyFill="1" applyBorder="1"/>
    <xf numFmtId="0" fontId="30" fillId="0" borderId="44" xfId="52" applyFont="1" applyBorder="1"/>
    <xf numFmtId="42" fontId="17" fillId="0" borderId="0" xfId="52" applyNumberFormat="1" applyFont="1" applyFill="1" applyBorder="1" applyProtection="1"/>
    <xf numFmtId="3" fontId="17" fillId="0" borderId="0" xfId="52" applyNumberFormat="1" applyFont="1" applyFill="1" applyBorder="1" applyProtection="1"/>
    <xf numFmtId="0" fontId="17" fillId="0" borderId="43" xfId="52" applyFont="1" applyFill="1" applyBorder="1"/>
    <xf numFmtId="0" fontId="17" fillId="0" borderId="0" xfId="52" applyFont="1" applyFill="1" applyBorder="1"/>
    <xf numFmtId="0" fontId="17" fillId="0" borderId="0" xfId="52" applyFont="1" applyFill="1"/>
    <xf numFmtId="0" fontId="17" fillId="0" borderId="46" xfId="52" applyFont="1" applyBorder="1" applyAlignment="1">
      <alignment horizontal="center"/>
    </xf>
    <xf numFmtId="0" fontId="17" fillId="0" borderId="57" xfId="52" applyFont="1" applyFill="1" applyBorder="1"/>
    <xf numFmtId="0" fontId="17" fillId="0" borderId="44" xfId="52" applyFont="1" applyBorder="1" applyAlignment="1">
      <alignment horizontal="center"/>
    </xf>
    <xf numFmtId="0" fontId="31" fillId="0" borderId="43" xfId="52" applyFont="1" applyFill="1" applyBorder="1"/>
    <xf numFmtId="0" fontId="17" fillId="0" borderId="45" xfId="52" applyFont="1" applyFill="1" applyBorder="1"/>
    <xf numFmtId="0" fontId="17" fillId="0" borderId="44" xfId="52" applyFill="1" applyBorder="1"/>
    <xf numFmtId="3" fontId="25" fillId="9" borderId="53" xfId="52" applyNumberFormat="1" applyFont="1" applyFill="1" applyBorder="1" applyProtection="1"/>
    <xf numFmtId="3" fontId="25" fillId="9" borderId="2" xfId="52" applyNumberFormat="1" applyFont="1" applyFill="1" applyBorder="1" applyProtection="1"/>
    <xf numFmtId="0" fontId="25" fillId="9" borderId="2" xfId="52" applyFont="1" applyFill="1" applyBorder="1"/>
    <xf numFmtId="3" fontId="25" fillId="9" borderId="2" xfId="52" applyNumberFormat="1" applyFont="1" applyFill="1" applyBorder="1" applyAlignment="1">
      <alignment horizontal="center"/>
    </xf>
    <xf numFmtId="42" fontId="16" fillId="0" borderId="8" xfId="52" applyNumberFormat="1" applyFont="1" applyBorder="1" applyProtection="1"/>
    <xf numFmtId="165" fontId="20" fillId="0" borderId="25" xfId="55" applyNumberFormat="1" applyFont="1" applyFill="1" applyBorder="1" applyProtection="1"/>
    <xf numFmtId="42" fontId="28" fillId="0" borderId="1" xfId="52" applyNumberFormat="1" applyFont="1" applyBorder="1" applyProtection="1"/>
    <xf numFmtId="165" fontId="16" fillId="0" borderId="1" xfId="55" applyNumberFormat="1" applyFont="1" applyBorder="1" applyProtection="1"/>
    <xf numFmtId="0" fontId="17" fillId="0" borderId="54" xfId="52" applyFill="1" applyBorder="1"/>
    <xf numFmtId="0" fontId="17" fillId="0" borderId="1" xfId="52" applyFill="1" applyBorder="1"/>
    <xf numFmtId="0" fontId="17" fillId="0" borderId="55" xfId="52" applyFill="1" applyBorder="1"/>
    <xf numFmtId="0" fontId="17" fillId="0" borderId="54" xfId="52" applyBorder="1" applyAlignment="1">
      <alignment horizontal="center"/>
    </xf>
    <xf numFmtId="42" fontId="16" fillId="0" borderId="45" xfId="52" applyNumberFormat="1" applyFont="1" applyBorder="1" applyProtection="1"/>
    <xf numFmtId="165" fontId="16" fillId="0" borderId="45" xfId="55" applyNumberFormat="1" applyFont="1" applyBorder="1" applyProtection="1"/>
    <xf numFmtId="0" fontId="17" fillId="0" borderId="43" xfId="52" applyFill="1" applyBorder="1"/>
    <xf numFmtId="0" fontId="17" fillId="0" borderId="45" xfId="52" applyFill="1" applyBorder="1"/>
    <xf numFmtId="0" fontId="17" fillId="0" borderId="44" xfId="52" applyBorder="1"/>
    <xf numFmtId="42" fontId="28" fillId="0" borderId="52" xfId="52" applyNumberFormat="1" applyFont="1" applyBorder="1" applyProtection="1"/>
    <xf numFmtId="165" fontId="16" fillId="0" borderId="52" xfId="55" applyNumberFormat="1" applyFont="1" applyBorder="1" applyProtection="1"/>
    <xf numFmtId="165" fontId="16" fillId="0" borderId="51" xfId="55" applyNumberFormat="1" applyFont="1" applyBorder="1" applyProtection="1"/>
    <xf numFmtId="0" fontId="17" fillId="0" borderId="50" xfId="52" applyFill="1" applyBorder="1"/>
    <xf numFmtId="3" fontId="21" fillId="8" borderId="42" xfId="52" applyNumberFormat="1" applyFont="1" applyFill="1" applyBorder="1" applyProtection="1"/>
    <xf numFmtId="3" fontId="21" fillId="8" borderId="25" xfId="52" applyNumberFormat="1" applyFont="1" applyFill="1" applyBorder="1" applyProtection="1"/>
    <xf numFmtId="0" fontId="19" fillId="8" borderId="25" xfId="52" applyFont="1" applyFill="1" applyBorder="1"/>
    <xf numFmtId="0" fontId="19" fillId="8" borderId="25" xfId="52" applyFont="1" applyFill="1" applyBorder="1" applyAlignment="1">
      <alignment horizontal="center"/>
    </xf>
    <xf numFmtId="42" fontId="16" fillId="0" borderId="8" xfId="52" applyNumberFormat="1" applyFont="1" applyFill="1" applyBorder="1" applyProtection="1"/>
    <xf numFmtId="42" fontId="27" fillId="0" borderId="0" xfId="52" applyNumberFormat="1" applyFont="1" applyBorder="1" applyProtection="1"/>
    <xf numFmtId="3" fontId="27" fillId="0" borderId="0" xfId="52" applyNumberFormat="1" applyFont="1" applyBorder="1" applyProtection="1"/>
    <xf numFmtId="0" fontId="27" fillId="0" borderId="0" xfId="52" applyFont="1" applyBorder="1"/>
    <xf numFmtId="165" fontId="16" fillId="0" borderId="56" xfId="55" applyNumberFormat="1" applyFont="1" applyBorder="1" applyProtection="1"/>
    <xf numFmtId="0" fontId="17" fillId="0" borderId="55" xfId="52" applyBorder="1"/>
    <xf numFmtId="165" fontId="16" fillId="0" borderId="51" xfId="55" applyNumberFormat="1" applyFont="1" applyFill="1" applyBorder="1" applyProtection="1"/>
    <xf numFmtId="3" fontId="21" fillId="6" borderId="42" xfId="52" applyNumberFormat="1" applyFont="1" applyFill="1" applyBorder="1" applyProtection="1"/>
    <xf numFmtId="3" fontId="21" fillId="6" borderId="25" xfId="52" applyNumberFormat="1" applyFont="1" applyFill="1" applyBorder="1" applyProtection="1"/>
    <xf numFmtId="0" fontId="19" fillId="6" borderId="25" xfId="52" applyFont="1" applyFill="1" applyBorder="1"/>
    <xf numFmtId="0" fontId="19" fillId="6" borderId="25" xfId="52" applyFont="1" applyFill="1" applyBorder="1" applyAlignment="1">
      <alignment horizontal="center"/>
    </xf>
    <xf numFmtId="42" fontId="20" fillId="0" borderId="42" xfId="52" applyNumberFormat="1" applyFont="1" applyBorder="1" applyProtection="1"/>
    <xf numFmtId="42" fontId="20" fillId="4" borderId="25" xfId="52" applyNumberFormat="1" applyFont="1" applyFill="1" applyBorder="1" applyProtection="1"/>
    <xf numFmtId="165" fontId="20" fillId="0" borderId="25" xfId="55" applyNumberFormat="1" applyFont="1" applyBorder="1" applyProtection="1"/>
    <xf numFmtId="165" fontId="16" fillId="0" borderId="48" xfId="55" applyNumberFormat="1" applyFont="1" applyFill="1" applyBorder="1" applyProtection="1"/>
    <xf numFmtId="0" fontId="17" fillId="0" borderId="47" xfId="52" applyFill="1" applyBorder="1"/>
    <xf numFmtId="0" fontId="17" fillId="0" borderId="33" xfId="52" applyFill="1" applyBorder="1"/>
    <xf numFmtId="0" fontId="17" fillId="0" borderId="47" xfId="52" applyBorder="1" applyAlignment="1">
      <alignment horizontal="center"/>
    </xf>
    <xf numFmtId="165" fontId="0" fillId="0" borderId="45" xfId="55" applyNumberFormat="1" applyFont="1" applyFill="1" applyBorder="1" applyProtection="1"/>
    <xf numFmtId="42" fontId="6" fillId="0" borderId="46" xfId="52" applyNumberFormat="1" applyFont="1" applyFill="1" applyBorder="1"/>
    <xf numFmtId="49" fontId="17" fillId="0" borderId="43" xfId="52" applyNumberFormat="1" applyFont="1" applyFill="1" applyBorder="1"/>
    <xf numFmtId="49" fontId="17" fillId="0" borderId="43" xfId="52" applyNumberFormat="1" applyFont="1" applyBorder="1" applyAlignment="1">
      <alignment horizontal="center"/>
    </xf>
    <xf numFmtId="165" fontId="16" fillId="0" borderId="39" xfId="55" applyNumberFormat="1" applyFont="1" applyFill="1" applyBorder="1" applyProtection="1"/>
    <xf numFmtId="165" fontId="43" fillId="0" borderId="39" xfId="55" applyNumberFormat="1" applyFont="1" applyFill="1" applyBorder="1" applyProtection="1"/>
    <xf numFmtId="0" fontId="42" fillId="0" borderId="43" xfId="52" applyFont="1" applyFill="1" applyBorder="1"/>
    <xf numFmtId="0" fontId="42" fillId="0" borderId="43" xfId="52" applyFont="1" applyFill="1" applyBorder="1" applyAlignment="1">
      <alignment horizontal="center"/>
    </xf>
    <xf numFmtId="165" fontId="43" fillId="0" borderId="44" xfId="55" applyNumberFormat="1" applyFont="1" applyFill="1" applyBorder="1" applyProtection="1"/>
    <xf numFmtId="165" fontId="16" fillId="0" borderId="45" xfId="55" applyNumberFormat="1" applyFont="1" applyFill="1" applyBorder="1" applyProtection="1"/>
    <xf numFmtId="0" fontId="17" fillId="0" borderId="37" xfId="52" applyFill="1" applyBorder="1"/>
    <xf numFmtId="0" fontId="17" fillId="0" borderId="39" xfId="52" applyFill="1" applyBorder="1"/>
    <xf numFmtId="3" fontId="21" fillId="5" borderId="42" xfId="52" applyNumberFormat="1" applyFont="1" applyFill="1" applyBorder="1" applyProtection="1"/>
    <xf numFmtId="3" fontId="21" fillId="5" borderId="25" xfId="52" applyNumberFormat="1" applyFont="1" applyFill="1" applyBorder="1" applyProtection="1"/>
    <xf numFmtId="0" fontId="25" fillId="5" borderId="25" xfId="52" applyFont="1" applyFill="1" applyBorder="1"/>
    <xf numFmtId="0" fontId="19" fillId="5" borderId="25" xfId="52" applyFont="1" applyFill="1" applyBorder="1" applyAlignment="1">
      <alignment horizontal="center"/>
    </xf>
    <xf numFmtId="165" fontId="0" fillId="0" borderId="0" xfId="55" applyNumberFormat="1" applyFont="1" applyFill="1" applyBorder="1" applyProtection="1"/>
    <xf numFmtId="0" fontId="17" fillId="0" borderId="0" xfId="52" applyFill="1" applyBorder="1"/>
    <xf numFmtId="0" fontId="17" fillId="0" borderId="56" xfId="52" applyFill="1" applyBorder="1"/>
    <xf numFmtId="0" fontId="17" fillId="0" borderId="71" xfId="52" applyBorder="1" applyAlignment="1">
      <alignment horizontal="center"/>
    </xf>
    <xf numFmtId="165" fontId="0" fillId="0" borderId="39" xfId="55" applyNumberFormat="1" applyFont="1" applyFill="1" applyBorder="1" applyProtection="1"/>
    <xf numFmtId="42" fontId="17" fillId="0" borderId="39" xfId="52" applyNumberFormat="1" applyFill="1" applyBorder="1" applyProtection="1"/>
    <xf numFmtId="0" fontId="17" fillId="0" borderId="38" xfId="52" applyFill="1" applyBorder="1"/>
    <xf numFmtId="0" fontId="26" fillId="0" borderId="0" xfId="52" applyFont="1"/>
    <xf numFmtId="167" fontId="26" fillId="0" borderId="0" xfId="53" applyNumberFormat="1" applyFont="1"/>
    <xf numFmtId="42" fontId="26" fillId="0" borderId="45" xfId="52" applyNumberFormat="1" applyFont="1" applyFill="1" applyBorder="1" applyProtection="1"/>
    <xf numFmtId="165" fontId="26" fillId="0" borderId="45" xfId="55" applyNumberFormat="1" applyFont="1" applyFill="1" applyBorder="1" applyProtection="1"/>
    <xf numFmtId="165" fontId="26" fillId="0" borderId="44" xfId="55" applyNumberFormat="1" applyFont="1" applyFill="1" applyBorder="1" applyProtection="1"/>
    <xf numFmtId="0" fontId="26" fillId="0" borderId="46" xfId="52" applyFont="1" applyFill="1" applyBorder="1"/>
    <xf numFmtId="0" fontId="26" fillId="0" borderId="43" xfId="52" applyFont="1" applyFill="1" applyBorder="1"/>
    <xf numFmtId="0" fontId="26" fillId="0" borderId="44" xfId="52" applyFont="1" applyFill="1" applyBorder="1"/>
    <xf numFmtId="0" fontId="26" fillId="0" borderId="45" xfId="52" applyFont="1" applyBorder="1" applyAlignment="1">
      <alignment horizontal="center"/>
    </xf>
    <xf numFmtId="0" fontId="26" fillId="0" borderId="8" xfId="52" applyFont="1" applyBorder="1"/>
    <xf numFmtId="165" fontId="0" fillId="0" borderId="44" xfId="55" applyNumberFormat="1" applyFont="1" applyFill="1" applyBorder="1" applyProtection="1"/>
    <xf numFmtId="0" fontId="17" fillId="0" borderId="38" xfId="52" applyBorder="1"/>
    <xf numFmtId="3" fontId="19" fillId="3" borderId="36" xfId="52" applyNumberFormat="1" applyFont="1" applyFill="1" applyBorder="1" applyProtection="1"/>
    <xf numFmtId="3" fontId="19" fillId="3" borderId="35" xfId="52" applyNumberFormat="1" applyFont="1" applyFill="1" applyBorder="1" applyProtection="1"/>
    <xf numFmtId="42" fontId="19" fillId="3" borderId="35" xfId="52" applyNumberFormat="1" applyFont="1" applyFill="1" applyBorder="1" applyProtection="1"/>
    <xf numFmtId="0" fontId="25" fillId="3" borderId="35" xfId="52" applyFont="1" applyFill="1" applyBorder="1"/>
    <xf numFmtId="3" fontId="19" fillId="3" borderId="34" xfId="52" applyNumberFormat="1" applyFont="1" applyFill="1" applyBorder="1" applyAlignment="1">
      <alignment horizontal="center"/>
    </xf>
    <xf numFmtId="0" fontId="19" fillId="0" borderId="8" xfId="52" applyFont="1" applyBorder="1" applyAlignment="1">
      <alignment horizontal="center" vertical="center" wrapText="1"/>
    </xf>
    <xf numFmtId="0" fontId="68" fillId="0" borderId="0" xfId="56" applyBorder="1" applyAlignment="1" applyProtection="1">
      <alignment horizontal="center" vertical="center" wrapText="1"/>
    </xf>
    <xf numFmtId="0" fontId="19" fillId="0" borderId="0" xfId="52" applyFont="1" applyBorder="1" applyAlignment="1">
      <alignment vertical="center" wrapText="1"/>
    </xf>
    <xf numFmtId="0" fontId="18" fillId="0" borderId="0" xfId="52" applyFont="1" applyBorder="1" applyAlignment="1">
      <alignment vertical="center"/>
    </xf>
    <xf numFmtId="0" fontId="19" fillId="0" borderId="0" xfId="52" applyFont="1" applyBorder="1" applyAlignment="1">
      <alignment horizontal="center" vertical="center" wrapText="1"/>
    </xf>
    <xf numFmtId="0" fontId="19" fillId="0" borderId="65" xfId="52" applyFont="1" applyBorder="1" applyAlignment="1">
      <alignment horizontal="center" wrapText="1"/>
    </xf>
    <xf numFmtId="0" fontId="68" fillId="0" borderId="66" xfId="56" applyBorder="1" applyAlignment="1" applyProtection="1">
      <alignment horizontal="center" wrapText="1"/>
    </xf>
    <xf numFmtId="0" fontId="19" fillId="0" borderId="66" xfId="52" applyFont="1" applyBorder="1" applyAlignment="1">
      <alignment horizontal="center" vertical="center" wrapText="1"/>
    </xf>
    <xf numFmtId="0" fontId="19" fillId="0" borderId="66" xfId="52" applyFont="1" applyBorder="1" applyAlignment="1">
      <alignment vertical="center" wrapText="1"/>
    </xf>
    <xf numFmtId="0" fontId="19" fillId="0" borderId="66" xfId="52" applyFont="1" applyBorder="1" applyAlignment="1"/>
    <xf numFmtId="42" fontId="17" fillId="0" borderId="67" xfId="52" applyNumberFormat="1" applyBorder="1"/>
    <xf numFmtId="3" fontId="4" fillId="0" borderId="67" xfId="52" applyNumberFormat="1" applyFont="1" applyBorder="1"/>
    <xf numFmtId="0" fontId="4" fillId="0" borderId="67" xfId="52" applyFont="1" applyFill="1" applyBorder="1"/>
    <xf numFmtId="3" fontId="17" fillId="0" borderId="67" xfId="52" applyNumberFormat="1" applyFill="1" applyBorder="1"/>
    <xf numFmtId="172" fontId="40" fillId="0" borderId="67" xfId="52" applyNumberFormat="1" applyFont="1" applyBorder="1" applyAlignment="1">
      <alignment horizontal="left"/>
    </xf>
    <xf numFmtId="3" fontId="17" fillId="0" borderId="0" xfId="52" applyNumberFormat="1" applyBorder="1"/>
    <xf numFmtId="0" fontId="22" fillId="0" borderId="0" xfId="52" applyFont="1" applyAlignment="1">
      <alignment wrapText="1"/>
    </xf>
    <xf numFmtId="0" fontId="19" fillId="0" borderId="0" xfId="52" applyFont="1" applyBorder="1"/>
    <xf numFmtId="0" fontId="38" fillId="0" borderId="0" xfId="52" applyFont="1" applyAlignment="1">
      <alignment vertical="center"/>
    </xf>
    <xf numFmtId="0" fontId="38" fillId="0" borderId="0" xfId="52" applyFont="1" applyAlignment="1">
      <alignment horizontal="center" vertical="center"/>
    </xf>
    <xf numFmtId="0" fontId="3" fillId="0" borderId="0" xfId="51" applyFont="1" applyFill="1" applyBorder="1"/>
    <xf numFmtId="165" fontId="3" fillId="0" borderId="0" xfId="51" applyNumberFormat="1" applyFont="1" applyFill="1" applyBorder="1"/>
    <xf numFmtId="0" fontId="3" fillId="0" borderId="0" xfId="51" applyFont="1" applyFill="1" applyBorder="1" applyAlignment="1">
      <alignment horizontal="center"/>
    </xf>
    <xf numFmtId="0" fontId="17" fillId="0" borderId="0" xfId="51" applyFont="1"/>
    <xf numFmtId="168" fontId="3" fillId="0" borderId="2" xfId="51" applyNumberFormat="1" applyFont="1" applyFill="1" applyBorder="1"/>
    <xf numFmtId="164" fontId="3" fillId="0" borderId="22" xfId="51" applyNumberFormat="1" applyFont="1" applyFill="1" applyBorder="1"/>
    <xf numFmtId="165" fontId="3" fillId="0" borderId="22" xfId="51" applyNumberFormat="1" applyFont="1" applyFill="1" applyBorder="1"/>
    <xf numFmtId="164" fontId="3" fillId="0" borderId="0" xfId="51" applyNumberFormat="1" applyFont="1" applyFill="1" applyBorder="1"/>
    <xf numFmtId="168" fontId="70" fillId="0" borderId="0" xfId="51" applyNumberFormat="1" applyFont="1" applyFill="1" applyBorder="1"/>
    <xf numFmtId="168" fontId="3" fillId="0" borderId="0" xfId="51" applyNumberFormat="1" applyFont="1" applyFill="1" applyBorder="1"/>
    <xf numFmtId="165" fontId="70" fillId="0" borderId="0" xfId="51" applyNumberFormat="1" applyFont="1" applyFill="1" applyBorder="1"/>
    <xf numFmtId="0" fontId="33" fillId="51" borderId="0" xfId="51" applyFont="1" applyFill="1" applyBorder="1" applyAlignment="1">
      <alignment horizontal="centerContinuous"/>
    </xf>
    <xf numFmtId="165" fontId="33" fillId="51" borderId="0" xfId="51" applyNumberFormat="1" applyFont="1" applyFill="1" applyBorder="1" applyAlignment="1">
      <alignment horizontal="centerContinuous"/>
    </xf>
    <xf numFmtId="165" fontId="3" fillId="0" borderId="0" xfId="51" applyNumberFormat="1" applyFont="1" applyFill="1" applyBorder="1" applyAlignment="1">
      <alignment textRotation="45"/>
    </xf>
    <xf numFmtId="164" fontId="3" fillId="0" borderId="0" xfId="51" applyNumberFormat="1" applyFont="1" applyFill="1" applyBorder="1" applyAlignment="1">
      <alignment textRotation="45"/>
    </xf>
    <xf numFmtId="0" fontId="3" fillId="0" borderId="0" xfId="51" quotePrefix="1" applyFont="1" applyFill="1" applyBorder="1" applyAlignment="1">
      <alignment horizontal="left"/>
    </xf>
    <xf numFmtId="0" fontId="3" fillId="0" borderId="0" xfId="51" quotePrefix="1" applyFont="1" applyFill="1" applyBorder="1" applyAlignment="1"/>
    <xf numFmtId="0" fontId="3" fillId="0" borderId="63" xfId="51" applyFont="1" applyFill="1" applyBorder="1"/>
    <xf numFmtId="0" fontId="3" fillId="0" borderId="67" xfId="51" applyFont="1" applyFill="1" applyBorder="1"/>
    <xf numFmtId="165" fontId="3" fillId="0" borderId="67" xfId="51" applyNumberFormat="1" applyFont="1" applyFill="1" applyBorder="1"/>
    <xf numFmtId="0" fontId="3" fillId="0" borderId="67" xfId="51" applyFont="1" applyFill="1" applyBorder="1" applyAlignment="1">
      <alignment horizontal="center"/>
    </xf>
    <xf numFmtId="0" fontId="3" fillId="0" borderId="62" xfId="51" applyFont="1" applyFill="1" applyBorder="1"/>
    <xf numFmtId="178" fontId="3" fillId="0" borderId="8" xfId="51" applyNumberFormat="1" applyFont="1" applyFill="1" applyBorder="1" applyAlignment="1">
      <alignment horizontal="right"/>
    </xf>
    <xf numFmtId="0" fontId="3" fillId="0" borderId="7" xfId="51" applyFont="1" applyFill="1" applyBorder="1" applyAlignment="1">
      <alignment horizontal="center"/>
    </xf>
    <xf numFmtId="0" fontId="3" fillId="0" borderId="8" xfId="51" applyFont="1" applyFill="1" applyBorder="1"/>
    <xf numFmtId="178" fontId="3" fillId="0" borderId="8" xfId="51" applyNumberFormat="1" applyFont="1" applyFill="1" applyBorder="1"/>
    <xf numFmtId="0" fontId="3" fillId="0" borderId="0" xfId="51" applyFont="1" applyFill="1" applyBorder="1" applyAlignment="1">
      <alignment horizontal="center" wrapText="1"/>
    </xf>
    <xf numFmtId="0" fontId="3" fillId="0" borderId="0" xfId="51" quotePrefix="1" applyFont="1" applyFill="1" applyBorder="1" applyAlignment="1">
      <alignment horizontal="center" wrapText="1"/>
    </xf>
    <xf numFmtId="0" fontId="3" fillId="0" borderId="7" xfId="51" applyFont="1" applyFill="1" applyBorder="1" applyAlignment="1">
      <alignment horizontal="center" wrapText="1"/>
    </xf>
    <xf numFmtId="179" fontId="3" fillId="0" borderId="0" xfId="0" applyNumberFormat="1" applyFont="1" applyFill="1" applyBorder="1" applyAlignment="1">
      <alignment horizontal="center"/>
    </xf>
    <xf numFmtId="169" fontId="3" fillId="0" borderId="0" xfId="0" applyNumberFormat="1" applyFont="1" applyFill="1" applyAlignment="1">
      <alignment horizontal="center"/>
    </xf>
    <xf numFmtId="43" fontId="0" fillId="0" borderId="0" xfId="1" applyFont="1" applyFill="1" applyBorder="1"/>
    <xf numFmtId="42" fontId="3" fillId="0" borderId="0" xfId="0" applyNumberFormat="1" applyFont="1" applyFill="1" applyBorder="1"/>
    <xf numFmtId="168" fontId="3" fillId="0" borderId="22" xfId="51" applyNumberFormat="1" applyFont="1" applyFill="1" applyBorder="1"/>
    <xf numFmtId="0" fontId="44" fillId="0" borderId="0" xfId="0" applyFont="1" applyFill="1"/>
    <xf numFmtId="0" fontId="4" fillId="0" borderId="83" xfId="0" applyFont="1" applyFill="1" applyBorder="1" applyAlignment="1">
      <alignment horizontal="center"/>
    </xf>
    <xf numFmtId="0" fontId="34" fillId="0" borderId="0" xfId="0" applyFont="1" applyFill="1" applyAlignment="1">
      <alignment horizontal="right"/>
    </xf>
    <xf numFmtId="41" fontId="3" fillId="0" borderId="0" xfId="0" applyNumberFormat="1" applyFont="1" applyFill="1"/>
    <xf numFmtId="3" fontId="5" fillId="0" borderId="0" xfId="0" applyNumberFormat="1" applyFont="1" applyFill="1"/>
    <xf numFmtId="0" fontId="5" fillId="0" borderId="0" xfId="0" applyFont="1" applyFill="1" applyAlignment="1">
      <alignment horizontal="left"/>
    </xf>
    <xf numFmtId="37" fontId="12" fillId="0" borderId="0" xfId="0" applyNumberFormat="1" applyFont="1" applyFill="1"/>
    <xf numFmtId="166" fontId="6" fillId="0" borderId="0" xfId="0" applyNumberFormat="1" applyFont="1" applyFill="1" applyBorder="1"/>
    <xf numFmtId="166" fontId="6" fillId="0" borderId="8" xfId="0" applyNumberFormat="1" applyFont="1" applyFill="1" applyBorder="1"/>
    <xf numFmtId="42" fontId="3" fillId="0" borderId="29" xfId="0" quotePrefix="1" applyNumberFormat="1" applyFont="1" applyFill="1" applyBorder="1" applyAlignment="1">
      <alignment horizontal="left" indent="1"/>
    </xf>
    <xf numFmtId="42" fontId="3" fillId="0" borderId="0" xfId="0" quotePrefix="1" applyNumberFormat="1" applyFont="1" applyFill="1" applyBorder="1" applyAlignment="1">
      <alignment horizontal="left" indent="1"/>
    </xf>
    <xf numFmtId="42" fontId="3" fillId="0" borderId="30" xfId="0" quotePrefix="1" applyNumberFormat="1" applyFont="1" applyFill="1" applyBorder="1" applyAlignment="1">
      <alignment horizontal="left" indent="1"/>
    </xf>
    <xf numFmtId="165" fontId="3" fillId="0" borderId="29" xfId="0" quotePrefix="1" applyNumberFormat="1" applyFont="1" applyFill="1" applyBorder="1" applyAlignment="1">
      <alignment horizontal="left" indent="1"/>
    </xf>
    <xf numFmtId="165" fontId="3" fillId="0" borderId="30" xfId="0" quotePrefix="1" applyNumberFormat="1" applyFont="1" applyFill="1" applyBorder="1" applyAlignment="1">
      <alignment horizontal="left" indent="1"/>
    </xf>
    <xf numFmtId="165" fontId="3" fillId="0" borderId="0" xfId="0" quotePrefix="1" applyNumberFormat="1" applyFont="1" applyFill="1" applyBorder="1" applyAlignment="1">
      <alignment horizontal="left" indent="1"/>
    </xf>
    <xf numFmtId="0" fontId="0" fillId="0" borderId="0" xfId="0" quotePrefix="1" applyFill="1"/>
    <xf numFmtId="14" fontId="0" fillId="0" borderId="0" xfId="0" applyNumberFormat="1" applyFill="1"/>
    <xf numFmtId="165" fontId="0" fillId="0" borderId="0" xfId="0" applyNumberFormat="1" applyFill="1"/>
    <xf numFmtId="0" fontId="1" fillId="0" borderId="0" xfId="49" applyFont="1" applyFill="1"/>
    <xf numFmtId="0" fontId="66" fillId="0" borderId="0" xfId="49" applyFill="1"/>
    <xf numFmtId="0" fontId="1" fillId="0" borderId="14" xfId="49" applyFont="1" applyFill="1" applyBorder="1"/>
    <xf numFmtId="0" fontId="1" fillId="0" borderId="15" xfId="49" applyFont="1" applyFill="1" applyBorder="1"/>
    <xf numFmtId="0" fontId="1" fillId="0" borderId="16" xfId="49" applyFont="1" applyFill="1" applyBorder="1"/>
    <xf numFmtId="0" fontId="1" fillId="0" borderId="17" xfId="49" applyFont="1" applyFill="1" applyBorder="1"/>
    <xf numFmtId="0" fontId="1" fillId="0" borderId="15" xfId="49" applyFont="1" applyFill="1" applyBorder="1" applyAlignment="1">
      <alignment wrapText="1"/>
    </xf>
    <xf numFmtId="0" fontId="1" fillId="0" borderId="0" xfId="49" applyFont="1" applyFill="1" applyAlignment="1">
      <alignment wrapText="1"/>
    </xf>
    <xf numFmtId="0" fontId="2" fillId="0" borderId="20" xfId="0" applyFont="1" applyFill="1" applyBorder="1"/>
    <xf numFmtId="164" fontId="66" fillId="0" borderId="0" xfId="49" applyNumberFormat="1" applyFont="1" applyFill="1"/>
    <xf numFmtId="0" fontId="2" fillId="0" borderId="21" xfId="49" applyFont="1" applyFill="1" applyBorder="1"/>
    <xf numFmtId="164" fontId="2" fillId="0" borderId="21" xfId="49" applyNumberFormat="1" applyFont="1" applyFill="1" applyBorder="1"/>
    <xf numFmtId="0" fontId="1" fillId="0" borderId="0" xfId="0" applyFont="1" applyFill="1"/>
    <xf numFmtId="42" fontId="1" fillId="0" borderId="0" xfId="0" applyNumberFormat="1" applyFont="1" applyFill="1"/>
    <xf numFmtId="0" fontId="2" fillId="0" borderId="0" xfId="49" applyFont="1" applyFill="1"/>
    <xf numFmtId="0" fontId="2" fillId="0" borderId="20" xfId="49" applyFont="1" applyFill="1" applyBorder="1"/>
    <xf numFmtId="0" fontId="2" fillId="0" borderId="20" xfId="0" quotePrefix="1" applyFont="1" applyFill="1" applyBorder="1" applyAlignment="1">
      <alignment horizontal="left"/>
    </xf>
    <xf numFmtId="0" fontId="1" fillId="0" borderId="0" xfId="49" quotePrefix="1" applyFont="1" applyFill="1" applyAlignment="1">
      <alignment horizontal="center"/>
    </xf>
    <xf numFmtId="41" fontId="1" fillId="0" borderId="0" xfId="0" applyNumberFormat="1" applyFont="1" applyFill="1"/>
    <xf numFmtId="164" fontId="0" fillId="0" borderId="0" xfId="0" applyNumberFormat="1" applyFont="1" applyFill="1"/>
    <xf numFmtId="41" fontId="2" fillId="0" borderId="21" xfId="49" applyNumberFormat="1" applyFont="1" applyFill="1" applyBorder="1"/>
    <xf numFmtId="42" fontId="66" fillId="0" borderId="0" xfId="49" applyNumberFormat="1" applyFont="1" applyFill="1"/>
    <xf numFmtId="168" fontId="66" fillId="0" borderId="0" xfId="49" applyNumberFormat="1" applyFont="1" applyFill="1"/>
    <xf numFmtId="164" fontId="1" fillId="0" borderId="0" xfId="50" applyNumberFormat="1" applyFont="1" applyFill="1"/>
    <xf numFmtId="0" fontId="1" fillId="0" borderId="0" xfId="49" applyFont="1" applyFill="1" applyAlignment="1">
      <alignment horizontal="center"/>
    </xf>
    <xf numFmtId="0" fontId="1" fillId="0" borderId="0" xfId="0" applyFont="1" applyFill="1" applyAlignment="1">
      <alignment horizontal="center"/>
    </xf>
    <xf numFmtId="165" fontId="8" fillId="0" borderId="3" xfId="3" applyNumberFormat="1" applyFont="1" applyFill="1" applyBorder="1" applyAlignment="1" applyProtection="1">
      <alignment horizontal="right"/>
    </xf>
    <xf numFmtId="0" fontId="3" fillId="0" borderId="0" xfId="4" applyFont="1" applyFill="1"/>
    <xf numFmtId="41" fontId="0" fillId="0" borderId="0" xfId="0" applyNumberFormat="1" applyFont="1" applyFill="1" applyAlignment="1">
      <alignment horizontal="right"/>
    </xf>
    <xf numFmtId="0" fontId="37" fillId="0" borderId="0" xfId="0" applyFont="1" applyFill="1"/>
    <xf numFmtId="166" fontId="3" fillId="0" borderId="0" xfId="0" applyNumberFormat="1" applyFont="1" applyFill="1"/>
    <xf numFmtId="164" fontId="8" fillId="0" borderId="0" xfId="0" applyNumberFormat="1" applyFont="1" applyFill="1"/>
    <xf numFmtId="166" fontId="8" fillId="0" borderId="0" xfId="0" applyNumberFormat="1" applyFont="1" applyFill="1"/>
    <xf numFmtId="0" fontId="8" fillId="0" borderId="0" xfId="0" applyFont="1" applyFill="1"/>
    <xf numFmtId="164" fontId="17" fillId="0" borderId="40" xfId="62" applyNumberFormat="1" applyFont="1" applyFill="1" applyBorder="1" applyProtection="1"/>
    <xf numFmtId="164" fontId="0" fillId="0" borderId="41" xfId="62" applyNumberFormat="1" applyFont="1" applyFill="1" applyBorder="1" applyProtection="1"/>
    <xf numFmtId="164" fontId="26" fillId="0" borderId="41" xfId="62" applyNumberFormat="1" applyFont="1" applyFill="1" applyBorder="1" applyProtection="1"/>
    <xf numFmtId="164" fontId="0" fillId="0" borderId="8" xfId="62" applyNumberFormat="1" applyFont="1" applyFill="1" applyBorder="1" applyProtection="1"/>
    <xf numFmtId="164" fontId="20" fillId="0" borderId="42" xfId="62" applyNumberFormat="1" applyFont="1" applyFill="1" applyBorder="1" applyProtection="1"/>
    <xf numFmtId="164" fontId="16" fillId="0" borderId="40" xfId="62" applyNumberFormat="1" applyFont="1" applyFill="1" applyBorder="1" applyProtection="1"/>
    <xf numFmtId="164" fontId="16" fillId="0" borderId="9" xfId="62" applyNumberFormat="1" applyFont="1" applyFill="1" applyBorder="1" applyProtection="1"/>
    <xf numFmtId="164" fontId="16" fillId="0" borderId="53" xfId="62" applyNumberFormat="1" applyFont="1" applyFill="1" applyBorder="1" applyProtection="1"/>
    <xf numFmtId="0" fontId="1" fillId="0" borderId="18" xfId="0" quotePrefix="1" applyFont="1" applyBorder="1" applyAlignment="1">
      <alignment horizontal="left"/>
    </xf>
    <xf numFmtId="0" fontId="1" fillId="53" borderId="0" xfId="0" applyFont="1" applyFill="1"/>
    <xf numFmtId="0" fontId="1" fillId="0" borderId="0" xfId="0" quotePrefix="1" applyFont="1" applyAlignment="1">
      <alignment horizontal="left"/>
    </xf>
    <xf numFmtId="0" fontId="2" fillId="54" borderId="20" xfId="0" quotePrefix="1" applyFont="1" applyFill="1" applyBorder="1" applyAlignment="1">
      <alignment horizontal="left"/>
    </xf>
    <xf numFmtId="0" fontId="2" fillId="54" borderId="20" xfId="0" applyFont="1" applyFill="1" applyBorder="1"/>
    <xf numFmtId="0" fontId="75" fillId="0" borderId="0" xfId="0" applyFont="1" applyFill="1" applyAlignment="1">
      <alignment horizontal="centerContinuous"/>
    </xf>
    <xf numFmtId="167" fontId="14" fillId="0" borderId="0" xfId="4" applyNumberFormat="1" applyFont="1" applyFill="1" applyAlignment="1"/>
    <xf numFmtId="165" fontId="0" fillId="52" borderId="0" xfId="0" applyNumberFormat="1" applyFill="1"/>
    <xf numFmtId="164" fontId="16" fillId="0" borderId="39" xfId="62" applyNumberFormat="1" applyFont="1" applyFill="1" applyBorder="1" applyProtection="1"/>
    <xf numFmtId="164" fontId="16" fillId="0" borderId="45" xfId="62" applyNumberFormat="1" applyFont="1" applyFill="1" applyBorder="1" applyProtection="1"/>
    <xf numFmtId="164" fontId="0" fillId="0" borderId="45" xfId="62" applyNumberFormat="1" applyFont="1" applyFill="1" applyBorder="1" applyProtection="1"/>
    <xf numFmtId="164" fontId="43" fillId="0" borderId="39" xfId="62" applyNumberFormat="1" applyFont="1" applyFill="1" applyBorder="1" applyProtection="1"/>
    <xf numFmtId="164" fontId="16" fillId="0" borderId="48" xfId="62" applyNumberFormat="1" applyFont="1" applyFill="1" applyBorder="1" applyProtection="1"/>
    <xf numFmtId="164" fontId="16" fillId="0" borderId="52" xfId="62" applyNumberFormat="1" applyFont="1" applyBorder="1" applyProtection="1"/>
    <xf numFmtId="164" fontId="16" fillId="0" borderId="1" xfId="62" applyNumberFormat="1" applyFont="1" applyBorder="1" applyProtection="1"/>
    <xf numFmtId="164" fontId="16" fillId="0" borderId="10" xfId="62" applyNumberFormat="1" applyFont="1" applyFill="1" applyBorder="1" applyProtection="1"/>
    <xf numFmtId="164" fontId="16" fillId="0" borderId="45" xfId="62" applyNumberFormat="1" applyFont="1" applyBorder="1" applyProtection="1"/>
    <xf numFmtId="170" fontId="14" fillId="0" borderId="22" xfId="4" applyNumberFormat="1" applyFont="1" applyFill="1" applyBorder="1" applyAlignment="1" applyProtection="1">
      <protection locked="0"/>
    </xf>
    <xf numFmtId="165" fontId="3" fillId="0" borderId="1" xfId="0" quotePrefix="1" applyNumberFormat="1" applyFont="1" applyFill="1" applyBorder="1" applyAlignment="1">
      <alignment horizontal="center" wrapText="1"/>
    </xf>
    <xf numFmtId="0" fontId="3" fillId="0" borderId="1" xfId="0" quotePrefix="1" applyFont="1" applyFill="1" applyBorder="1" applyAlignment="1">
      <alignment horizontal="center" wrapText="1"/>
    </xf>
    <xf numFmtId="0" fontId="3" fillId="0" borderId="0" xfId="0" applyFont="1" applyFill="1" applyBorder="1" applyAlignment="1">
      <alignment horizontal="center" wrapText="1"/>
    </xf>
    <xf numFmtId="168" fontId="3" fillId="0" borderId="0" xfId="0" applyNumberFormat="1" applyFont="1" applyFill="1" applyBorder="1"/>
    <xf numFmtId="165" fontId="3" fillId="0" borderId="0" xfId="64" applyNumberFormat="1" applyFont="1" applyFill="1" applyBorder="1"/>
    <xf numFmtId="164" fontId="17" fillId="0" borderId="0" xfId="52" applyNumberFormat="1"/>
    <xf numFmtId="42" fontId="17" fillId="0" borderId="0" xfId="52" applyNumberFormat="1"/>
    <xf numFmtId="164" fontId="17" fillId="0" borderId="22" xfId="52" applyNumberFormat="1" applyBorder="1"/>
    <xf numFmtId="0" fontId="38" fillId="0" borderId="1" xfId="52" applyFont="1" applyBorder="1" applyAlignment="1">
      <alignment horizontal="center"/>
    </xf>
    <xf numFmtId="0" fontId="3" fillId="0" borderId="0" xfId="0" applyFont="1" applyFill="1" applyAlignment="1">
      <alignment horizontal="center"/>
    </xf>
    <xf numFmtId="0" fontId="4" fillId="52" borderId="0" xfId="0" applyFont="1" applyFill="1"/>
    <xf numFmtId="0" fontId="0" fillId="52" borderId="0" xfId="0" applyFill="1"/>
    <xf numFmtId="0" fontId="39" fillId="0" borderId="0" xfId="52" applyFont="1" applyFill="1" applyAlignment="1">
      <alignment vertical="center"/>
    </xf>
    <xf numFmtId="42" fontId="17" fillId="0" borderId="0" xfId="52" applyNumberFormat="1" applyBorder="1"/>
    <xf numFmtId="164" fontId="0" fillId="0" borderId="39" xfId="62" applyNumberFormat="1" applyFont="1" applyFill="1" applyBorder="1" applyProtection="1"/>
    <xf numFmtId="42" fontId="17" fillId="0" borderId="45" xfId="52" applyNumberFormat="1" applyFill="1" applyBorder="1" applyProtection="1"/>
    <xf numFmtId="165" fontId="0" fillId="0" borderId="56" xfId="55" applyNumberFormat="1" applyFont="1" applyFill="1" applyBorder="1" applyProtection="1"/>
    <xf numFmtId="42" fontId="17" fillId="0" borderId="0" xfId="52" applyNumberFormat="1" applyFill="1" applyBorder="1" applyProtection="1"/>
    <xf numFmtId="164" fontId="0" fillId="0" borderId="0" xfId="62" applyNumberFormat="1" applyFont="1" applyFill="1" applyBorder="1" applyProtection="1"/>
    <xf numFmtId="173" fontId="20" fillId="0" borderId="0" xfId="62" applyNumberFormat="1" applyFont="1" applyFill="1" applyBorder="1" applyProtection="1"/>
    <xf numFmtId="164" fontId="16" fillId="0" borderId="41" xfId="62" applyNumberFormat="1" applyFont="1" applyFill="1" applyBorder="1" applyProtection="1"/>
    <xf numFmtId="0" fontId="17" fillId="13" borderId="8" xfId="52" applyFill="1" applyBorder="1"/>
    <xf numFmtId="0" fontId="42" fillId="13" borderId="43" xfId="52" applyFont="1" applyFill="1" applyBorder="1" applyAlignment="1">
      <alignment horizontal="center"/>
    </xf>
    <xf numFmtId="0" fontId="17" fillId="13" borderId="44" xfId="52" applyFill="1" applyBorder="1"/>
    <xf numFmtId="0" fontId="42" fillId="13" borderId="43" xfId="52" applyFont="1" applyFill="1" applyBorder="1"/>
    <xf numFmtId="0" fontId="17" fillId="13" borderId="0" xfId="52" applyFill="1"/>
    <xf numFmtId="165" fontId="43" fillId="13" borderId="44" xfId="55" applyNumberFormat="1" applyFont="1" applyFill="1" applyBorder="1" applyProtection="1"/>
    <xf numFmtId="164" fontId="43" fillId="13" borderId="39" xfId="62" applyNumberFormat="1" applyFont="1" applyFill="1" applyBorder="1" applyProtection="1"/>
    <xf numFmtId="165" fontId="16" fillId="13" borderId="39" xfId="55" applyNumberFormat="1" applyFont="1" applyFill="1" applyBorder="1" applyProtection="1"/>
    <xf numFmtId="164" fontId="16" fillId="13" borderId="39" xfId="62" applyNumberFormat="1" applyFont="1" applyFill="1" applyBorder="1" applyProtection="1"/>
    <xf numFmtId="164" fontId="16" fillId="13" borderId="41" xfId="62" applyNumberFormat="1" applyFont="1" applyFill="1" applyBorder="1" applyProtection="1"/>
    <xf numFmtId="164" fontId="17" fillId="0" borderId="41" xfId="62" applyNumberFormat="1" applyFont="1" applyFill="1" applyBorder="1" applyProtection="1"/>
    <xf numFmtId="164" fontId="38" fillId="0" borderId="9" xfId="62" applyNumberFormat="1" applyFont="1" applyFill="1" applyBorder="1" applyProtection="1"/>
    <xf numFmtId="0" fontId="4" fillId="0" borderId="67" xfId="52" applyFont="1" applyBorder="1"/>
    <xf numFmtId="3" fontId="20" fillId="0" borderId="67" xfId="52" applyNumberFormat="1" applyFont="1" applyFill="1" applyBorder="1" applyProtection="1"/>
    <xf numFmtId="42" fontId="20" fillId="0" borderId="67" xfId="52" applyNumberFormat="1" applyFont="1" applyFill="1" applyBorder="1" applyProtection="1"/>
    <xf numFmtId="164" fontId="20" fillId="0" borderId="63" xfId="62" applyNumberFormat="1" applyFont="1" applyFill="1" applyBorder="1" applyProtection="1"/>
    <xf numFmtId="173" fontId="20" fillId="0" borderId="0" xfId="52" applyNumberFormat="1" applyFont="1" applyBorder="1" applyProtection="1"/>
    <xf numFmtId="0" fontId="10" fillId="55" borderId="84" xfId="52" applyFont="1" applyFill="1" applyBorder="1" applyAlignment="1">
      <alignment vertical="center"/>
    </xf>
    <xf numFmtId="0" fontId="10" fillId="55" borderId="61" xfId="52" applyFont="1" applyFill="1" applyBorder="1" applyAlignment="1">
      <alignment vertical="center"/>
    </xf>
    <xf numFmtId="0" fontId="10" fillId="55" borderId="2" xfId="52" applyFont="1" applyFill="1" applyBorder="1" applyAlignment="1">
      <alignment vertical="center"/>
    </xf>
    <xf numFmtId="174" fontId="4" fillId="55" borderId="2" xfId="52" applyNumberFormat="1" applyFont="1" applyFill="1" applyBorder="1"/>
    <xf numFmtId="42" fontId="4" fillId="55" borderId="2" xfId="52" applyNumberFormat="1" applyFont="1" applyFill="1" applyBorder="1" applyAlignment="1" applyProtection="1">
      <alignment vertical="center"/>
    </xf>
    <xf numFmtId="3" fontId="4" fillId="55" borderId="2" xfId="52" applyNumberFormat="1" applyFont="1" applyFill="1" applyBorder="1" applyAlignment="1" applyProtection="1">
      <alignment vertical="center"/>
    </xf>
    <xf numFmtId="42" fontId="4" fillId="55" borderId="61" xfId="52" applyNumberFormat="1" applyFont="1" applyFill="1" applyBorder="1" applyAlignment="1" applyProtection="1">
      <alignment vertical="center"/>
    </xf>
    <xf numFmtId="0" fontId="10" fillId="55" borderId="55" xfId="52" applyFont="1" applyFill="1" applyBorder="1" applyAlignment="1">
      <alignment vertical="center"/>
    </xf>
    <xf numFmtId="0" fontId="10" fillId="55" borderId="1" xfId="52" applyFont="1" applyFill="1" applyBorder="1" applyAlignment="1">
      <alignment vertical="center"/>
    </xf>
    <xf numFmtId="173" fontId="4" fillId="55" borderId="1" xfId="52" applyNumberFormat="1" applyFont="1" applyFill="1" applyBorder="1" applyAlignment="1" applyProtection="1">
      <alignment vertical="center"/>
    </xf>
    <xf numFmtId="42" fontId="4" fillId="55" borderId="1" xfId="52" applyNumberFormat="1" applyFont="1" applyFill="1" applyBorder="1" applyAlignment="1" applyProtection="1">
      <alignment vertical="center"/>
    </xf>
    <xf numFmtId="3" fontId="4" fillId="55" borderId="1" xfId="52" applyNumberFormat="1" applyFont="1" applyFill="1" applyBorder="1" applyAlignment="1" applyProtection="1">
      <alignment vertical="center"/>
    </xf>
    <xf numFmtId="42" fontId="4" fillId="55" borderId="54" xfId="52" applyNumberFormat="1" applyFont="1" applyFill="1" applyBorder="1" applyAlignment="1" applyProtection="1">
      <alignment vertical="center"/>
    </xf>
    <xf numFmtId="164" fontId="0" fillId="4" borderId="1" xfId="62" applyNumberFormat="1" applyFont="1" applyFill="1" applyBorder="1" applyAlignment="1" applyProtection="1">
      <alignment horizontal="center"/>
    </xf>
    <xf numFmtId="41" fontId="2" fillId="0" borderId="0" xfId="49" applyNumberFormat="1" applyFont="1" applyFill="1" applyBorder="1"/>
    <xf numFmtId="41" fontId="1" fillId="0" borderId="21" xfId="0" applyNumberFormat="1" applyFont="1" applyFill="1" applyBorder="1"/>
    <xf numFmtId="168" fontId="1" fillId="0" borderId="21" xfId="2" applyNumberFormat="1" applyFont="1" applyFill="1" applyBorder="1"/>
    <xf numFmtId="164" fontId="2" fillId="0" borderId="0" xfId="49" applyNumberFormat="1" applyFont="1" applyFill="1" applyBorder="1"/>
    <xf numFmtId="164" fontId="66" fillId="0" borderId="21" xfId="49" applyNumberFormat="1" applyFont="1" applyFill="1" applyBorder="1"/>
    <xf numFmtId="0" fontId="1" fillId="0" borderId="0" xfId="0" applyFont="1"/>
    <xf numFmtId="44" fontId="1" fillId="0" borderId="19" xfId="0" applyNumberFormat="1" applyFont="1" applyBorder="1"/>
    <xf numFmtId="44" fontId="1" fillId="0" borderId="0" xfId="0" applyNumberFormat="1" applyFont="1"/>
    <xf numFmtId="41" fontId="1" fillId="0" borderId="91" xfId="0" applyNumberFormat="1" applyFont="1" applyFill="1" applyBorder="1"/>
    <xf numFmtId="165" fontId="0" fillId="0" borderId="7" xfId="66" applyNumberFormat="1" applyFont="1" applyFill="1" applyBorder="1"/>
    <xf numFmtId="165" fontId="0" fillId="0" borderId="0" xfId="66" applyNumberFormat="1" applyFont="1" applyFill="1" applyBorder="1"/>
    <xf numFmtId="165" fontId="0" fillId="0" borderId="8" xfId="66" applyNumberFormat="1" applyFont="1" applyFill="1" applyBorder="1"/>
    <xf numFmtId="0" fontId="3" fillId="0" borderId="72" xfId="0" applyFont="1" applyFill="1" applyBorder="1" applyAlignment="1">
      <alignment horizontal="center" wrapText="1"/>
    </xf>
    <xf numFmtId="0" fontId="3" fillId="0" borderId="10" xfId="0" quotePrefix="1" applyFont="1" applyFill="1" applyBorder="1" applyAlignment="1">
      <alignment horizontal="center" wrapText="1"/>
    </xf>
    <xf numFmtId="0" fontId="3" fillId="0" borderId="64" xfId="0" applyFont="1" applyFill="1" applyBorder="1"/>
    <xf numFmtId="0" fontId="3" fillId="0" borderId="66" xfId="0" applyFont="1" applyFill="1" applyBorder="1" applyAlignment="1">
      <alignment horizontal="centerContinuous"/>
    </xf>
    <xf numFmtId="165" fontId="3" fillId="0" borderId="66" xfId="0" applyNumberFormat="1" applyFont="1" applyFill="1" applyBorder="1" applyAlignment="1">
      <alignment horizontal="centerContinuous"/>
    </xf>
    <xf numFmtId="0" fontId="3" fillId="0" borderId="65" xfId="0" applyFont="1" applyFill="1" applyBorder="1" applyAlignment="1">
      <alignment horizontal="centerContinuous"/>
    </xf>
    <xf numFmtId="165" fontId="3" fillId="0" borderId="0" xfId="0" applyNumberFormat="1" applyFont="1" applyFill="1" applyBorder="1" applyAlignment="1">
      <alignment horizontal="center" wrapText="1"/>
    </xf>
    <xf numFmtId="0" fontId="3" fillId="0" borderId="8" xfId="0" quotePrefix="1" applyFont="1" applyFill="1" applyBorder="1" applyAlignment="1">
      <alignment horizontal="center" wrapText="1"/>
    </xf>
    <xf numFmtId="0" fontId="3" fillId="0" borderId="0" xfId="0" quotePrefix="1" applyFont="1" applyFill="1" applyBorder="1" applyAlignment="1">
      <alignment horizontal="left" indent="1"/>
    </xf>
    <xf numFmtId="0" fontId="3" fillId="0" borderId="0" xfId="0" applyFont="1" applyFill="1" applyBorder="1" applyAlignment="1">
      <alignment horizontal="left" indent="1"/>
    </xf>
    <xf numFmtId="0" fontId="3" fillId="0" borderId="62" xfId="0" applyFont="1" applyFill="1" applyBorder="1"/>
    <xf numFmtId="0" fontId="3" fillId="0" borderId="67" xfId="0" applyFont="1" applyFill="1" applyBorder="1"/>
    <xf numFmtId="0" fontId="3" fillId="0" borderId="67" xfId="0" applyFont="1" applyFill="1" applyBorder="1" applyAlignment="1">
      <alignment horizontal="center"/>
    </xf>
    <xf numFmtId="0" fontId="17" fillId="0" borderId="0" xfId="0" applyNumberFormat="1" applyFont="1" applyFill="1" applyAlignment="1"/>
    <xf numFmtId="0" fontId="75" fillId="0" borderId="0" xfId="0" applyNumberFormat="1" applyFont="1" applyFill="1" applyAlignment="1"/>
    <xf numFmtId="0" fontId="77" fillId="0" borderId="0" xfId="0" applyNumberFormat="1" applyFont="1" applyFill="1" applyAlignment="1"/>
    <xf numFmtId="0" fontId="78" fillId="0" borderId="0" xfId="0" applyNumberFormat="1" applyFont="1" applyFill="1" applyAlignment="1" applyProtection="1">
      <alignment horizontal="centerContinuous"/>
      <protection locked="0"/>
    </xf>
    <xf numFmtId="0" fontId="79" fillId="0" borderId="0" xfId="0" applyNumberFormat="1" applyFont="1" applyFill="1" applyAlignment="1">
      <alignment horizontal="centerContinuous"/>
    </xf>
    <xf numFmtId="0" fontId="78" fillId="0" borderId="0" xfId="0" applyNumberFormat="1" applyFont="1" applyFill="1" applyAlignment="1">
      <alignment horizontal="centerContinuous"/>
    </xf>
    <xf numFmtId="0" fontId="80" fillId="0" borderId="0" xfId="0" applyFont="1" applyFill="1" applyAlignment="1">
      <alignment horizontal="centerContinuous"/>
    </xf>
    <xf numFmtId="0" fontId="75" fillId="0" borderId="0" xfId="0" applyNumberFormat="1" applyFont="1" applyFill="1" applyAlignment="1">
      <alignment horizontal="center"/>
    </xf>
    <xf numFmtId="0" fontId="75" fillId="0" borderId="1" xfId="0" applyNumberFormat="1" applyFont="1" applyFill="1" applyBorder="1" applyAlignment="1">
      <alignment horizontal="center"/>
    </xf>
    <xf numFmtId="0" fontId="75" fillId="0" borderId="1" xfId="0" applyNumberFormat="1" applyFont="1" applyFill="1" applyBorder="1" applyAlignment="1" applyProtection="1">
      <alignment horizontal="center"/>
      <protection locked="0"/>
    </xf>
    <xf numFmtId="0" fontId="77" fillId="0" borderId="0" xfId="0" applyNumberFormat="1" applyFont="1" applyFill="1" applyAlignment="1">
      <alignment horizontal="center"/>
    </xf>
    <xf numFmtId="0" fontId="77" fillId="0" borderId="0" xfId="0" applyNumberFormat="1" applyFont="1" applyFill="1" applyAlignment="1">
      <alignment horizontal="left"/>
    </xf>
    <xf numFmtId="170" fontId="14" fillId="56" borderId="0" xfId="4" applyNumberFormat="1" applyFont="1" applyFill="1" applyAlignment="1"/>
    <xf numFmtId="0" fontId="75" fillId="56" borderId="0" xfId="0" applyNumberFormat="1" applyFont="1" applyFill="1" applyAlignment="1">
      <alignment horizontal="centerContinuous"/>
    </xf>
    <xf numFmtId="0" fontId="4" fillId="56" borderId="0" xfId="7" applyNumberFormat="1" applyFont="1" applyFill="1" applyAlignment="1">
      <alignment horizontal="centerContinuous"/>
    </xf>
    <xf numFmtId="0" fontId="77" fillId="56" borderId="0" xfId="0" applyNumberFormat="1" applyFont="1" applyFill="1" applyAlignment="1">
      <alignment horizontal="left"/>
    </xf>
    <xf numFmtId="0" fontId="3" fillId="0" borderId="0" xfId="0" applyFont="1" applyFill="1" applyAlignment="1">
      <alignment horizontal="center"/>
    </xf>
    <xf numFmtId="0" fontId="3" fillId="0" borderId="0" xfId="0" quotePrefix="1" applyFont="1" applyFill="1" applyBorder="1" applyAlignment="1">
      <alignment horizontal="center" wrapText="1"/>
    </xf>
    <xf numFmtId="178" fontId="3" fillId="0" borderId="8" xfId="0" applyNumberFormat="1" applyFont="1" applyFill="1" applyBorder="1"/>
    <xf numFmtId="165" fontId="3" fillId="0" borderId="67" xfId="0" applyNumberFormat="1" applyFont="1" applyFill="1" applyBorder="1"/>
    <xf numFmtId="0" fontId="3" fillId="0" borderId="63" xfId="0" applyFont="1" applyFill="1" applyBorder="1"/>
    <xf numFmtId="0" fontId="8" fillId="0" borderId="92" xfId="0" applyNumberFormat="1" applyFont="1" applyFill="1" applyBorder="1" applyAlignment="1">
      <alignment horizontal="left"/>
    </xf>
    <xf numFmtId="0" fontId="8" fillId="0" borderId="93" xfId="0" applyFont="1" applyFill="1" applyBorder="1" applyAlignment="1">
      <alignment horizontal="center"/>
    </xf>
    <xf numFmtId="0" fontId="8" fillId="13" borderId="93" xfId="0" applyFont="1" applyFill="1" applyBorder="1" applyAlignment="1">
      <alignment horizontal="center"/>
    </xf>
    <xf numFmtId="0" fontId="8" fillId="0" borderId="92" xfId="0" applyNumberFormat="1" applyFont="1" applyFill="1" applyBorder="1" applyAlignment="1"/>
    <xf numFmtId="164" fontId="8" fillId="0" borderId="70" xfId="60" applyNumberFormat="1" applyFont="1" applyFill="1" applyBorder="1" applyAlignment="1">
      <alignment horizontal="center"/>
    </xf>
    <xf numFmtId="0" fontId="8" fillId="0" borderId="92" xfId="60" applyNumberFormat="1" applyFont="1" applyFill="1" applyBorder="1" applyAlignment="1">
      <alignment horizontal="left"/>
    </xf>
    <xf numFmtId="0" fontId="8" fillId="0" borderId="94" xfId="0" applyFont="1" applyFill="1" applyBorder="1" applyAlignment="1">
      <alignment horizontal="center"/>
    </xf>
    <xf numFmtId="0" fontId="8" fillId="0" borderId="95" xfId="0" applyNumberFormat="1" applyFont="1" applyFill="1" applyBorder="1" applyAlignment="1">
      <alignment horizontal="left"/>
    </xf>
    <xf numFmtId="0" fontId="8" fillId="0" borderId="96" xfId="0" applyFont="1" applyFill="1" applyBorder="1" applyAlignment="1">
      <alignment horizontal="center"/>
    </xf>
    <xf numFmtId="164" fontId="8" fillId="56" borderId="70" xfId="60" applyNumberFormat="1" applyFont="1" applyFill="1" applyBorder="1" applyAlignment="1">
      <alignment horizontal="center"/>
    </xf>
    <xf numFmtId="0" fontId="8" fillId="56" borderId="92" xfId="60" applyNumberFormat="1" applyFont="1" applyFill="1" applyBorder="1" applyAlignment="1">
      <alignment horizontal="left"/>
    </xf>
    <xf numFmtId="0" fontId="8" fillId="56" borderId="93" xfId="0" applyFont="1" applyFill="1" applyBorder="1" applyAlignment="1">
      <alignment horizontal="center"/>
    </xf>
    <xf numFmtId="164" fontId="8" fillId="56" borderId="86" xfId="2" applyNumberFormat="1" applyFont="1" applyFill="1" applyBorder="1"/>
    <xf numFmtId="164" fontId="8" fillId="13" borderId="70" xfId="60" applyNumberFormat="1" applyFont="1" applyFill="1" applyBorder="1" applyAlignment="1">
      <alignment horizontal="center"/>
    </xf>
    <xf numFmtId="0" fontId="8" fillId="13" borderId="92" xfId="60" applyNumberFormat="1" applyFont="1" applyFill="1" applyBorder="1" applyAlignment="1">
      <alignment horizontal="left"/>
    </xf>
    <xf numFmtId="164" fontId="8" fillId="13" borderId="86" xfId="2" applyNumberFormat="1" applyFont="1" applyFill="1" applyBorder="1"/>
    <xf numFmtId="3" fontId="3" fillId="52" borderId="0" xfId="0" applyNumberFormat="1" applyFont="1" applyFill="1" applyAlignment="1">
      <alignment horizontal="center"/>
    </xf>
    <xf numFmtId="39" fontId="10" fillId="0" borderId="0" xfId="3" applyFont="1" applyFill="1" applyAlignment="1" applyProtection="1">
      <alignment horizontal="center"/>
    </xf>
    <xf numFmtId="39" fontId="8" fillId="0" borderId="0" xfId="0" applyNumberFormat="1" applyFont="1" applyFill="1" applyAlignment="1" applyProtection="1">
      <alignment horizontal="left"/>
    </xf>
    <xf numFmtId="39" fontId="3" fillId="0" borderId="0" xfId="3" applyFont="1" applyFill="1" applyAlignment="1" applyProtection="1">
      <alignment horizontal="left"/>
    </xf>
    <xf numFmtId="39" fontId="4" fillId="0" borderId="0" xfId="0" applyNumberFormat="1" applyFont="1" applyFill="1" applyAlignment="1" applyProtection="1">
      <alignment horizontal="left"/>
    </xf>
    <xf numFmtId="39" fontId="8" fillId="0" borderId="0" xfId="0" applyNumberFormat="1" applyFont="1" applyFill="1" applyProtection="1"/>
    <xf numFmtId="39" fontId="8" fillId="0" borderId="0" xfId="0" applyNumberFormat="1" applyFont="1" applyFill="1" applyAlignment="1" applyProtection="1">
      <alignment horizontal="left" indent="1"/>
    </xf>
    <xf numFmtId="39" fontId="3" fillId="0" borderId="0" xfId="0" applyNumberFormat="1" applyFont="1" applyFill="1" applyProtection="1"/>
    <xf numFmtId="44" fontId="3" fillId="0" borderId="0" xfId="0" applyNumberFormat="1" applyFont="1" applyFill="1" applyAlignment="1" applyProtection="1">
      <alignment horizontal="center"/>
    </xf>
    <xf numFmtId="0" fontId="3" fillId="0" borderId="1" xfId="0" quotePrefix="1" applyNumberFormat="1" applyFont="1" applyFill="1" applyBorder="1" applyAlignment="1" applyProtection="1">
      <alignment horizontal="center"/>
    </xf>
    <xf numFmtId="44" fontId="8" fillId="0" borderId="0" xfId="0" applyNumberFormat="1" applyFont="1" applyFill="1" applyAlignment="1" applyProtection="1">
      <alignment horizontal="fill"/>
    </xf>
    <xf numFmtId="165" fontId="8" fillId="0" borderId="0" xfId="0" applyNumberFormat="1" applyFont="1" applyFill="1" applyAlignment="1" applyProtection="1">
      <alignment horizontal="right"/>
    </xf>
    <xf numFmtId="165" fontId="3" fillId="0" borderId="2" xfId="0" applyNumberFormat="1" applyFont="1" applyFill="1" applyBorder="1" applyAlignment="1" applyProtection="1">
      <alignment horizontal="right"/>
    </xf>
    <xf numFmtId="165" fontId="8" fillId="0" borderId="1" xfId="0" applyNumberFormat="1" applyFont="1" applyFill="1" applyBorder="1" applyAlignment="1" applyProtection="1">
      <alignment horizontal="right"/>
    </xf>
    <xf numFmtId="165" fontId="8" fillId="0" borderId="2" xfId="0" applyNumberFormat="1" applyFont="1" applyFill="1" applyBorder="1" applyAlignment="1" applyProtection="1">
      <alignment horizontal="right"/>
    </xf>
    <xf numFmtId="165" fontId="8" fillId="0" borderId="3" xfId="0" applyNumberFormat="1" applyFont="1" applyFill="1" applyBorder="1" applyAlignment="1" applyProtection="1">
      <alignment horizontal="right"/>
    </xf>
    <xf numFmtId="44" fontId="8" fillId="0" borderId="0" xfId="0" applyNumberFormat="1" applyFont="1" applyFill="1" applyAlignment="1" applyProtection="1">
      <alignment horizontal="right"/>
    </xf>
    <xf numFmtId="43" fontId="8" fillId="0" borderId="0" xfId="0" applyNumberFormat="1" applyFont="1" applyFill="1" applyAlignment="1" applyProtection="1">
      <alignment horizontal="right"/>
    </xf>
    <xf numFmtId="43" fontId="8" fillId="0" borderId="2" xfId="0" applyNumberFormat="1" applyFont="1" applyFill="1" applyBorder="1" applyAlignment="1" applyProtection="1">
      <alignment horizontal="right"/>
    </xf>
    <xf numFmtId="43" fontId="8" fillId="0" borderId="1" xfId="0" applyNumberFormat="1" applyFont="1" applyFill="1" applyBorder="1" applyAlignment="1" applyProtection="1">
      <alignment horizontal="right"/>
    </xf>
    <xf numFmtId="43" fontId="3" fillId="0" borderId="2" xfId="0" applyNumberFormat="1" applyFont="1" applyFill="1" applyBorder="1" applyAlignment="1" applyProtection="1">
      <alignment horizontal="right"/>
    </xf>
    <xf numFmtId="43" fontId="8" fillId="0" borderId="0" xfId="0" applyNumberFormat="1" applyFont="1" applyFill="1" applyBorder="1" applyAlignment="1" applyProtection="1">
      <alignment horizontal="right"/>
    </xf>
    <xf numFmtId="44" fontId="8" fillId="0" borderId="0" xfId="0" applyNumberFormat="1" applyFont="1" applyFill="1" applyBorder="1" applyAlignment="1" applyProtection="1">
      <alignment horizontal="right"/>
    </xf>
    <xf numFmtId="44" fontId="8" fillId="0" borderId="3" xfId="0" applyNumberFormat="1" applyFont="1" applyFill="1" applyBorder="1" applyAlignment="1" applyProtection="1">
      <alignment horizontal="right"/>
    </xf>
    <xf numFmtId="44" fontId="3" fillId="0" borderId="0" xfId="0" applyNumberFormat="1" applyFont="1" applyFill="1" applyBorder="1" applyAlignment="1" applyProtection="1">
      <alignment horizontal="right"/>
    </xf>
    <xf numFmtId="0" fontId="63" fillId="13" borderId="0" xfId="4" applyFont="1" applyFill="1" applyAlignment="1" applyProtection="1">
      <alignment horizontal="center"/>
    </xf>
    <xf numFmtId="39" fontId="63" fillId="13" borderId="0" xfId="3" applyFont="1" applyFill="1" applyAlignment="1" applyProtection="1"/>
    <xf numFmtId="0" fontId="81" fillId="0" borderId="0" xfId="0" applyFont="1" applyFill="1"/>
    <xf numFmtId="0" fontId="82" fillId="0" borderId="0" xfId="0" applyFont="1" applyFill="1"/>
    <xf numFmtId="165" fontId="0" fillId="52" borderId="0" xfId="66" applyNumberFormat="1" applyFont="1" applyFill="1" applyBorder="1"/>
    <xf numFmtId="0" fontId="37" fillId="52" borderId="0" xfId="0" applyFont="1" applyFill="1"/>
    <xf numFmtId="0" fontId="3" fillId="52" borderId="23" xfId="4" applyFont="1" applyFill="1" applyBorder="1"/>
    <xf numFmtId="41" fontId="0" fillId="52" borderId="23" xfId="0" applyNumberFormat="1" applyFont="1" applyFill="1" applyBorder="1" applyAlignment="1">
      <alignment horizontal="right"/>
    </xf>
    <xf numFmtId="0" fontId="19" fillId="0" borderId="66" xfId="0" applyFont="1" applyBorder="1" applyAlignment="1">
      <alignment horizontal="center" vertical="center" wrapText="1"/>
    </xf>
    <xf numFmtId="0" fontId="19" fillId="0" borderId="66" xfId="0" applyFont="1" applyBorder="1" applyAlignment="1"/>
    <xf numFmtId="0" fontId="19" fillId="0" borderId="66" xfId="0" applyFont="1" applyBorder="1" applyAlignment="1">
      <alignment vertical="center" wrapText="1"/>
    </xf>
    <xf numFmtId="0" fontId="19" fillId="0" borderId="65" xfId="0" applyFont="1" applyBorder="1" applyAlignment="1">
      <alignment horizontal="center" wrapText="1"/>
    </xf>
    <xf numFmtId="42" fontId="0" fillId="0" borderId="39" xfId="0" applyNumberFormat="1" applyFill="1" applyBorder="1" applyProtection="1"/>
    <xf numFmtId="42" fontId="26" fillId="0" borderId="45" xfId="0" applyNumberFormat="1" applyFont="1" applyFill="1" applyBorder="1" applyProtection="1"/>
    <xf numFmtId="42" fontId="26" fillId="0" borderId="33" xfId="0" applyNumberFormat="1" applyFont="1" applyFill="1" applyBorder="1" applyProtection="1"/>
    <xf numFmtId="165" fontId="26" fillId="0" borderId="33" xfId="55" applyNumberFormat="1" applyFont="1" applyFill="1" applyBorder="1" applyProtection="1"/>
    <xf numFmtId="42" fontId="26" fillId="0" borderId="0" xfId="0" applyNumberFormat="1" applyFont="1" applyFill="1" applyBorder="1" applyProtection="1"/>
    <xf numFmtId="165" fontId="26" fillId="0" borderId="0" xfId="55" applyNumberFormat="1" applyFont="1" applyFill="1" applyBorder="1" applyProtection="1"/>
    <xf numFmtId="42" fontId="0" fillId="0" borderId="45" xfId="0" applyNumberFormat="1" applyFill="1" applyBorder="1" applyProtection="1"/>
    <xf numFmtId="42" fontId="0" fillId="0" borderId="0" xfId="0" applyNumberFormat="1" applyFill="1" applyBorder="1" applyProtection="1"/>
    <xf numFmtId="0" fontId="42" fillId="0" borderId="43" xfId="0" applyFont="1" applyFill="1" applyBorder="1" applyAlignment="1">
      <alignment horizontal="center"/>
    </xf>
    <xf numFmtId="49" fontId="0" fillId="0" borderId="43" xfId="0" applyNumberFormat="1" applyFont="1" applyBorder="1" applyAlignment="1">
      <alignment horizontal="center"/>
    </xf>
    <xf numFmtId="0" fontId="0" fillId="0" borderId="47" xfId="0" applyBorder="1" applyAlignment="1">
      <alignment horizontal="center"/>
    </xf>
    <xf numFmtId="0" fontId="19" fillId="6" borderId="25" xfId="0" applyFont="1" applyFill="1" applyBorder="1" applyAlignment="1">
      <alignment horizontal="center"/>
    </xf>
    <xf numFmtId="0" fontId="19" fillId="6" borderId="25" xfId="0" applyFont="1" applyFill="1" applyBorder="1"/>
    <xf numFmtId="0" fontId="0" fillId="0" borderId="49" xfId="0" applyBorder="1" applyAlignment="1">
      <alignment horizontal="center"/>
    </xf>
    <xf numFmtId="0" fontId="0" fillId="0" borderId="50" xfId="0" applyBorder="1"/>
    <xf numFmtId="0" fontId="0" fillId="0" borderId="51" xfId="0" applyBorder="1"/>
    <xf numFmtId="0" fontId="0" fillId="0" borderId="49" xfId="0" applyBorder="1"/>
    <xf numFmtId="0" fontId="0" fillId="0" borderId="54" xfId="0" applyBorder="1" applyAlignment="1">
      <alignment horizontal="center"/>
    </xf>
    <xf numFmtId="0" fontId="0" fillId="0" borderId="55" xfId="0" applyBorder="1"/>
    <xf numFmtId="0" fontId="19" fillId="8" borderId="25" xfId="0" applyFont="1" applyFill="1" applyBorder="1" applyAlignment="1">
      <alignment horizontal="center"/>
    </xf>
    <xf numFmtId="0" fontId="19" fillId="8" borderId="25" xfId="0" applyFont="1" applyFill="1" applyBorder="1"/>
    <xf numFmtId="0" fontId="0" fillId="0" borderId="44" xfId="0" applyBorder="1"/>
    <xf numFmtId="3" fontId="25" fillId="9" borderId="2" xfId="0" applyNumberFormat="1" applyFont="1" applyFill="1" applyBorder="1" applyAlignment="1">
      <alignment horizontal="center"/>
    </xf>
    <xf numFmtId="0" fontId="25" fillId="9" borderId="2" xfId="0" applyFont="1" applyFill="1" applyBorder="1"/>
    <xf numFmtId="0" fontId="30" fillId="0" borderId="45" xfId="0" applyFont="1" applyBorder="1" applyAlignment="1">
      <alignment horizontal="center"/>
    </xf>
    <xf numFmtId="0" fontId="0" fillId="0" borderId="44" xfId="0" applyFont="1" applyFill="1" applyBorder="1"/>
    <xf numFmtId="0" fontId="0" fillId="0" borderId="58" xfId="0" applyBorder="1" applyAlignment="1">
      <alignment horizontal="center"/>
    </xf>
    <xf numFmtId="0" fontId="0" fillId="0" borderId="59" xfId="0" applyFill="1" applyBorder="1"/>
    <xf numFmtId="0" fontId="0" fillId="0" borderId="44" xfId="0" applyFont="1" applyBorder="1" applyAlignment="1">
      <alignment horizontal="center"/>
    </xf>
    <xf numFmtId="0" fontId="0" fillId="0" borderId="46" xfId="0" applyFont="1" applyBorder="1" applyAlignment="1">
      <alignment horizontal="center"/>
    </xf>
    <xf numFmtId="0" fontId="0" fillId="0" borderId="0" xfId="0" applyFont="1" applyFill="1"/>
    <xf numFmtId="0" fontId="30" fillId="0" borderId="44" xfId="0" applyFont="1" applyBorder="1"/>
    <xf numFmtId="0" fontId="29" fillId="0" borderId="45" xfId="0" applyFont="1" applyBorder="1" applyAlignment="1">
      <alignment horizontal="center"/>
    </xf>
    <xf numFmtId="0" fontId="30" fillId="0" borderId="46" xfId="0" applyFont="1" applyBorder="1"/>
    <xf numFmtId="0" fontId="29" fillId="0" borderId="45" xfId="0" applyFont="1" applyBorder="1"/>
    <xf numFmtId="0" fontId="0" fillId="0" borderId="2" xfId="0" applyBorder="1" applyAlignment="1">
      <alignment horizontal="center"/>
    </xf>
    <xf numFmtId="0" fontId="0" fillId="0" borderId="24" xfId="0" applyBorder="1"/>
    <xf numFmtId="0" fontId="0" fillId="0" borderId="2" xfId="0" applyBorder="1"/>
    <xf numFmtId="0" fontId="0" fillId="0" borderId="26" xfId="0" applyBorder="1"/>
    <xf numFmtId="0" fontId="0" fillId="0" borderId="25" xfId="0" applyBorder="1"/>
    <xf numFmtId="0" fontId="4" fillId="0" borderId="26" xfId="0" applyFont="1" applyBorder="1"/>
    <xf numFmtId="0" fontId="4" fillId="0" borderId="23" xfId="0" applyFont="1" applyBorder="1"/>
    <xf numFmtId="0" fontId="4" fillId="0" borderId="24" xfId="0" applyFont="1" applyBorder="1"/>
    <xf numFmtId="42" fontId="0" fillId="4" borderId="45" xfId="0" applyNumberFormat="1" applyFont="1" applyFill="1" applyBorder="1" applyProtection="1"/>
    <xf numFmtId="3" fontId="0" fillId="0" borderId="45" xfId="0" applyNumberFormat="1" applyFont="1" applyBorder="1" applyProtection="1"/>
    <xf numFmtId="42" fontId="0" fillId="0" borderId="0" xfId="0" applyNumberFormat="1" applyFont="1" applyFill="1" applyBorder="1" applyProtection="1"/>
    <xf numFmtId="42" fontId="0" fillId="0" borderId="39" xfId="0" applyNumberFormat="1" applyFont="1" applyFill="1" applyBorder="1" applyProtection="1"/>
    <xf numFmtId="3" fontId="0" fillId="0" borderId="39" xfId="0" applyNumberFormat="1" applyFont="1" applyFill="1" applyBorder="1" applyProtection="1"/>
    <xf numFmtId="42" fontId="0" fillId="0" borderId="33" xfId="0" applyNumberFormat="1" applyFont="1" applyFill="1" applyBorder="1" applyProtection="1"/>
    <xf numFmtId="42" fontId="0" fillId="4" borderId="39" xfId="0" applyNumberFormat="1" applyFont="1" applyFill="1" applyBorder="1" applyProtection="1"/>
    <xf numFmtId="42" fontId="0" fillId="4" borderId="33" xfId="0" applyNumberFormat="1" applyFont="1" applyFill="1" applyBorder="1" applyProtection="1"/>
    <xf numFmtId="3" fontId="0" fillId="0" borderId="33" xfId="0" applyNumberFormat="1" applyFont="1" applyBorder="1" applyProtection="1"/>
    <xf numFmtId="164" fontId="20" fillId="0" borderId="9" xfId="62" applyNumberFormat="1" applyFont="1" applyFill="1" applyBorder="1" applyProtection="1"/>
    <xf numFmtId="3" fontId="16" fillId="0" borderId="52" xfId="0" applyNumberFormat="1" applyFont="1" applyBorder="1" applyProtection="1"/>
    <xf numFmtId="42" fontId="0" fillId="0" borderId="52" xfId="0" applyNumberFormat="1" applyFill="1" applyBorder="1" applyProtection="1"/>
    <xf numFmtId="42" fontId="16" fillId="0" borderId="2" xfId="0" applyNumberFormat="1" applyFont="1" applyBorder="1" applyProtection="1"/>
    <xf numFmtId="3" fontId="16" fillId="0" borderId="2" xfId="0" applyNumberFormat="1" applyFont="1" applyBorder="1" applyProtection="1"/>
    <xf numFmtId="42" fontId="0" fillId="0" borderId="2" xfId="0" applyNumberFormat="1" applyFill="1" applyBorder="1" applyProtection="1"/>
    <xf numFmtId="42" fontId="4" fillId="55" borderId="2" xfId="0" applyNumberFormat="1" applyFont="1" applyFill="1" applyBorder="1" applyAlignment="1" applyProtection="1">
      <alignment vertical="center"/>
    </xf>
    <xf numFmtId="3" fontId="4" fillId="55" borderId="2" xfId="0" applyNumberFormat="1" applyFont="1" applyFill="1" applyBorder="1" applyAlignment="1" applyProtection="1">
      <alignment vertical="center"/>
    </xf>
    <xf numFmtId="42" fontId="4" fillId="55" borderId="61" xfId="0" applyNumberFormat="1" applyFont="1" applyFill="1" applyBorder="1" applyAlignment="1" applyProtection="1">
      <alignment vertical="center"/>
    </xf>
    <xf numFmtId="42" fontId="4" fillId="55" borderId="1" xfId="0" applyNumberFormat="1" applyFont="1" applyFill="1" applyBorder="1" applyAlignment="1" applyProtection="1">
      <alignment vertical="center"/>
    </xf>
    <xf numFmtId="3" fontId="4" fillId="55" borderId="1" xfId="0" applyNumberFormat="1" applyFont="1" applyFill="1" applyBorder="1" applyAlignment="1" applyProtection="1">
      <alignment vertical="center"/>
    </xf>
    <xf numFmtId="42" fontId="4" fillId="55" borderId="54" xfId="0" applyNumberFormat="1" applyFont="1" applyFill="1" applyBorder="1" applyAlignment="1" applyProtection="1">
      <alignment vertical="center"/>
    </xf>
    <xf numFmtId="3" fontId="16" fillId="0" borderId="51" xfId="0" applyNumberFormat="1" applyFont="1" applyBorder="1" applyProtection="1"/>
    <xf numFmtId="173" fontId="20" fillId="0" borderId="0" xfId="0" applyNumberFormat="1" applyFont="1" applyBorder="1" applyProtection="1"/>
    <xf numFmtId="0" fontId="10" fillId="55" borderId="84" xfId="0" applyFont="1" applyFill="1" applyBorder="1" applyAlignment="1">
      <alignment vertical="center"/>
    </xf>
    <xf numFmtId="0" fontId="10" fillId="55" borderId="61" xfId="0" applyFont="1" applyFill="1" applyBorder="1" applyAlignment="1">
      <alignment vertical="center"/>
    </xf>
    <xf numFmtId="0" fontId="10" fillId="55" borderId="2" xfId="0" applyFont="1" applyFill="1" applyBorder="1" applyAlignment="1">
      <alignment vertical="center"/>
    </xf>
    <xf numFmtId="174" fontId="4" fillId="55" borderId="2" xfId="0" applyNumberFormat="1" applyFont="1" applyFill="1" applyBorder="1"/>
    <xf numFmtId="0" fontId="10" fillId="55" borderId="55" xfId="0" applyFont="1" applyFill="1" applyBorder="1" applyAlignment="1">
      <alignment vertical="center"/>
    </xf>
    <xf numFmtId="0" fontId="10" fillId="55" borderId="1" xfId="0" applyFont="1" applyFill="1" applyBorder="1" applyAlignment="1">
      <alignment vertical="center"/>
    </xf>
    <xf numFmtId="173" fontId="4" fillId="55" borderId="1" xfId="0" applyNumberFormat="1" applyFont="1" applyFill="1" applyBorder="1" applyAlignment="1" applyProtection="1">
      <alignment vertical="center"/>
    </xf>
    <xf numFmtId="0" fontId="17" fillId="0" borderId="8" xfId="52" applyFill="1" applyBorder="1"/>
    <xf numFmtId="0" fontId="17" fillId="0" borderId="0" xfId="52" applyFill="1"/>
    <xf numFmtId="165" fontId="3" fillId="0" borderId="25" xfId="0" applyNumberFormat="1" applyFont="1" applyFill="1" applyBorder="1"/>
    <xf numFmtId="0" fontId="3" fillId="0" borderId="0" xfId="0" applyFont="1" applyFill="1" applyAlignment="1">
      <alignment horizontal="left" wrapText="1" indent="1"/>
    </xf>
    <xf numFmtId="180" fontId="2" fillId="54" borderId="20" xfId="0" quotePrefix="1" applyNumberFormat="1" applyFont="1" applyFill="1" applyBorder="1" applyAlignment="1">
      <alignment horizontal="left" wrapText="1"/>
    </xf>
    <xf numFmtId="0" fontId="2" fillId="0" borderId="20" xfId="0" applyFont="1" applyBorder="1"/>
    <xf numFmtId="0" fontId="2" fillId="0" borderId="0" xfId="0" applyFont="1" applyBorder="1"/>
    <xf numFmtId="0" fontId="2" fillId="0" borderId="0" xfId="0" applyFont="1" applyBorder="1" applyAlignment="1">
      <alignment horizontal="right"/>
    </xf>
    <xf numFmtId="0" fontId="1" fillId="57" borderId="0" xfId="0" applyFont="1" applyFill="1"/>
    <xf numFmtId="0" fontId="1" fillId="58" borderId="0" xfId="49" applyFont="1" applyFill="1"/>
    <xf numFmtId="0" fontId="4" fillId="0" borderId="0" xfId="51" applyFont="1" applyFill="1" applyBorder="1"/>
    <xf numFmtId="165" fontId="3" fillId="0" borderId="0" xfId="0" applyNumberFormat="1" applyFont="1" applyFill="1" applyBorder="1" applyAlignment="1">
      <alignment horizontal="centerContinuous"/>
    </xf>
    <xf numFmtId="0" fontId="3" fillId="0" borderId="8" xfId="0" applyFont="1" applyFill="1" applyBorder="1" applyAlignment="1">
      <alignment horizontal="centerContinuous"/>
    </xf>
    <xf numFmtId="164" fontId="1" fillId="0" borderId="0" xfId="0" applyNumberFormat="1" applyFont="1" applyFill="1" applyBorder="1"/>
    <xf numFmtId="165" fontId="1" fillId="0" borderId="0" xfId="0" applyNumberFormat="1" applyFont="1" applyFill="1" applyBorder="1"/>
    <xf numFmtId="164" fontId="5" fillId="0" borderId="0" xfId="0" applyNumberFormat="1" applyFont="1" applyFill="1" applyBorder="1"/>
    <xf numFmtId="1" fontId="34" fillId="0" borderId="0" xfId="52" applyNumberFormat="1" applyFont="1"/>
    <xf numFmtId="0" fontId="4" fillId="0" borderId="0" xfId="4" applyFont="1" applyFill="1" applyProtection="1"/>
    <xf numFmtId="0" fontId="3" fillId="0" borderId="1" xfId="3" quotePrefix="1" applyNumberFormat="1" applyFont="1" applyFill="1" applyBorder="1" applyAlignment="1" applyProtection="1">
      <alignment horizontal="center"/>
    </xf>
    <xf numFmtId="0" fontId="3" fillId="0" borderId="0" xfId="0" applyFont="1" applyFill="1" applyAlignment="1">
      <alignment horizontal="center"/>
    </xf>
    <xf numFmtId="0" fontId="2" fillId="0" borderId="0" xfId="0" applyFont="1" applyFill="1" applyAlignment="1">
      <alignment horizontal="center"/>
    </xf>
    <xf numFmtId="0" fontId="4" fillId="0" borderId="0" xfId="0" applyFont="1" applyFill="1" applyAlignment="1">
      <alignment horizontal="centerContinuous"/>
    </xf>
    <xf numFmtId="0" fontId="4" fillId="50" borderId="89" xfId="0" applyFont="1" applyFill="1" applyBorder="1" applyAlignment="1">
      <alignment horizontal="center"/>
    </xf>
    <xf numFmtId="0" fontId="4" fillId="50" borderId="90" xfId="0" applyFont="1" applyFill="1" applyBorder="1" applyAlignment="1">
      <alignment horizontal="center"/>
    </xf>
    <xf numFmtId="0" fontId="4" fillId="50" borderId="88" xfId="0" applyFont="1" applyFill="1" applyBorder="1" applyAlignment="1">
      <alignment horizontal="center"/>
    </xf>
    <xf numFmtId="0" fontId="3" fillId="0" borderId="0" xfId="0" applyFont="1" applyFill="1" applyAlignment="1">
      <alignment horizontal="center"/>
    </xf>
    <xf numFmtId="0" fontId="7" fillId="0" borderId="0" xfId="0" applyFont="1" applyFill="1" applyAlignment="1">
      <alignment horizontal="left" wrapText="1"/>
    </xf>
    <xf numFmtId="0" fontId="3" fillId="0" borderId="0" xfId="0" quotePrefix="1" applyFont="1" applyFill="1" applyAlignment="1">
      <alignment horizontal="center"/>
    </xf>
    <xf numFmtId="0" fontId="7" fillId="0" borderId="0" xfId="0" applyFont="1" applyFill="1" applyAlignment="1">
      <alignment horizontal="left" vertical="top" wrapText="1"/>
    </xf>
    <xf numFmtId="0" fontId="0" fillId="0" borderId="0" xfId="0" applyFill="1" applyBorder="1" applyAlignment="1">
      <alignment horizontal="left" wrapText="1"/>
    </xf>
    <xf numFmtId="0" fontId="39" fillId="12" borderId="0" xfId="0" applyFont="1" applyFill="1" applyAlignment="1">
      <alignment horizontal="center" vertical="center"/>
    </xf>
    <xf numFmtId="177" fontId="41" fillId="0" borderId="67" xfId="52" applyNumberFormat="1" applyFont="1" applyBorder="1" applyAlignment="1">
      <alignment horizontal="left"/>
    </xf>
    <xf numFmtId="0" fontId="0" fillId="4" borderId="24" xfId="0" applyFill="1" applyBorder="1" applyAlignment="1">
      <alignment horizontal="left" vertical="top" wrapText="1"/>
    </xf>
    <xf numFmtId="0" fontId="0" fillId="4" borderId="25" xfId="0" applyFill="1" applyBorder="1" applyAlignment="1">
      <alignment horizontal="left" vertical="top" wrapText="1"/>
    </xf>
    <xf numFmtId="0" fontId="69" fillId="51" borderId="64" xfId="57" applyFont="1" applyFill="1" applyBorder="1" applyAlignment="1">
      <alignment horizontal="center" vertical="center" wrapText="1"/>
    </xf>
    <xf numFmtId="0" fontId="69" fillId="51" borderId="65" xfId="57" applyFont="1" applyFill="1" applyBorder="1" applyAlignment="1">
      <alignment horizontal="center" vertical="center" wrapText="1"/>
    </xf>
    <xf numFmtId="0" fontId="69" fillId="51" borderId="62" xfId="57" applyFont="1" applyFill="1" applyBorder="1" applyAlignment="1">
      <alignment horizontal="center" vertical="center" wrapText="1"/>
    </xf>
    <xf numFmtId="0" fontId="69" fillId="51" borderId="63" xfId="57" applyFont="1" applyFill="1" applyBorder="1" applyAlignment="1">
      <alignment horizontal="center" vertical="center" wrapText="1"/>
    </xf>
    <xf numFmtId="0" fontId="17" fillId="0" borderId="0" xfId="52" applyFill="1" applyBorder="1" applyAlignment="1">
      <alignment horizontal="left" wrapText="1"/>
    </xf>
    <xf numFmtId="0" fontId="39" fillId="12" borderId="0" xfId="52" applyFont="1" applyFill="1" applyAlignment="1">
      <alignment horizontal="center" vertical="center"/>
    </xf>
    <xf numFmtId="0" fontId="17" fillId="4" borderId="24" xfId="52" applyFill="1" applyBorder="1" applyAlignment="1">
      <alignment horizontal="left" vertical="top" wrapText="1"/>
    </xf>
    <xf numFmtId="0" fontId="17" fillId="4" borderId="25" xfId="52" applyFill="1" applyBorder="1" applyAlignment="1">
      <alignment horizontal="left" vertical="top" wrapText="1"/>
    </xf>
    <xf numFmtId="0" fontId="33" fillId="51" borderId="89" xfId="0" applyFont="1" applyFill="1" applyBorder="1" applyAlignment="1">
      <alignment horizontal="center"/>
    </xf>
    <xf numFmtId="0" fontId="33" fillId="51" borderId="90" xfId="0" applyFont="1" applyFill="1" applyBorder="1" applyAlignment="1">
      <alignment horizontal="center"/>
    </xf>
    <xf numFmtId="0" fontId="33" fillId="51" borderId="88" xfId="0" applyFont="1" applyFill="1" applyBorder="1" applyAlignment="1">
      <alignment horizontal="center"/>
    </xf>
    <xf numFmtId="0" fontId="3" fillId="0" borderId="0" xfId="51" quotePrefix="1" applyFont="1" applyFill="1" applyBorder="1" applyAlignment="1">
      <alignment horizontal="center" vertical="center" wrapText="1"/>
    </xf>
    <xf numFmtId="0" fontId="3" fillId="0" borderId="0" xfId="0" quotePrefix="1" applyFont="1" applyFill="1" applyBorder="1" applyAlignment="1">
      <alignment horizontal="left" vertical="center"/>
    </xf>
    <xf numFmtId="0" fontId="13" fillId="0" borderId="64" xfId="0" applyFont="1" applyFill="1" applyBorder="1" applyAlignment="1">
      <alignment horizontal="center"/>
    </xf>
    <xf numFmtId="0" fontId="13" fillId="0" borderId="66" xfId="0" applyFont="1" applyFill="1" applyBorder="1" applyAlignment="1">
      <alignment horizontal="center"/>
    </xf>
    <xf numFmtId="0" fontId="13" fillId="0" borderId="65" xfId="0" applyFont="1" applyFill="1" applyBorder="1" applyAlignment="1">
      <alignment horizontal="center"/>
    </xf>
    <xf numFmtId="0" fontId="2" fillId="0" borderId="1" xfId="49" quotePrefix="1" applyFont="1" applyFill="1" applyBorder="1" applyAlignment="1">
      <alignment horizontal="center"/>
    </xf>
    <xf numFmtId="0" fontId="9" fillId="0" borderId="0" xfId="0" quotePrefix="1" applyFont="1" applyAlignment="1">
      <alignment horizontal="center"/>
    </xf>
    <xf numFmtId="0" fontId="9" fillId="0" borderId="0" xfId="49" quotePrefix="1" applyFont="1" applyFill="1" applyAlignment="1">
      <alignment horizontal="center"/>
    </xf>
    <xf numFmtId="39" fontId="3" fillId="0" borderId="0" xfId="3" applyNumberFormat="1" applyFont="1" applyFill="1" applyAlignment="1" applyProtection="1">
      <alignment wrapText="1"/>
    </xf>
  </cellXfs>
  <cellStyles count="68">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1" builtinId="3"/>
    <cellStyle name="Comma 10" xfId="64"/>
    <cellStyle name="Comma 2" xfId="55"/>
    <cellStyle name="Comma 26" xfId="61"/>
    <cellStyle name="Comma 3" xfId="66"/>
    <cellStyle name="Currency" xfId="2" builtinId="4"/>
    <cellStyle name="Currency 10 2" xfId="60"/>
    <cellStyle name="Currency 2" xfId="50"/>
    <cellStyle name="Currency 24" xfId="62"/>
    <cellStyle name="Currency 3" xfId="54"/>
    <cellStyle name="Currency 3 2" xfId="6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2" xfId="56"/>
    <cellStyle name="Hyperlink 2 2" xfId="59"/>
    <cellStyle name="Hyperlink 3 2" xfId="58"/>
    <cellStyle name="Input" xfId="16" builtinId="20" customBuiltin="1"/>
    <cellStyle name="Linked Cell" xfId="19" builtinId="24" customBuiltin="1"/>
    <cellStyle name="Neutral" xfId="15" builtinId="28" customBuiltin="1"/>
    <cellStyle name="Normal" xfId="0" builtinId="0"/>
    <cellStyle name="Normal 10 5" xfId="51"/>
    <cellStyle name="Normal 2" xfId="4"/>
    <cellStyle name="Normal 2 2" xfId="67"/>
    <cellStyle name="Normal 3" xfId="49"/>
    <cellStyle name="Normal 4" xfId="52"/>
    <cellStyle name="Normal 4 2" xfId="57"/>
    <cellStyle name="Normal 8" xfId="7"/>
    <cellStyle name="Normal_Monthly" xfId="3"/>
    <cellStyle name="Normal_Year To Date" xfId="6"/>
    <cellStyle name="Note" xfId="22" builtinId="10" customBuiltin="1"/>
    <cellStyle name="Output" xfId="17" builtinId="21" customBuiltin="1"/>
    <cellStyle name="Percent 2" xfId="5"/>
    <cellStyle name="Percent 3" xfId="53"/>
    <cellStyle name="Percent 3 2" xfId="6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colors>
    <mruColors>
      <color rgb="FFB1A0C7"/>
      <color rgb="FF92CDDC"/>
      <color rgb="FFDA9694"/>
      <color rgb="FF99FFCC"/>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Building the 2-yr gas target'!A1"/><Relationship Id="rId2" Type="http://schemas.openxmlformats.org/officeDocument/2006/relationships/hyperlink" Target="#'Portfolio--2023 Specific'!A1"/><Relationship Id="rId1" Type="http://schemas.openxmlformats.org/officeDocument/2006/relationships/hyperlink" Target="#'Portfolio--2022-2023'!A1"/><Relationship Id="rId4" Type="http://schemas.openxmlformats.org/officeDocument/2006/relationships/hyperlink" Target="#'Building the 2-yr elec target'!A1"/></Relationships>
</file>

<file path=xl/drawings/_rels/drawing2.xml.rels><?xml version="1.0" encoding="UTF-8" standalone="yes"?>
<Relationships xmlns="http://schemas.openxmlformats.org/package/2006/relationships"><Relationship Id="rId3" Type="http://schemas.openxmlformats.org/officeDocument/2006/relationships/hyperlink" Target="#'Building the 2-yr gas target'!A1"/><Relationship Id="rId2" Type="http://schemas.openxmlformats.org/officeDocument/2006/relationships/hyperlink" Target="#'Portfolio--2023 Specific'!A1"/><Relationship Id="rId1" Type="http://schemas.openxmlformats.org/officeDocument/2006/relationships/hyperlink" Target="#'Portfolio--2022-2023'!A1"/><Relationship Id="rId4" Type="http://schemas.openxmlformats.org/officeDocument/2006/relationships/hyperlink" Target="#'Building the 2-yr elec target'!A1"/></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647699</xdr:colOff>
      <xdr:row>2</xdr:row>
      <xdr:rowOff>209550</xdr:rowOff>
    </xdr:from>
    <xdr:to>
      <xdr:col>8</xdr:col>
      <xdr:colOff>671511</xdr:colOff>
      <xdr:row>4</xdr:row>
      <xdr:rowOff>156623</xdr:rowOff>
    </xdr:to>
    <xdr:grpSp>
      <xdr:nvGrpSpPr>
        <xdr:cNvPr id="2" name="Group 1"/>
        <xdr:cNvGrpSpPr/>
      </xdr:nvGrpSpPr>
      <xdr:grpSpPr>
        <a:xfrm>
          <a:off x="5187949" y="1168400"/>
          <a:ext cx="3808412" cy="937673"/>
          <a:chOff x="4933950" y="161225"/>
          <a:chExt cx="3519487" cy="594773"/>
        </a:xfrm>
      </xdr:grpSpPr>
      <xdr:sp macro="" textlink="">
        <xdr:nvSpPr>
          <xdr:cNvPr id="3" name="Rectangle 2"/>
          <xdr:cNvSpPr/>
        </xdr:nvSpPr>
        <xdr:spPr>
          <a:xfrm>
            <a:off x="5433155" y="161225"/>
            <a:ext cx="2491645" cy="594773"/>
          </a:xfrm>
          <a:prstGeom prst="rect">
            <a:avLst/>
          </a:prstGeom>
          <a:noFill/>
        </xdr:spPr>
        <xdr:txBody>
          <a:bodyPr wrap="square" lIns="91440" tIns="45720" rIns="91440" bIns="45720">
            <a:noAutofit/>
          </a:bodyPr>
          <a:lstStyle/>
          <a:p>
            <a:pPr algn="ct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Titles</a:t>
            </a:r>
            <a:r>
              <a:rPr 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are h</a:t>
            </a: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yperlinks to 2022 Sector Views</a:t>
            </a:r>
          </a:p>
        </xdr:txBody>
      </xdr:sp>
      <xdr:sp macro="" textlink="">
        <xdr:nvSpPr>
          <xdr:cNvPr id="4" name="Bent Arrow 3"/>
          <xdr:cNvSpPr/>
        </xdr:nvSpPr>
        <xdr:spPr>
          <a:xfrm rot="5400000">
            <a:off x="8062389" y="20749"/>
            <a:ext cx="159383" cy="62271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5" name="Bent Arrow 4"/>
          <xdr:cNvSpPr/>
        </xdr:nvSpPr>
        <xdr:spPr>
          <a:xfrm rot="5400000" flipV="1">
            <a:off x="5136444" y="40397"/>
            <a:ext cx="176212" cy="5812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grpSp>
    <xdr:clientData/>
  </xdr:twoCellAnchor>
  <xdr:oneCellAnchor>
    <xdr:from>
      <xdr:col>1</xdr:col>
      <xdr:colOff>0</xdr:colOff>
      <xdr:row>0</xdr:row>
      <xdr:rowOff>26670</xdr:rowOff>
    </xdr:from>
    <xdr:ext cx="1800045" cy="655885"/>
    <xdr:sp macro="" textlink="">
      <xdr:nvSpPr>
        <xdr:cNvPr id="6" name="TextBox 5"/>
        <xdr:cNvSpPr txBox="1"/>
      </xdr:nvSpPr>
      <xdr:spPr>
        <a:xfrm>
          <a:off x="335280" y="26670"/>
          <a:ext cx="180004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3600">
              <a:solidFill>
                <a:srgbClr val="006A71"/>
              </a:solidFill>
            </a:rPr>
            <a:t>Exhibit 1</a:t>
          </a:r>
        </a:p>
      </xdr:txBody>
    </xdr:sp>
    <xdr:clientData/>
  </xdr:oneCellAnchor>
  <xdr:twoCellAnchor>
    <xdr:from>
      <xdr:col>6</xdr:col>
      <xdr:colOff>376311</xdr:colOff>
      <xdr:row>1</xdr:row>
      <xdr:rowOff>182880</xdr:rowOff>
    </xdr:from>
    <xdr:to>
      <xdr:col>7</xdr:col>
      <xdr:colOff>4983</xdr:colOff>
      <xdr:row>2</xdr:row>
      <xdr:rowOff>73563</xdr:rowOff>
    </xdr:to>
    <xdr:sp macro="" textlink="">
      <xdr:nvSpPr>
        <xdr:cNvPr id="7" name="Rectangle 6">
          <a:hlinkClick xmlns:r="http://schemas.openxmlformats.org/officeDocument/2006/relationships" r:id="rId1"/>
        </xdr:cNvPr>
        <xdr:cNvSpPr/>
      </xdr:nvSpPr>
      <xdr:spPr>
        <a:xfrm>
          <a:off x="5961771" y="609600"/>
          <a:ext cx="901212" cy="424083"/>
        </a:xfrm>
        <a:prstGeom prst="rect">
          <a:avLst/>
        </a:prstGeom>
        <a:solidFill>
          <a:srgbClr val="92D05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solidFill>
            </a:rPr>
            <a:t>Go to two-year Portfolio view</a:t>
          </a:r>
        </a:p>
      </xdr:txBody>
    </xdr:sp>
    <xdr:clientData/>
  </xdr:twoCellAnchor>
  <xdr:twoCellAnchor>
    <xdr:from>
      <xdr:col>7</xdr:col>
      <xdr:colOff>225376</xdr:colOff>
      <xdr:row>1</xdr:row>
      <xdr:rowOff>182881</xdr:rowOff>
    </xdr:from>
    <xdr:to>
      <xdr:col>7</xdr:col>
      <xdr:colOff>1126588</xdr:colOff>
      <xdr:row>2</xdr:row>
      <xdr:rowOff>81183</xdr:rowOff>
    </xdr:to>
    <xdr:sp macro="" textlink="">
      <xdr:nvSpPr>
        <xdr:cNvPr id="8" name="Rectangle 7">
          <a:hlinkClick xmlns:r="http://schemas.openxmlformats.org/officeDocument/2006/relationships" r:id="rId2"/>
        </xdr:cNvPr>
        <xdr:cNvSpPr/>
      </xdr:nvSpPr>
      <xdr:spPr>
        <a:xfrm>
          <a:off x="7083376" y="609601"/>
          <a:ext cx="901212" cy="431702"/>
        </a:xfrm>
        <a:prstGeom prst="rect">
          <a:avLst/>
        </a:prstGeom>
        <a:solidFill>
          <a:srgbClr val="D8EEC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solidFill>
            </a:rPr>
            <a:t>Go to 2022 Portfolio view</a:t>
          </a:r>
        </a:p>
      </xdr:txBody>
    </xdr:sp>
    <xdr:clientData/>
  </xdr:twoCellAnchor>
  <xdr:twoCellAnchor>
    <xdr:from>
      <xdr:col>1</xdr:col>
      <xdr:colOff>401955</xdr:colOff>
      <xdr:row>78</xdr:row>
      <xdr:rowOff>76200</xdr:rowOff>
    </xdr:from>
    <xdr:to>
      <xdr:col>1</xdr:col>
      <xdr:colOff>838200</xdr:colOff>
      <xdr:row>82</xdr:row>
      <xdr:rowOff>0</xdr:rowOff>
    </xdr:to>
    <xdr:sp macro="" textlink="">
      <xdr:nvSpPr>
        <xdr:cNvPr id="9" name="Rectangle 8">
          <a:hlinkClick xmlns:r="http://schemas.openxmlformats.org/officeDocument/2006/relationships" r:id="rId3"/>
        </xdr:cNvPr>
        <xdr:cNvSpPr/>
      </xdr:nvSpPr>
      <xdr:spPr>
        <a:xfrm>
          <a:off x="737235" y="14798040"/>
          <a:ext cx="436245" cy="617220"/>
        </a:xfrm>
        <a:prstGeom prst="rect">
          <a:avLst/>
        </a:prstGeom>
        <a:solidFill>
          <a:schemeClr val="accent6">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
              <a:solidFill>
                <a:schemeClr val="tx1"/>
              </a:solidFill>
            </a:rPr>
            <a:t>Go to Building</a:t>
          </a:r>
          <a:r>
            <a:rPr lang="en-US" sz="600" baseline="0">
              <a:solidFill>
                <a:schemeClr val="tx1"/>
              </a:solidFill>
            </a:rPr>
            <a:t> the Gas Target Page</a:t>
          </a:r>
          <a:endParaRPr lang="en-US" sz="600">
            <a:solidFill>
              <a:schemeClr val="tx1"/>
            </a:solidFill>
          </a:endParaRPr>
        </a:p>
      </xdr:txBody>
    </xdr:sp>
    <xdr:clientData/>
  </xdr:twoCellAnchor>
  <xdr:twoCellAnchor>
    <xdr:from>
      <xdr:col>0</xdr:col>
      <xdr:colOff>227135</xdr:colOff>
      <xdr:row>78</xdr:row>
      <xdr:rowOff>89534</xdr:rowOff>
    </xdr:from>
    <xdr:to>
      <xdr:col>1</xdr:col>
      <xdr:colOff>357554</xdr:colOff>
      <xdr:row>81</xdr:row>
      <xdr:rowOff>190499</xdr:rowOff>
    </xdr:to>
    <xdr:sp macro="" textlink="">
      <xdr:nvSpPr>
        <xdr:cNvPr id="10" name="Rectangle 9">
          <a:hlinkClick xmlns:r="http://schemas.openxmlformats.org/officeDocument/2006/relationships" r:id="rId4"/>
        </xdr:cNvPr>
        <xdr:cNvSpPr/>
      </xdr:nvSpPr>
      <xdr:spPr>
        <a:xfrm>
          <a:off x="227135" y="14811374"/>
          <a:ext cx="465699" cy="603885"/>
        </a:xfrm>
        <a:prstGeom prst="rect">
          <a:avLst/>
        </a:prstGeom>
        <a:solidFill>
          <a:schemeClr val="accent1">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
              <a:solidFill>
                <a:schemeClr val="tx1"/>
              </a:solidFill>
            </a:rPr>
            <a:t>Go to Building</a:t>
          </a:r>
          <a:r>
            <a:rPr lang="en-US" sz="600" baseline="0">
              <a:solidFill>
                <a:schemeClr val="tx1"/>
              </a:solidFill>
            </a:rPr>
            <a:t> the Electric Target Page</a:t>
          </a:r>
          <a:endParaRPr lang="en-US" sz="600">
            <a:solidFill>
              <a:schemeClr val="tx1"/>
            </a:solidFill>
          </a:endParaRPr>
        </a:p>
      </xdr:txBody>
    </xdr:sp>
    <xdr:clientData/>
  </xdr:twoCellAnchor>
  <xdr:twoCellAnchor>
    <xdr:from>
      <xdr:col>5</xdr:col>
      <xdr:colOff>647699</xdr:colOff>
      <xdr:row>2</xdr:row>
      <xdr:rowOff>209550</xdr:rowOff>
    </xdr:from>
    <xdr:to>
      <xdr:col>8</xdr:col>
      <xdr:colOff>671511</xdr:colOff>
      <xdr:row>4</xdr:row>
      <xdr:rowOff>156623</xdr:rowOff>
    </xdr:to>
    <xdr:grpSp>
      <xdr:nvGrpSpPr>
        <xdr:cNvPr id="12" name="Group 11"/>
        <xdr:cNvGrpSpPr/>
      </xdr:nvGrpSpPr>
      <xdr:grpSpPr>
        <a:xfrm>
          <a:off x="5187949" y="1168400"/>
          <a:ext cx="3808412" cy="937673"/>
          <a:chOff x="4933950" y="161225"/>
          <a:chExt cx="3519487" cy="594773"/>
        </a:xfrm>
      </xdr:grpSpPr>
      <xdr:sp macro="" textlink="">
        <xdr:nvSpPr>
          <xdr:cNvPr id="13" name="Rectangle 12"/>
          <xdr:cNvSpPr/>
        </xdr:nvSpPr>
        <xdr:spPr>
          <a:xfrm>
            <a:off x="5433155" y="161225"/>
            <a:ext cx="2491645" cy="594773"/>
          </a:xfrm>
          <a:prstGeom prst="rect">
            <a:avLst/>
          </a:prstGeom>
          <a:noFill/>
        </xdr:spPr>
        <xdr:txBody>
          <a:bodyPr wrap="square" lIns="91440" tIns="45720" rIns="91440" bIns="45720">
            <a:noAutofit/>
          </a:bodyPr>
          <a:lstStyle/>
          <a:p>
            <a:pPr algn="ct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Titles</a:t>
            </a:r>
            <a:r>
              <a:rPr 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are h</a:t>
            </a: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yperlinks to 2023</a:t>
            </a:r>
          </a:p>
          <a:p>
            <a:pPr algn="ct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Sector Views</a:t>
            </a:r>
          </a:p>
        </xdr:txBody>
      </xdr:sp>
      <xdr:sp macro="" textlink="">
        <xdr:nvSpPr>
          <xdr:cNvPr id="14" name="Bent Arrow 13"/>
          <xdr:cNvSpPr/>
        </xdr:nvSpPr>
        <xdr:spPr>
          <a:xfrm rot="5400000">
            <a:off x="8062389" y="20749"/>
            <a:ext cx="159383" cy="62271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15" name="Bent Arrow 14"/>
          <xdr:cNvSpPr/>
        </xdr:nvSpPr>
        <xdr:spPr>
          <a:xfrm rot="5400000" flipV="1">
            <a:off x="5136444" y="40397"/>
            <a:ext cx="176212" cy="5812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647699</xdr:colOff>
      <xdr:row>2</xdr:row>
      <xdr:rowOff>209550</xdr:rowOff>
    </xdr:from>
    <xdr:to>
      <xdr:col>8</xdr:col>
      <xdr:colOff>671511</xdr:colOff>
      <xdr:row>4</xdr:row>
      <xdr:rowOff>156623</xdr:rowOff>
    </xdr:to>
    <xdr:grpSp>
      <xdr:nvGrpSpPr>
        <xdr:cNvPr id="2" name="Group 1"/>
        <xdr:cNvGrpSpPr/>
      </xdr:nvGrpSpPr>
      <xdr:grpSpPr>
        <a:xfrm>
          <a:off x="5187949" y="1168400"/>
          <a:ext cx="3808412" cy="937673"/>
          <a:chOff x="4933950" y="161225"/>
          <a:chExt cx="3519487" cy="594773"/>
        </a:xfrm>
      </xdr:grpSpPr>
      <xdr:sp macro="" textlink="">
        <xdr:nvSpPr>
          <xdr:cNvPr id="3" name="Rectangle 2"/>
          <xdr:cNvSpPr/>
        </xdr:nvSpPr>
        <xdr:spPr>
          <a:xfrm>
            <a:off x="5433155" y="161225"/>
            <a:ext cx="2491645" cy="594773"/>
          </a:xfrm>
          <a:prstGeom prst="rect">
            <a:avLst/>
          </a:prstGeom>
          <a:noFill/>
        </xdr:spPr>
        <xdr:txBody>
          <a:bodyPr wrap="square" lIns="91440" tIns="45720" rIns="91440" bIns="45720">
            <a:noAutofit/>
          </a:bodyPr>
          <a:lstStyle/>
          <a:p>
            <a:pPr algn="ct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Titles</a:t>
            </a:r>
            <a:r>
              <a:rPr 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are h</a:t>
            </a:r>
            <a:r>
              <a:rPr lang="en-US" sz="1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yperlinks to 2022 Sector Views</a:t>
            </a:r>
          </a:p>
        </xdr:txBody>
      </xdr:sp>
      <xdr:sp macro="" textlink="">
        <xdr:nvSpPr>
          <xdr:cNvPr id="4" name="Bent Arrow 3"/>
          <xdr:cNvSpPr/>
        </xdr:nvSpPr>
        <xdr:spPr>
          <a:xfrm rot="5400000">
            <a:off x="8062389" y="20749"/>
            <a:ext cx="159383" cy="62271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sp macro="" textlink="">
        <xdr:nvSpPr>
          <xdr:cNvPr id="5" name="Bent Arrow 4"/>
          <xdr:cNvSpPr/>
        </xdr:nvSpPr>
        <xdr:spPr>
          <a:xfrm rot="5400000" flipV="1">
            <a:off x="5136444" y="40397"/>
            <a:ext cx="176212" cy="58120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chemeClr val="tx1"/>
              </a:solidFill>
            </a:endParaRPr>
          </a:p>
        </xdr:txBody>
      </xdr:sp>
    </xdr:grpSp>
    <xdr:clientData/>
  </xdr:twoCellAnchor>
  <xdr:oneCellAnchor>
    <xdr:from>
      <xdr:col>1</xdr:col>
      <xdr:colOff>0</xdr:colOff>
      <xdr:row>0</xdr:row>
      <xdr:rowOff>26670</xdr:rowOff>
    </xdr:from>
    <xdr:ext cx="1800045" cy="655885"/>
    <xdr:sp macro="" textlink="">
      <xdr:nvSpPr>
        <xdr:cNvPr id="6" name="TextBox 5"/>
        <xdr:cNvSpPr txBox="1"/>
      </xdr:nvSpPr>
      <xdr:spPr>
        <a:xfrm>
          <a:off x="335280" y="26670"/>
          <a:ext cx="180004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3600">
              <a:solidFill>
                <a:srgbClr val="006A71"/>
              </a:solidFill>
            </a:rPr>
            <a:t>Exhibit 1</a:t>
          </a:r>
        </a:p>
      </xdr:txBody>
    </xdr:sp>
    <xdr:clientData/>
  </xdr:oneCellAnchor>
  <xdr:twoCellAnchor>
    <xdr:from>
      <xdr:col>6</xdr:col>
      <xdr:colOff>376311</xdr:colOff>
      <xdr:row>1</xdr:row>
      <xdr:rowOff>182880</xdr:rowOff>
    </xdr:from>
    <xdr:to>
      <xdr:col>7</xdr:col>
      <xdr:colOff>4983</xdr:colOff>
      <xdr:row>2</xdr:row>
      <xdr:rowOff>73563</xdr:rowOff>
    </xdr:to>
    <xdr:sp macro="" textlink="">
      <xdr:nvSpPr>
        <xdr:cNvPr id="7" name="Rectangle 6">
          <a:hlinkClick xmlns:r="http://schemas.openxmlformats.org/officeDocument/2006/relationships" r:id="rId1"/>
        </xdr:cNvPr>
        <xdr:cNvSpPr/>
      </xdr:nvSpPr>
      <xdr:spPr>
        <a:xfrm>
          <a:off x="5961771" y="609600"/>
          <a:ext cx="901212" cy="424083"/>
        </a:xfrm>
        <a:prstGeom prst="rect">
          <a:avLst/>
        </a:prstGeom>
        <a:solidFill>
          <a:srgbClr val="92D05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solidFill>
            </a:rPr>
            <a:t>Go to two-year Portfolio view</a:t>
          </a:r>
        </a:p>
      </xdr:txBody>
    </xdr:sp>
    <xdr:clientData/>
  </xdr:twoCellAnchor>
  <xdr:twoCellAnchor>
    <xdr:from>
      <xdr:col>7</xdr:col>
      <xdr:colOff>225376</xdr:colOff>
      <xdr:row>1</xdr:row>
      <xdr:rowOff>182881</xdr:rowOff>
    </xdr:from>
    <xdr:to>
      <xdr:col>7</xdr:col>
      <xdr:colOff>1126588</xdr:colOff>
      <xdr:row>2</xdr:row>
      <xdr:rowOff>81183</xdr:rowOff>
    </xdr:to>
    <xdr:sp macro="" textlink="">
      <xdr:nvSpPr>
        <xdr:cNvPr id="8" name="Rectangle 7">
          <a:hlinkClick xmlns:r="http://schemas.openxmlformats.org/officeDocument/2006/relationships" r:id="rId2"/>
        </xdr:cNvPr>
        <xdr:cNvSpPr/>
      </xdr:nvSpPr>
      <xdr:spPr>
        <a:xfrm>
          <a:off x="7083376" y="609601"/>
          <a:ext cx="901212" cy="431702"/>
        </a:xfrm>
        <a:prstGeom prst="rect">
          <a:avLst/>
        </a:prstGeom>
        <a:solidFill>
          <a:srgbClr val="D8EEC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1"/>
              </a:solidFill>
            </a:rPr>
            <a:t>Go to 2023 Portfolio view</a:t>
          </a:r>
        </a:p>
      </xdr:txBody>
    </xdr:sp>
    <xdr:clientData/>
  </xdr:twoCellAnchor>
  <xdr:twoCellAnchor>
    <xdr:from>
      <xdr:col>1</xdr:col>
      <xdr:colOff>401955</xdr:colOff>
      <xdr:row>78</xdr:row>
      <xdr:rowOff>76200</xdr:rowOff>
    </xdr:from>
    <xdr:to>
      <xdr:col>1</xdr:col>
      <xdr:colOff>838200</xdr:colOff>
      <xdr:row>82</xdr:row>
      <xdr:rowOff>0</xdr:rowOff>
    </xdr:to>
    <xdr:sp macro="" textlink="">
      <xdr:nvSpPr>
        <xdr:cNvPr id="9" name="Rectangle 8">
          <a:hlinkClick xmlns:r="http://schemas.openxmlformats.org/officeDocument/2006/relationships" r:id="rId3"/>
        </xdr:cNvPr>
        <xdr:cNvSpPr/>
      </xdr:nvSpPr>
      <xdr:spPr>
        <a:xfrm>
          <a:off x="737235" y="15163800"/>
          <a:ext cx="436245" cy="662940"/>
        </a:xfrm>
        <a:prstGeom prst="rect">
          <a:avLst/>
        </a:prstGeom>
        <a:solidFill>
          <a:schemeClr val="accent6">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
              <a:solidFill>
                <a:schemeClr val="tx1"/>
              </a:solidFill>
            </a:rPr>
            <a:t>Go to Building</a:t>
          </a:r>
          <a:r>
            <a:rPr lang="en-US" sz="600" baseline="0">
              <a:solidFill>
                <a:schemeClr val="tx1"/>
              </a:solidFill>
            </a:rPr>
            <a:t> the Gas Target Page</a:t>
          </a:r>
          <a:endParaRPr lang="en-US" sz="600">
            <a:solidFill>
              <a:schemeClr val="tx1"/>
            </a:solidFill>
          </a:endParaRPr>
        </a:p>
      </xdr:txBody>
    </xdr:sp>
    <xdr:clientData/>
  </xdr:twoCellAnchor>
  <xdr:twoCellAnchor>
    <xdr:from>
      <xdr:col>0</xdr:col>
      <xdr:colOff>227135</xdr:colOff>
      <xdr:row>78</xdr:row>
      <xdr:rowOff>89534</xdr:rowOff>
    </xdr:from>
    <xdr:to>
      <xdr:col>1</xdr:col>
      <xdr:colOff>357554</xdr:colOff>
      <xdr:row>81</xdr:row>
      <xdr:rowOff>190499</xdr:rowOff>
    </xdr:to>
    <xdr:sp macro="" textlink="">
      <xdr:nvSpPr>
        <xdr:cNvPr id="10" name="Rectangle 9">
          <a:hlinkClick xmlns:r="http://schemas.openxmlformats.org/officeDocument/2006/relationships" r:id="rId4"/>
        </xdr:cNvPr>
        <xdr:cNvSpPr/>
      </xdr:nvSpPr>
      <xdr:spPr>
        <a:xfrm>
          <a:off x="227135" y="15177134"/>
          <a:ext cx="465699" cy="649605"/>
        </a:xfrm>
        <a:prstGeom prst="rect">
          <a:avLst/>
        </a:prstGeom>
        <a:solidFill>
          <a:schemeClr val="accent1">
            <a:lumMod val="40000"/>
            <a:lumOff val="6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600">
              <a:solidFill>
                <a:schemeClr val="tx1"/>
              </a:solidFill>
            </a:rPr>
            <a:t>Go to Building</a:t>
          </a:r>
          <a:r>
            <a:rPr lang="en-US" sz="600" baseline="0">
              <a:solidFill>
                <a:schemeClr val="tx1"/>
              </a:solidFill>
            </a:rPr>
            <a:t> the Electric Target Page</a:t>
          </a:r>
          <a:endParaRPr lang="en-US" sz="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180975</xdr:colOff>
      <xdr:row>21</xdr:row>
      <xdr:rowOff>103396</xdr:rowOff>
    </xdr:from>
    <xdr:to>
      <xdr:col>11</xdr:col>
      <xdr:colOff>284665</xdr:colOff>
      <xdr:row>36</xdr:row>
      <xdr:rowOff>10475</xdr:rowOff>
    </xdr:to>
    <xdr:pic>
      <xdr:nvPicPr>
        <xdr:cNvPr id="3" name="Picture 2"/>
        <xdr:cNvPicPr>
          <a:picLocks noChangeAspect="1"/>
        </xdr:cNvPicPr>
      </xdr:nvPicPr>
      <xdr:blipFill>
        <a:blip xmlns:r="http://schemas.openxmlformats.org/officeDocument/2006/relationships" r:embed="rId1"/>
        <a:stretch>
          <a:fillRect/>
        </a:stretch>
      </xdr:blipFill>
      <xdr:spPr>
        <a:xfrm>
          <a:off x="7381875" y="3684796"/>
          <a:ext cx="5894890" cy="2335954"/>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35</xdr:row>
      <xdr:rowOff>66675</xdr:rowOff>
    </xdr:from>
    <xdr:to>
      <xdr:col>10</xdr:col>
      <xdr:colOff>666750</xdr:colOff>
      <xdr:row>41</xdr:row>
      <xdr:rowOff>47625</xdr:rowOff>
    </xdr:to>
    <xdr:cxnSp macro="">
      <xdr:nvCxnSpPr>
        <xdr:cNvPr id="2" name="Straight Arrow Connector 1"/>
        <xdr:cNvCxnSpPr/>
      </xdr:nvCxnSpPr>
      <xdr:spPr>
        <a:xfrm flipV="1">
          <a:off x="4924425" y="5410200"/>
          <a:ext cx="1781175" cy="95250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184888</xdr:colOff>
      <xdr:row>37</xdr:row>
      <xdr:rowOff>91894</xdr:rowOff>
    </xdr:from>
    <xdr:ext cx="2149191" cy="457279"/>
    <xdr:sp macro="" textlink="">
      <xdr:nvSpPr>
        <xdr:cNvPr id="3" name="TextBox 2"/>
        <xdr:cNvSpPr txBox="1"/>
      </xdr:nvSpPr>
      <xdr:spPr>
        <a:xfrm rot="19630069">
          <a:off x="5061688" y="5759269"/>
          <a:ext cx="2149191" cy="45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Difference due to rounding to</a:t>
          </a:r>
          <a:r>
            <a:rPr lang="en-US" sz="1100" baseline="0"/>
            <a:t> six </a:t>
          </a:r>
          <a:r>
            <a:rPr lang="en-US" sz="1100"/>
            <a:t>decimals in Schedule 120 rate</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Power%20Costs\Outlook\2011%20Outlook\Actuals\12%202011\Copy%20of%20Margin_2011_12_final_20120111_120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QTD Attach A"/>
      <sheetName val="YTD Attach A"/>
      <sheetName val="Footnotes"/>
      <sheetName val="Strings"/>
      <sheetName val="ZZCOOM_M03_Q005"/>
      <sheetName val="ZZCOOM_M03_Q005SKF"/>
      <sheetName val="ZZCOOM_M03_Q005ORDERS"/>
      <sheetName val="Revision History"/>
      <sheetName val="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5.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8.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9.bin"/><Relationship Id="rId1" Type="http://schemas.openxmlformats.org/officeDocument/2006/relationships/printerSettings" Target="../printerSettings/printerSettings4.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8"/>
  <sheetViews>
    <sheetView showGridLines="0" tabSelected="1" workbookViewId="0">
      <selection activeCell="M39" sqref="M39"/>
    </sheetView>
  </sheetViews>
  <sheetFormatPr defaultRowHeight="14.5" x14ac:dyDescent="0.35"/>
  <cols>
    <col min="1" max="1" width="4.453125" customWidth="1"/>
    <col min="2" max="2" width="4.54296875" customWidth="1"/>
    <col min="3" max="3" width="3.81640625" customWidth="1"/>
    <col min="4" max="4" width="5.1796875" customWidth="1"/>
    <col min="15" max="17" width="9.1796875" style="182"/>
    <col min="18" max="18" width="15.453125" bestFit="1" customWidth="1"/>
    <col min="19" max="19" width="2.54296875" bestFit="1" customWidth="1"/>
  </cols>
  <sheetData>
    <row r="2" spans="1:19" x14ac:dyDescent="0.35">
      <c r="A2" t="s">
        <v>356</v>
      </c>
    </row>
    <row r="3" spans="1:19" x14ac:dyDescent="0.35">
      <c r="K3" s="283" t="s">
        <v>280</v>
      </c>
      <c r="L3" s="283"/>
      <c r="M3" s="283"/>
      <c r="N3" s="283"/>
      <c r="O3" s="283"/>
      <c r="P3" s="283"/>
      <c r="Q3" s="283"/>
      <c r="R3" s="102" t="s">
        <v>281</v>
      </c>
    </row>
    <row r="4" spans="1:19" x14ac:dyDescent="0.35">
      <c r="A4" s="102">
        <v>1</v>
      </c>
      <c r="B4" t="s">
        <v>284</v>
      </c>
      <c r="R4" s="253">
        <f>SUM(R6:R17)</f>
        <v>90245214.525615215</v>
      </c>
      <c r="S4" s="282">
        <f>'CY Rev Req Non-449'!C12-R4</f>
        <v>0</v>
      </c>
    </row>
    <row r="6" spans="1:19" x14ac:dyDescent="0.35">
      <c r="B6" s="102" t="s">
        <v>6</v>
      </c>
      <c r="C6" t="s">
        <v>303</v>
      </c>
      <c r="K6" t="s">
        <v>519</v>
      </c>
      <c r="R6" s="281">
        <f>'CY Rev Req Non-449'!C8</f>
        <v>121557883.55955744</v>
      </c>
    </row>
    <row r="7" spans="1:19" s="182" customFormat="1" x14ac:dyDescent="0.35">
      <c r="B7" s="102"/>
    </row>
    <row r="8" spans="1:19" x14ac:dyDescent="0.35">
      <c r="B8" s="102" t="s">
        <v>7</v>
      </c>
      <c r="C8" t="s">
        <v>304</v>
      </c>
    </row>
    <row r="10" spans="1:19" x14ac:dyDescent="0.35">
      <c r="C10" s="102" t="s">
        <v>175</v>
      </c>
      <c r="D10" t="s">
        <v>305</v>
      </c>
    </row>
    <row r="11" spans="1:19" x14ac:dyDescent="0.35">
      <c r="D11" t="s">
        <v>306</v>
      </c>
    </row>
    <row r="12" spans="1:19" x14ac:dyDescent="0.35">
      <c r="D12" t="s">
        <v>277</v>
      </c>
    </row>
    <row r="13" spans="1:19" s="182" customFormat="1" x14ac:dyDescent="0.35"/>
    <row r="14" spans="1:19" x14ac:dyDescent="0.35">
      <c r="D14" s="102" t="s">
        <v>6</v>
      </c>
      <c r="E14" t="s">
        <v>275</v>
      </c>
      <c r="K14" s="71" t="s">
        <v>520</v>
      </c>
      <c r="R14" s="281">
        <f>'CY True-Up'!F10</f>
        <v>-3024996.4936950952</v>
      </c>
    </row>
    <row r="15" spans="1:19" x14ac:dyDescent="0.35">
      <c r="D15" s="102" t="s">
        <v>7</v>
      </c>
      <c r="E15" t="s">
        <v>278</v>
      </c>
      <c r="K15" s="71" t="s">
        <v>521</v>
      </c>
      <c r="R15" s="281">
        <f>'CY True-Up'!F23</f>
        <v>-2885800.426349543</v>
      </c>
    </row>
    <row r="17" spans="1:19" x14ac:dyDescent="0.35">
      <c r="C17" s="102" t="s">
        <v>276</v>
      </c>
      <c r="D17" t="s">
        <v>363</v>
      </c>
      <c r="K17" s="71" t="s">
        <v>522</v>
      </c>
      <c r="R17" s="281">
        <f>'CY True-Up'!F15</f>
        <v>-25401872.113897599</v>
      </c>
    </row>
    <row r="18" spans="1:19" x14ac:dyDescent="0.35">
      <c r="D18" t="s">
        <v>307</v>
      </c>
    </row>
    <row r="19" spans="1:19" s="182" customFormat="1" x14ac:dyDescent="0.35">
      <c r="D19" s="182" t="s">
        <v>308</v>
      </c>
    </row>
    <row r="21" spans="1:19" x14ac:dyDescent="0.35">
      <c r="A21" s="102">
        <v>2</v>
      </c>
      <c r="B21" t="s">
        <v>282</v>
      </c>
    </row>
    <row r="22" spans="1:19" s="182" customFormat="1" x14ac:dyDescent="0.35">
      <c r="A22" s="102"/>
      <c r="B22" s="182" t="s">
        <v>283</v>
      </c>
      <c r="R22" s="253">
        <f>SUM(R24:R34)</f>
        <v>-5455962.9757922851</v>
      </c>
      <c r="S22" s="282">
        <f>SUM(Summary!C11:C19)-R22</f>
        <v>0</v>
      </c>
    </row>
    <row r="24" spans="1:19" x14ac:dyDescent="0.35">
      <c r="B24" s="102" t="s">
        <v>6</v>
      </c>
      <c r="C24" t="s">
        <v>309</v>
      </c>
      <c r="K24" t="s">
        <v>357</v>
      </c>
      <c r="R24" s="281">
        <f>Summary!C15</f>
        <v>1748770.265659824</v>
      </c>
    </row>
    <row r="25" spans="1:19" x14ac:dyDescent="0.35">
      <c r="R25" s="281"/>
    </row>
    <row r="26" spans="1:19" x14ac:dyDescent="0.35">
      <c r="B26" s="102" t="s">
        <v>7</v>
      </c>
      <c r="C26" t="s">
        <v>310</v>
      </c>
      <c r="R26" s="281"/>
    </row>
    <row r="27" spans="1:19" x14ac:dyDescent="0.35">
      <c r="R27" s="281"/>
    </row>
    <row r="28" spans="1:19" x14ac:dyDescent="0.35">
      <c r="C28" s="102" t="s">
        <v>175</v>
      </c>
      <c r="D28" t="s">
        <v>311</v>
      </c>
      <c r="K28" s="71" t="s">
        <v>358</v>
      </c>
      <c r="R28" s="281">
        <f>'CY True-Up'!F10-'PY True-up '!F10</f>
        <v>-2148121.1896453649</v>
      </c>
    </row>
    <row r="29" spans="1:19" s="182" customFormat="1" x14ac:dyDescent="0.35">
      <c r="C29" s="102"/>
      <c r="K29" s="71" t="s">
        <v>359</v>
      </c>
      <c r="R29" s="281"/>
    </row>
    <row r="30" spans="1:19" x14ac:dyDescent="0.35">
      <c r="R30" s="281"/>
    </row>
    <row r="31" spans="1:19" x14ac:dyDescent="0.35">
      <c r="C31" s="102" t="s">
        <v>276</v>
      </c>
      <c r="D31" t="s">
        <v>312</v>
      </c>
      <c r="K31" s="71" t="s">
        <v>360</v>
      </c>
      <c r="R31" s="281">
        <f>'CY True-Up'!F23-'PY True-up '!F23</f>
        <v>-900669.59431149438</v>
      </c>
    </row>
    <row r="32" spans="1:19" s="182" customFormat="1" x14ac:dyDescent="0.35">
      <c r="C32" s="102"/>
      <c r="K32" s="71" t="s">
        <v>361</v>
      </c>
      <c r="R32" s="281"/>
    </row>
    <row r="33" spans="1:18" x14ac:dyDescent="0.35">
      <c r="R33" s="281"/>
    </row>
    <row r="34" spans="1:18" x14ac:dyDescent="0.35">
      <c r="C34" s="102" t="s">
        <v>279</v>
      </c>
      <c r="D34" t="s">
        <v>313</v>
      </c>
      <c r="K34" s="71" t="s">
        <v>362</v>
      </c>
      <c r="R34" s="281">
        <f>Summary!C19</f>
        <v>-4155942.4574952498</v>
      </c>
    </row>
    <row r="35" spans="1:18" x14ac:dyDescent="0.35">
      <c r="R35" s="281"/>
    </row>
    <row r="36" spans="1:18" x14ac:dyDescent="0.35">
      <c r="A36" s="284" t="s">
        <v>285</v>
      </c>
      <c r="B36" s="284"/>
      <c r="C36" s="284"/>
      <c r="D36" s="284"/>
      <c r="E36" s="284"/>
      <c r="F36" s="284"/>
      <c r="G36" s="284"/>
      <c r="H36" s="284"/>
      <c r="I36" s="284"/>
      <c r="J36" s="182"/>
      <c r="K36" s="182"/>
      <c r="L36" s="182"/>
      <c r="R36" s="281"/>
    </row>
    <row r="37" spans="1:18" x14ac:dyDescent="0.35">
      <c r="A37" s="285" t="s">
        <v>286</v>
      </c>
      <c r="B37" s="285"/>
      <c r="C37" s="285"/>
      <c r="D37" s="285"/>
      <c r="E37" s="285"/>
      <c r="F37" s="285"/>
      <c r="G37" s="285"/>
      <c r="H37" s="285"/>
      <c r="I37" s="285"/>
      <c r="J37" s="182"/>
      <c r="K37" s="182"/>
      <c r="L37" s="182"/>
    </row>
    <row r="38" spans="1:18" x14ac:dyDescent="0.35">
      <c r="A38" s="286" t="s">
        <v>287</v>
      </c>
      <c r="B38" s="286"/>
      <c r="C38" s="286"/>
      <c r="D38" s="286"/>
      <c r="E38" s="286"/>
      <c r="F38" s="286"/>
      <c r="G38" s="286"/>
      <c r="H38" s="286"/>
      <c r="I38" s="286"/>
      <c r="J38" s="182"/>
      <c r="K38" s="182"/>
      <c r="L38" s="182"/>
    </row>
  </sheetData>
  <pageMargins left="0.7" right="0.7" top="0.75" bottom="0.75" header="0.3" footer="0.3"/>
  <pageSetup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9694"/>
  </sheetPr>
  <dimension ref="A1:P96"/>
  <sheetViews>
    <sheetView zoomScaleNormal="100" workbookViewId="0">
      <pane xSplit="1" ySplit="4" topLeftCell="H86" activePane="bottomRight" state="frozen"/>
      <selection pane="topRight" activeCell="B1" sqref="B1"/>
      <selection pane="bottomLeft" activeCell="A5" sqref="A5"/>
      <selection pane="bottomRight" activeCell="P90" sqref="P90"/>
    </sheetView>
  </sheetViews>
  <sheetFormatPr defaultColWidth="9.1796875" defaultRowHeight="12.5" x14ac:dyDescent="0.25"/>
  <cols>
    <col min="1" max="1" width="4.81640625" style="295" customWidth="1"/>
    <col min="2" max="2" width="12.54296875" style="296" customWidth="1"/>
    <col min="3" max="3" width="6.453125" style="295" customWidth="1"/>
    <col min="4" max="4" width="6.1796875" style="295" customWidth="1"/>
    <col min="5" max="5" width="35" style="295" customWidth="1"/>
    <col min="6" max="6" width="16.453125" style="295" customWidth="1"/>
    <col min="7" max="7" width="18.54296875" style="295" customWidth="1"/>
    <col min="8" max="8" width="19.1796875" style="295" customWidth="1"/>
    <col min="9" max="9" width="16.81640625" style="295" customWidth="1"/>
    <col min="10" max="10" width="19.54296875" style="295" customWidth="1"/>
    <col min="11" max="12" width="9.1796875" style="295"/>
    <col min="13" max="13" width="11.81640625" style="295" customWidth="1"/>
    <col min="14" max="14" width="13.54296875" style="295" bestFit="1" customWidth="1"/>
    <col min="15" max="15" width="11.453125" style="295" bestFit="1" customWidth="1"/>
    <col min="16" max="16" width="14.26953125" style="295" bestFit="1" customWidth="1"/>
    <col min="17" max="16384" width="9.1796875" style="295"/>
  </cols>
  <sheetData>
    <row r="1" spans="1:11" s="528" customFormat="1" ht="33.65" customHeight="1" x14ac:dyDescent="0.35">
      <c r="B1" s="529"/>
      <c r="F1" s="905" t="s">
        <v>369</v>
      </c>
      <c r="G1" s="905"/>
      <c r="H1" s="905"/>
      <c r="I1" s="654"/>
      <c r="J1" s="900" t="s">
        <v>392</v>
      </c>
      <c r="K1" s="901"/>
    </row>
    <row r="2" spans="1:11" ht="42" customHeight="1" thickBot="1" x14ac:dyDescent="0.4">
      <c r="D2" s="527"/>
      <c r="E2" s="526" t="s">
        <v>228</v>
      </c>
      <c r="H2" s="525"/>
      <c r="I2" s="655"/>
      <c r="J2" s="902"/>
      <c r="K2" s="903"/>
    </row>
    <row r="3" spans="1:11" ht="17.25" customHeight="1" thickBot="1" x14ac:dyDescent="0.4">
      <c r="B3" s="524"/>
      <c r="C3" s="897">
        <v>44599</v>
      </c>
      <c r="D3" s="897"/>
      <c r="E3" s="897"/>
      <c r="F3" s="523"/>
      <c r="G3" s="522"/>
      <c r="H3" s="521"/>
      <c r="I3" s="520"/>
      <c r="J3" s="520"/>
    </row>
    <row r="4" spans="1:11" ht="61" x14ac:dyDescent="0.35">
      <c r="A4" s="325"/>
      <c r="B4" s="517" t="s">
        <v>163</v>
      </c>
      <c r="C4" s="519" t="s">
        <v>164</v>
      </c>
      <c r="D4" s="518"/>
      <c r="E4" s="517"/>
      <c r="F4" s="516" t="s">
        <v>165</v>
      </c>
      <c r="G4" s="516" t="s">
        <v>166</v>
      </c>
      <c r="H4" s="516" t="s">
        <v>167</v>
      </c>
      <c r="I4" s="516" t="s">
        <v>211</v>
      </c>
      <c r="J4" s="515" t="s">
        <v>229</v>
      </c>
    </row>
    <row r="5" spans="1:11" ht="16" thickBot="1" x14ac:dyDescent="0.3">
      <c r="A5" s="325"/>
      <c r="B5" s="514"/>
      <c r="C5" s="513" t="s">
        <v>230</v>
      </c>
      <c r="D5" s="512"/>
      <c r="E5" s="512"/>
      <c r="F5" s="511"/>
      <c r="G5" s="511"/>
      <c r="H5" s="511"/>
      <c r="I5" s="511"/>
      <c r="J5" s="510"/>
    </row>
    <row r="6" spans="1:11" ht="15.5" x14ac:dyDescent="0.35">
      <c r="A6" s="325"/>
      <c r="B6" s="509"/>
      <c r="C6" s="508" t="s">
        <v>168</v>
      </c>
      <c r="D6" s="508"/>
      <c r="E6" s="508"/>
      <c r="F6" s="506"/>
      <c r="G6" s="507"/>
      <c r="H6" s="506"/>
      <c r="I6" s="506"/>
      <c r="J6" s="505"/>
    </row>
    <row r="7" spans="1:11" ht="14.5" x14ac:dyDescent="0.35">
      <c r="A7" s="325"/>
      <c r="B7" s="384">
        <v>201</v>
      </c>
      <c r="C7" s="504" t="s">
        <v>169</v>
      </c>
      <c r="D7" s="481"/>
      <c r="E7" s="480"/>
      <c r="F7" s="490">
        <v>1977.441</v>
      </c>
      <c r="G7" s="491">
        <v>6108195.965499999</v>
      </c>
      <c r="H7" s="490">
        <v>20743.53</v>
      </c>
      <c r="I7" s="656">
        <v>1016785.9315000001</v>
      </c>
      <c r="J7" s="616">
        <f>G7+I7</f>
        <v>7124981.8969999989</v>
      </c>
    </row>
    <row r="8" spans="1:11" ht="14.5" x14ac:dyDescent="0.35">
      <c r="A8" s="325"/>
      <c r="B8" s="375">
        <v>214</v>
      </c>
      <c r="C8" s="426" t="s">
        <v>231</v>
      </c>
      <c r="D8" s="425"/>
      <c r="E8" s="418"/>
      <c r="F8" s="503">
        <f>SUM(F9:F18)</f>
        <v>79769.058974999993</v>
      </c>
      <c r="G8" s="634">
        <f t="shared" ref="G8:J8" si="0">SUM(G9:G18)</f>
        <v>21566039.879999999</v>
      </c>
      <c r="H8" s="470">
        <f t="shared" si="0"/>
        <v>4078096.074</v>
      </c>
      <c r="I8" s="634">
        <f>SUM(I9:I18)</f>
        <v>10749947.105</v>
      </c>
      <c r="J8" s="616">
        <f t="shared" si="0"/>
        <v>32315986.984999999</v>
      </c>
    </row>
    <row r="9" spans="1:11" s="493" customFormat="1" ht="13" x14ac:dyDescent="0.3">
      <c r="A9" s="502"/>
      <c r="B9" s="501"/>
      <c r="C9" s="500"/>
      <c r="D9" s="499" t="s">
        <v>170</v>
      </c>
      <c r="E9" s="498"/>
      <c r="F9" s="497">
        <v>1072.9521999999999</v>
      </c>
      <c r="G9" s="495">
        <v>1136128.75</v>
      </c>
      <c r="H9" s="496"/>
      <c r="I9" s="495"/>
      <c r="J9" s="616">
        <f t="shared" ref="J9:J22" si="1">G9+I9</f>
        <v>1136128.75</v>
      </c>
      <c r="K9" s="494"/>
    </row>
    <row r="10" spans="1:11" s="493" customFormat="1" ht="13" x14ac:dyDescent="0.3">
      <c r="A10" s="502"/>
      <c r="B10" s="501"/>
      <c r="C10" s="500"/>
      <c r="D10" s="499" t="s">
        <v>171</v>
      </c>
      <c r="E10" s="498"/>
      <c r="F10" s="497">
        <v>8258.67</v>
      </c>
      <c r="G10" s="495">
        <v>4375041.3499999996</v>
      </c>
      <c r="H10" s="496">
        <v>686972</v>
      </c>
      <c r="I10" s="495">
        <v>4864474.5</v>
      </c>
      <c r="J10" s="616">
        <f t="shared" si="1"/>
        <v>9239515.8499999996</v>
      </c>
      <c r="K10" s="494"/>
    </row>
    <row r="11" spans="1:11" s="493" customFormat="1" ht="13" x14ac:dyDescent="0.3">
      <c r="A11" s="502"/>
      <c r="B11" s="501"/>
      <c r="C11" s="500"/>
      <c r="D11" s="499" t="s">
        <v>172</v>
      </c>
      <c r="E11" s="498"/>
      <c r="F11" s="497">
        <v>1444.6954499999999</v>
      </c>
      <c r="G11" s="495">
        <v>1119848.75</v>
      </c>
      <c r="H11" s="496">
        <v>65469.899999999994</v>
      </c>
      <c r="I11" s="495">
        <v>476634.4</v>
      </c>
      <c r="J11" s="616">
        <f t="shared" si="1"/>
        <v>1596483.15</v>
      </c>
      <c r="K11" s="494"/>
    </row>
    <row r="12" spans="1:11" s="493" customFormat="1" ht="13" x14ac:dyDescent="0.3">
      <c r="A12" s="502"/>
      <c r="B12" s="501"/>
      <c r="C12" s="500"/>
      <c r="D12" s="499" t="s">
        <v>173</v>
      </c>
      <c r="E12" s="498"/>
      <c r="F12" s="497">
        <v>0</v>
      </c>
      <c r="G12" s="495">
        <v>0</v>
      </c>
      <c r="H12" s="496"/>
      <c r="I12" s="495"/>
      <c r="J12" s="616">
        <f t="shared" si="1"/>
        <v>0</v>
      </c>
      <c r="K12" s="494"/>
    </row>
    <row r="13" spans="1:11" s="493" customFormat="1" ht="13" x14ac:dyDescent="0.3">
      <c r="A13" s="502"/>
      <c r="B13" s="501"/>
      <c r="C13" s="500"/>
      <c r="D13" s="499" t="s">
        <v>174</v>
      </c>
      <c r="E13" s="498"/>
      <c r="F13" s="497">
        <v>639.32799999999997</v>
      </c>
      <c r="G13" s="495">
        <v>711824.85</v>
      </c>
      <c r="H13" s="496">
        <v>6233.4000000000005</v>
      </c>
      <c r="I13" s="495">
        <v>0</v>
      </c>
      <c r="J13" s="616">
        <f t="shared" si="1"/>
        <v>711824.85</v>
      </c>
      <c r="K13" s="494"/>
    </row>
    <row r="14" spans="1:11" s="493" customFormat="1" ht="13" x14ac:dyDescent="0.3">
      <c r="A14" s="502"/>
      <c r="B14" s="501"/>
      <c r="C14" s="500"/>
      <c r="D14" s="499" t="s">
        <v>315</v>
      </c>
      <c r="E14" s="498"/>
      <c r="F14" s="497">
        <v>1235.452</v>
      </c>
      <c r="G14" s="495">
        <v>900197</v>
      </c>
      <c r="H14" s="496">
        <v>330000</v>
      </c>
      <c r="I14" s="495">
        <v>1785756.25</v>
      </c>
      <c r="J14" s="616">
        <f t="shared" si="1"/>
        <v>2685953.25</v>
      </c>
      <c r="K14" s="494"/>
    </row>
    <row r="15" spans="1:11" s="493" customFormat="1" ht="13" x14ac:dyDescent="0.3">
      <c r="A15" s="502"/>
      <c r="B15" s="501"/>
      <c r="C15" s="500"/>
      <c r="D15" s="499" t="s">
        <v>370</v>
      </c>
      <c r="E15" s="498"/>
      <c r="F15" s="497">
        <v>9.4799999999999995E-2</v>
      </c>
      <c r="G15" s="495">
        <v>5108.3500000000004</v>
      </c>
      <c r="H15" s="496">
        <v>5.2</v>
      </c>
      <c r="I15" s="495">
        <v>4069.2749999999996</v>
      </c>
      <c r="J15" s="616">
        <f t="shared" si="1"/>
        <v>9177.625</v>
      </c>
      <c r="K15" s="494"/>
    </row>
    <row r="16" spans="1:11" s="493" customFormat="1" ht="13" x14ac:dyDescent="0.3">
      <c r="A16" s="502"/>
      <c r="B16" s="501"/>
      <c r="C16" s="500"/>
      <c r="D16" s="499" t="s">
        <v>177</v>
      </c>
      <c r="E16" s="498"/>
      <c r="F16" s="497">
        <v>1217.1305249999994</v>
      </c>
      <c r="G16" s="495">
        <v>1099944.5</v>
      </c>
      <c r="H16" s="496">
        <v>244915.57399999999</v>
      </c>
      <c r="I16" s="495">
        <v>2392793.7999999998</v>
      </c>
      <c r="J16" s="616">
        <f t="shared" si="1"/>
        <v>3492738.3</v>
      </c>
      <c r="K16" s="494"/>
    </row>
    <row r="17" spans="1:11" s="493" customFormat="1" ht="13" x14ac:dyDescent="0.3">
      <c r="A17" s="502"/>
      <c r="B17" s="501"/>
      <c r="C17" s="500"/>
      <c r="D17" s="499" t="s">
        <v>178</v>
      </c>
      <c r="E17" s="498"/>
      <c r="F17" s="497">
        <v>49484</v>
      </c>
      <c r="G17" s="495">
        <v>1574532.68</v>
      </c>
      <c r="H17" s="496">
        <v>2744500</v>
      </c>
      <c r="I17" s="495">
        <v>1226218.8799999999</v>
      </c>
      <c r="J17" s="616">
        <f t="shared" si="1"/>
        <v>2800751.5599999996</v>
      </c>
      <c r="K17" s="494"/>
    </row>
    <row r="18" spans="1:11" s="493" customFormat="1" ht="13" x14ac:dyDescent="0.3">
      <c r="A18" s="502"/>
      <c r="B18" s="501"/>
      <c r="C18" s="500"/>
      <c r="D18" s="499" t="s">
        <v>371</v>
      </c>
      <c r="E18" s="498"/>
      <c r="F18" s="497">
        <v>16416.736000000001</v>
      </c>
      <c r="G18" s="495">
        <v>10643413.65</v>
      </c>
      <c r="H18" s="496">
        <v>0</v>
      </c>
      <c r="I18" s="495">
        <v>0</v>
      </c>
      <c r="J18" s="616">
        <f t="shared" si="1"/>
        <v>10643413.65</v>
      </c>
      <c r="K18" s="494"/>
    </row>
    <row r="19" spans="1:11" ht="14.5" x14ac:dyDescent="0.35">
      <c r="A19" s="325"/>
      <c r="B19" s="375">
        <v>215</v>
      </c>
      <c r="C19" s="492" t="s">
        <v>232</v>
      </c>
      <c r="D19" s="481"/>
      <c r="E19" s="480"/>
      <c r="F19" s="490">
        <v>255.13800000000001</v>
      </c>
      <c r="G19" s="491">
        <v>356340.2</v>
      </c>
      <c r="H19" s="490">
        <v>2095.9</v>
      </c>
      <c r="I19" s="634">
        <v>46361.9</v>
      </c>
      <c r="J19" s="616">
        <f t="shared" si="1"/>
        <v>402702.10000000003</v>
      </c>
    </row>
    <row r="20" spans="1:11" ht="14.5" x14ac:dyDescent="0.35">
      <c r="A20" s="325"/>
      <c r="B20" s="375" t="s">
        <v>316</v>
      </c>
      <c r="C20" s="492" t="s">
        <v>317</v>
      </c>
      <c r="D20" s="481"/>
      <c r="E20" s="480"/>
      <c r="F20" s="490">
        <v>0</v>
      </c>
      <c r="G20" s="491">
        <v>88697.15</v>
      </c>
      <c r="H20" s="490">
        <v>0</v>
      </c>
      <c r="I20" s="634">
        <v>42471.925000000003</v>
      </c>
      <c r="J20" s="616">
        <f t="shared" si="1"/>
        <v>131169.07500000001</v>
      </c>
    </row>
    <row r="21" spans="1:11" ht="14.5" x14ac:dyDescent="0.35">
      <c r="A21" s="325"/>
      <c r="B21" s="375">
        <v>217</v>
      </c>
      <c r="C21" s="426" t="s">
        <v>233</v>
      </c>
      <c r="D21" s="442"/>
      <c r="E21" s="441"/>
      <c r="F21" s="470">
        <v>9069.977200000003</v>
      </c>
      <c r="G21" s="657">
        <v>7703559.9049999993</v>
      </c>
      <c r="H21" s="470">
        <v>37352.379999999997</v>
      </c>
      <c r="I21" s="634">
        <v>372476.78200000001</v>
      </c>
      <c r="J21" s="616">
        <f t="shared" si="1"/>
        <v>8076036.686999999</v>
      </c>
    </row>
    <row r="22" spans="1:11" ht="14.5" x14ac:dyDescent="0.35">
      <c r="A22" s="325"/>
      <c r="B22" s="489">
        <v>218</v>
      </c>
      <c r="C22" s="488" t="s">
        <v>234</v>
      </c>
      <c r="D22" s="487"/>
      <c r="E22" s="487"/>
      <c r="F22" s="658">
        <v>4500</v>
      </c>
      <c r="G22" s="659">
        <v>2067455.425</v>
      </c>
      <c r="H22" s="486">
        <v>50000</v>
      </c>
      <c r="I22" s="660">
        <v>354366.05</v>
      </c>
      <c r="J22" s="616">
        <f t="shared" si="1"/>
        <v>2421821.4750000001</v>
      </c>
    </row>
    <row r="23" spans="1:11" ht="13" x14ac:dyDescent="0.3">
      <c r="A23" s="325"/>
      <c r="B23" s="331"/>
      <c r="C23" s="362" t="s">
        <v>179</v>
      </c>
      <c r="D23" s="362"/>
      <c r="E23" s="362"/>
      <c r="F23" s="465">
        <f>F7+F8+SUM(F19:F22)</f>
        <v>95571.615174999999</v>
      </c>
      <c r="G23" s="464">
        <f>G7+G8+SUM(G19:G22)</f>
        <v>37890288.5255</v>
      </c>
      <c r="H23" s="432">
        <f>H7+H8+SUM(H19:H22)</f>
        <v>4188287.8839999996</v>
      </c>
      <c r="I23" s="464">
        <f>I7+I8+SUM(I19:I22)</f>
        <v>12582409.693500001</v>
      </c>
      <c r="J23" s="620">
        <f>J7+J8+SUM(J19:J22)</f>
        <v>50472698.218999997</v>
      </c>
    </row>
    <row r="24" spans="1:11" ht="13" x14ac:dyDescent="0.3">
      <c r="A24" s="325"/>
      <c r="B24" s="323"/>
      <c r="C24" s="455"/>
      <c r="D24" s="319"/>
      <c r="E24" s="319"/>
      <c r="F24" s="661"/>
      <c r="G24" s="453"/>
      <c r="H24" s="454"/>
      <c r="I24" s="453"/>
      <c r="J24" s="452"/>
    </row>
    <row r="25" spans="1:11" ht="15.5" x14ac:dyDescent="0.35">
      <c r="A25" s="325"/>
      <c r="B25" s="485"/>
      <c r="C25" s="484" t="s">
        <v>180</v>
      </c>
      <c r="D25" s="484"/>
      <c r="E25" s="484"/>
      <c r="F25" s="483"/>
      <c r="G25" s="483"/>
      <c r="H25" s="483"/>
      <c r="I25" s="483"/>
      <c r="J25" s="482"/>
    </row>
    <row r="26" spans="1:11" x14ac:dyDescent="0.25">
      <c r="A26" s="325"/>
      <c r="B26" s="384">
        <v>250</v>
      </c>
      <c r="C26" s="481" t="s">
        <v>181</v>
      </c>
      <c r="D26" s="481"/>
      <c r="E26" s="480"/>
      <c r="F26" s="474">
        <v>73469.198999999993</v>
      </c>
      <c r="G26" s="632">
        <v>25839078.888</v>
      </c>
      <c r="H26" s="474">
        <v>603268</v>
      </c>
      <c r="I26" s="632">
        <v>2492178.65</v>
      </c>
      <c r="J26" s="621">
        <f>G26+I26</f>
        <v>28331257.537999999</v>
      </c>
    </row>
    <row r="27" spans="1:11" x14ac:dyDescent="0.25">
      <c r="A27" s="325"/>
      <c r="B27" s="375">
        <v>251</v>
      </c>
      <c r="C27" s="442" t="s">
        <v>182</v>
      </c>
      <c r="D27" s="442"/>
      <c r="E27" s="441"/>
      <c r="F27" s="479">
        <v>29500</v>
      </c>
      <c r="G27" s="633">
        <v>8817266</v>
      </c>
      <c r="H27" s="479">
        <v>90000</v>
      </c>
      <c r="I27" s="633">
        <v>723114.00000000012</v>
      </c>
      <c r="J27" s="662">
        <f>G27+I27</f>
        <v>9540380</v>
      </c>
    </row>
    <row r="28" spans="1:11" x14ac:dyDescent="0.25">
      <c r="A28" s="325"/>
      <c r="B28" s="375">
        <v>253</v>
      </c>
      <c r="C28" s="442" t="s">
        <v>235</v>
      </c>
      <c r="D28" s="442"/>
      <c r="E28" s="441"/>
      <c r="F28" s="479">
        <v>16000</v>
      </c>
      <c r="G28" s="633">
        <v>2378739.25</v>
      </c>
      <c r="H28" s="479">
        <v>571500</v>
      </c>
      <c r="I28" s="633">
        <v>735866.75</v>
      </c>
      <c r="J28" s="662">
        <f t="shared" ref="J28:J33" si="2">G28+I28</f>
        <v>3114606</v>
      </c>
    </row>
    <row r="29" spans="1:11" ht="14.5" x14ac:dyDescent="0.35">
      <c r="A29" s="325"/>
      <c r="B29" s="375" t="s">
        <v>153</v>
      </c>
      <c r="C29" s="442" t="s">
        <v>236</v>
      </c>
      <c r="D29" s="442"/>
      <c r="E29" s="441"/>
      <c r="F29" s="479">
        <f>F30+F31</f>
        <v>18176.194</v>
      </c>
      <c r="G29" s="633">
        <f>G30+G31</f>
        <v>7892879.4833346596</v>
      </c>
      <c r="H29" s="479"/>
      <c r="I29" s="634"/>
      <c r="J29" s="662">
        <f>G29+I29</f>
        <v>7892879.4833346596</v>
      </c>
    </row>
    <row r="30" spans="1:11" s="667" customFormat="1" ht="13" x14ac:dyDescent="0.3">
      <c r="A30" s="663"/>
      <c r="B30" s="664" t="s">
        <v>153</v>
      </c>
      <c r="C30" s="665"/>
      <c r="D30" s="666" t="s">
        <v>237</v>
      </c>
      <c r="F30" s="668">
        <v>7917.9210000000003</v>
      </c>
      <c r="G30" s="669">
        <v>3607677.6983370464</v>
      </c>
      <c r="H30" s="670"/>
      <c r="I30" s="671"/>
      <c r="J30" s="672">
        <f t="shared" si="2"/>
        <v>3607677.6983370464</v>
      </c>
    </row>
    <row r="31" spans="1:11" ht="13" x14ac:dyDescent="0.3">
      <c r="A31" s="325"/>
      <c r="B31" s="477" t="s">
        <v>153</v>
      </c>
      <c r="C31" s="442"/>
      <c r="D31" s="476" t="s">
        <v>238</v>
      </c>
      <c r="E31" s="441"/>
      <c r="F31" s="475">
        <v>10258.272999999999</v>
      </c>
      <c r="G31" s="635">
        <v>4285201.7849976132</v>
      </c>
      <c r="H31" s="474"/>
      <c r="I31" s="632"/>
      <c r="J31" s="662">
        <f t="shared" si="2"/>
        <v>4285201.7849976132</v>
      </c>
    </row>
    <row r="32" spans="1:11" ht="14.5" x14ac:dyDescent="0.35">
      <c r="A32" s="325"/>
      <c r="B32" s="473" t="s">
        <v>183</v>
      </c>
      <c r="C32" s="472" t="s">
        <v>116</v>
      </c>
      <c r="D32" s="471"/>
      <c r="E32" s="441"/>
      <c r="F32" s="440">
        <v>0</v>
      </c>
      <c r="G32" s="376">
        <v>0</v>
      </c>
      <c r="H32" s="470">
        <v>0</v>
      </c>
      <c r="I32" s="376">
        <v>0</v>
      </c>
      <c r="J32" s="673">
        <f t="shared" si="2"/>
        <v>0</v>
      </c>
    </row>
    <row r="33" spans="1:11" x14ac:dyDescent="0.25">
      <c r="A33" s="325"/>
      <c r="B33" s="469">
        <v>262</v>
      </c>
      <c r="C33" s="468" t="s">
        <v>184</v>
      </c>
      <c r="D33" s="468"/>
      <c r="E33" s="467"/>
      <c r="F33" s="466">
        <v>44627.673400000007</v>
      </c>
      <c r="G33" s="636">
        <v>15993443.059999999</v>
      </c>
      <c r="H33" s="466">
        <v>832532</v>
      </c>
      <c r="I33" s="636">
        <v>3378810.5249999999</v>
      </c>
      <c r="J33" s="662">
        <f t="shared" si="2"/>
        <v>19372253.584999997</v>
      </c>
    </row>
    <row r="34" spans="1:11" ht="13" x14ac:dyDescent="0.3">
      <c r="A34" s="325"/>
      <c r="B34" s="331"/>
      <c r="C34" s="362" t="s">
        <v>185</v>
      </c>
      <c r="D34" s="362"/>
      <c r="E34" s="362"/>
      <c r="F34" s="465">
        <f>SUM(F26:F29)+SUM(F32:F33)</f>
        <v>181773.06639999998</v>
      </c>
      <c r="G34" s="464">
        <f>SUM(G26:G29)+SUM(G32:G33)</f>
        <v>60921406.681334659</v>
      </c>
      <c r="H34" s="465">
        <f>SUM(H26:H33)</f>
        <v>2097300</v>
      </c>
      <c r="I34" s="464">
        <f>SUM(I26:I33)</f>
        <v>7329969.9249999998</v>
      </c>
      <c r="J34" s="463">
        <f>G34+I34</f>
        <v>68251376.606334656</v>
      </c>
    </row>
    <row r="35" spans="1:11" ht="13" x14ac:dyDescent="0.3">
      <c r="A35" s="325"/>
      <c r="B35" s="323"/>
      <c r="C35" s="455"/>
      <c r="D35" s="319"/>
      <c r="E35" s="319"/>
      <c r="F35" s="661"/>
      <c r="G35" s="453"/>
      <c r="H35" s="454"/>
      <c r="I35" s="453"/>
      <c r="J35" s="452"/>
    </row>
    <row r="36" spans="1:11" ht="15.5" x14ac:dyDescent="0.35">
      <c r="A36" s="325"/>
      <c r="B36" s="462"/>
      <c r="C36" s="461" t="s">
        <v>239</v>
      </c>
      <c r="D36" s="461"/>
      <c r="E36" s="461"/>
      <c r="F36" s="460"/>
      <c r="G36" s="460"/>
      <c r="H36" s="460"/>
      <c r="I36" s="460"/>
      <c r="J36" s="459"/>
      <c r="K36" s="410"/>
    </row>
    <row r="37" spans="1:11" ht="14.5" x14ac:dyDescent="0.35">
      <c r="A37" s="325"/>
      <c r="B37" s="346">
        <v>249</v>
      </c>
      <c r="C37" s="345" t="s">
        <v>50</v>
      </c>
      <c r="D37" s="344"/>
      <c r="E37" s="343"/>
      <c r="F37" s="458">
        <v>862.5</v>
      </c>
      <c r="G37" s="637">
        <v>595608.25</v>
      </c>
      <c r="H37" s="445">
        <v>25125</v>
      </c>
      <c r="I37" s="341">
        <v>0</v>
      </c>
      <c r="J37" s="623">
        <f t="shared" ref="J37:J39" si="3">G37+I37</f>
        <v>595608.25</v>
      </c>
      <c r="K37" s="410"/>
    </row>
    <row r="38" spans="1:11" ht="14.5" x14ac:dyDescent="0.35">
      <c r="A38" s="325"/>
      <c r="B38" s="438">
        <v>249</v>
      </c>
      <c r="C38" s="457" t="s">
        <v>330</v>
      </c>
      <c r="D38" s="306"/>
      <c r="E38" s="306"/>
      <c r="F38" s="456">
        <v>1500</v>
      </c>
      <c r="G38" s="638">
        <v>324350.25</v>
      </c>
      <c r="H38" s="434">
        <v>7500</v>
      </c>
      <c r="I38" s="321">
        <v>1870.05</v>
      </c>
      <c r="J38" s="639">
        <f t="shared" si="3"/>
        <v>326220.3</v>
      </c>
      <c r="K38" s="410"/>
    </row>
    <row r="39" spans="1:11" ht="14.5" x14ac:dyDescent="0.35">
      <c r="A39" s="325"/>
      <c r="B39" s="331"/>
      <c r="C39" s="362" t="s">
        <v>186</v>
      </c>
      <c r="D39" s="362"/>
      <c r="E39" s="362"/>
      <c r="F39" s="432">
        <f>SUM(F37:F38)</f>
        <v>2362.5</v>
      </c>
      <c r="G39" s="392">
        <f>SUM(G37:G38)</f>
        <v>919958.5</v>
      </c>
      <c r="H39" s="432">
        <f>SUM(H37:H38)</f>
        <v>32625</v>
      </c>
      <c r="I39" s="392">
        <f>SUM(I37:I38)</f>
        <v>1870.05</v>
      </c>
      <c r="J39" s="620">
        <f t="shared" si="3"/>
        <v>921828.55</v>
      </c>
      <c r="K39" s="410"/>
    </row>
    <row r="40" spans="1:11" ht="14.5" x14ac:dyDescent="0.35">
      <c r="A40" s="325"/>
      <c r="B40" s="323"/>
      <c r="C40" s="455"/>
      <c r="D40" s="319"/>
      <c r="E40" s="319"/>
      <c r="F40" s="661"/>
      <c r="G40" s="453"/>
      <c r="H40" s="454"/>
      <c r="I40" s="453"/>
      <c r="J40" s="452"/>
      <c r="K40" s="410"/>
    </row>
    <row r="41" spans="1:11" ht="15.5" x14ac:dyDescent="0.35">
      <c r="A41" s="325"/>
      <c r="B41" s="451"/>
      <c r="C41" s="450" t="s">
        <v>187</v>
      </c>
      <c r="D41" s="450"/>
      <c r="E41" s="450"/>
      <c r="F41" s="449"/>
      <c r="G41" s="449"/>
      <c r="H41" s="449"/>
      <c r="I41" s="449"/>
      <c r="J41" s="448"/>
    </row>
    <row r="42" spans="1:11" ht="14" x14ac:dyDescent="0.4">
      <c r="A42" s="325"/>
      <c r="B42" s="346" t="s">
        <v>145</v>
      </c>
      <c r="C42" s="447" t="s">
        <v>240</v>
      </c>
      <c r="D42" s="447"/>
      <c r="E42" s="447"/>
      <c r="F42" s="446">
        <v>12964.8</v>
      </c>
      <c r="G42" s="637">
        <v>4916640</v>
      </c>
      <c r="H42" s="445"/>
      <c r="I42" s="444"/>
      <c r="J42" s="623">
        <f t="shared" ref="J42:J46" si="4">G42+I42</f>
        <v>4916640</v>
      </c>
    </row>
    <row r="43" spans="1:11" x14ac:dyDescent="0.25">
      <c r="A43" s="325"/>
      <c r="B43" s="375"/>
      <c r="C43" s="443" t="s">
        <v>212</v>
      </c>
      <c r="D43" s="442"/>
      <c r="E43" s="441"/>
      <c r="F43" s="440"/>
      <c r="G43" s="640"/>
      <c r="H43" s="440">
        <v>0</v>
      </c>
      <c r="I43" s="439">
        <v>1590236</v>
      </c>
      <c r="J43" s="662">
        <f t="shared" si="4"/>
        <v>1590236</v>
      </c>
    </row>
    <row r="44" spans="1:11" x14ac:dyDescent="0.25">
      <c r="A44" s="325"/>
      <c r="B44" s="375">
        <v>219</v>
      </c>
      <c r="C44" s="443" t="s">
        <v>318</v>
      </c>
      <c r="D44" s="442"/>
      <c r="E44" s="441"/>
      <c r="F44" s="440">
        <v>0</v>
      </c>
      <c r="G44" s="640">
        <v>616153.625</v>
      </c>
      <c r="H44" s="440">
        <v>0</v>
      </c>
      <c r="I44" s="439">
        <v>282280.125</v>
      </c>
      <c r="J44" s="662">
        <f t="shared" si="4"/>
        <v>898433.75</v>
      </c>
    </row>
    <row r="45" spans="1:11" ht="14" x14ac:dyDescent="0.4">
      <c r="A45" s="325"/>
      <c r="B45" s="438" t="s">
        <v>241</v>
      </c>
      <c r="C45" s="437" t="s">
        <v>188</v>
      </c>
      <c r="D45" s="436"/>
      <c r="E45" s="435"/>
      <c r="F45" s="434">
        <v>6000</v>
      </c>
      <c r="G45" s="321">
        <v>0</v>
      </c>
      <c r="H45" s="434"/>
      <c r="I45" s="433"/>
      <c r="J45" s="639">
        <f t="shared" si="4"/>
        <v>0</v>
      </c>
    </row>
    <row r="46" spans="1:11" ht="13" x14ac:dyDescent="0.3">
      <c r="A46" s="325"/>
      <c r="B46" s="331"/>
      <c r="C46" s="362" t="s">
        <v>189</v>
      </c>
      <c r="D46" s="362"/>
      <c r="E46" s="362"/>
      <c r="F46" s="432">
        <f>SUM(F42:F45)</f>
        <v>18964.8</v>
      </c>
      <c r="G46" s="326">
        <f>SUM(G42:G45)</f>
        <v>5532793.625</v>
      </c>
      <c r="H46" s="432">
        <f>SUM(H42:H45)</f>
        <v>0</v>
      </c>
      <c r="I46" s="326">
        <f>SUM(I42:I45)</f>
        <v>1872516.125</v>
      </c>
      <c r="J46" s="620">
        <f t="shared" si="4"/>
        <v>7405309.75</v>
      </c>
    </row>
    <row r="47" spans="1:11" ht="13" x14ac:dyDescent="0.3">
      <c r="A47" s="325"/>
      <c r="B47" s="323"/>
      <c r="C47" s="319"/>
      <c r="D47" s="319"/>
      <c r="E47" s="319"/>
      <c r="F47" s="661"/>
      <c r="G47" s="389"/>
      <c r="H47" s="390"/>
      <c r="I47" s="389"/>
      <c r="J47" s="431"/>
    </row>
    <row r="48" spans="1:11" ht="15.5" x14ac:dyDescent="0.35">
      <c r="A48" s="325"/>
      <c r="B48" s="430"/>
      <c r="C48" s="429" t="s">
        <v>190</v>
      </c>
      <c r="D48" s="429"/>
      <c r="E48" s="429"/>
      <c r="F48" s="428"/>
      <c r="G48" s="428"/>
      <c r="H48" s="428"/>
      <c r="I48" s="428"/>
      <c r="J48" s="427"/>
    </row>
    <row r="49" spans="1:11" s="402" customFormat="1" ht="14.5" x14ac:dyDescent="0.35">
      <c r="A49" s="407"/>
      <c r="B49" s="406"/>
      <c r="C49" s="401" t="s">
        <v>197</v>
      </c>
      <c r="E49" s="399"/>
      <c r="F49" s="404"/>
      <c r="G49" s="372">
        <v>982456.2</v>
      </c>
      <c r="H49" s="377"/>
      <c r="I49" s="372">
        <v>146803.79999999999</v>
      </c>
      <c r="J49" s="617">
        <f t="shared" ref="J49:J61" si="5">G49+I49</f>
        <v>1129260</v>
      </c>
      <c r="K49" s="403"/>
    </row>
    <row r="50" spans="1:11" s="409" customFormat="1" ht="14.5" x14ac:dyDescent="0.35">
      <c r="A50" s="413"/>
      <c r="B50" s="412"/>
      <c r="C50" s="401" t="s">
        <v>195</v>
      </c>
      <c r="D50" s="425"/>
      <c r="E50" s="424"/>
      <c r="F50" s="411"/>
      <c r="G50" s="376">
        <v>917965.39</v>
      </c>
      <c r="H50" s="377"/>
      <c r="I50" s="376">
        <v>138622.10999999999</v>
      </c>
      <c r="J50" s="617">
        <f t="shared" si="5"/>
        <v>1056587.5</v>
      </c>
      <c r="K50" s="410"/>
    </row>
    <row r="51" spans="1:11" ht="14.5" x14ac:dyDescent="0.35">
      <c r="A51" s="325"/>
      <c r="B51" s="370"/>
      <c r="C51" s="369" t="s">
        <v>206</v>
      </c>
      <c r="D51" s="426"/>
      <c r="E51" s="367"/>
      <c r="F51" s="373"/>
      <c r="G51" s="372">
        <v>611150.18999999994</v>
      </c>
      <c r="H51" s="371"/>
      <c r="I51" s="372">
        <v>91177.31</v>
      </c>
      <c r="J51" s="617">
        <f t="shared" si="5"/>
        <v>702327.5</v>
      </c>
    </row>
    <row r="52" spans="1:11" s="409" customFormat="1" ht="14.5" x14ac:dyDescent="0.35">
      <c r="A52" s="413"/>
      <c r="B52" s="412"/>
      <c r="C52" s="401" t="s">
        <v>196</v>
      </c>
      <c r="D52" s="425"/>
      <c r="E52" s="424"/>
      <c r="F52" s="411"/>
      <c r="G52" s="376">
        <v>764270.42249999999</v>
      </c>
      <c r="H52" s="377"/>
      <c r="I52" s="376">
        <v>24251.922500000001</v>
      </c>
      <c r="J52" s="617">
        <f t="shared" si="5"/>
        <v>788522.34499999997</v>
      </c>
      <c r="K52" s="410"/>
    </row>
    <row r="53" spans="1:11" s="409" customFormat="1" ht="14.5" x14ac:dyDescent="0.35">
      <c r="A53" s="413"/>
      <c r="B53" s="423"/>
      <c r="C53" s="396" t="s">
        <v>319</v>
      </c>
      <c r="D53" s="396"/>
      <c r="E53" s="422"/>
      <c r="F53" s="377"/>
      <c r="G53" s="376">
        <v>121800</v>
      </c>
      <c r="H53" s="377"/>
      <c r="I53" s="376">
        <v>18200</v>
      </c>
      <c r="J53" s="617">
        <f t="shared" si="5"/>
        <v>140000</v>
      </c>
      <c r="K53" s="410"/>
    </row>
    <row r="54" spans="1:11" s="409" customFormat="1" ht="14.5" x14ac:dyDescent="0.35">
      <c r="A54" s="413"/>
      <c r="B54" s="421"/>
      <c r="C54" s="420" t="s">
        <v>320</v>
      </c>
      <c r="D54" s="419"/>
      <c r="E54" s="418"/>
      <c r="F54" s="417"/>
      <c r="G54" s="416">
        <v>12290.585499999986</v>
      </c>
      <c r="H54" s="417"/>
      <c r="I54" s="416">
        <v>-19727.414500000014</v>
      </c>
      <c r="J54" s="617">
        <f t="shared" si="5"/>
        <v>-7436.829000000027</v>
      </c>
      <c r="K54" s="410"/>
    </row>
    <row r="55" spans="1:11" s="402" customFormat="1" ht="14.5" x14ac:dyDescent="0.35">
      <c r="A55" s="407"/>
      <c r="B55" s="406"/>
      <c r="C55" s="396" t="s">
        <v>194</v>
      </c>
      <c r="D55" s="415"/>
      <c r="E55" s="399"/>
      <c r="F55" s="404"/>
      <c r="G55" s="376">
        <v>3076304</v>
      </c>
      <c r="H55" s="376"/>
      <c r="I55" s="376">
        <v>769076</v>
      </c>
      <c r="J55" s="617">
        <f t="shared" si="5"/>
        <v>3845380</v>
      </c>
      <c r="K55" s="403"/>
    </row>
    <row r="56" spans="1:11" s="393" customFormat="1" ht="14.5" x14ac:dyDescent="0.35">
      <c r="A56" s="398"/>
      <c r="B56" s="397"/>
      <c r="C56" s="396" t="s">
        <v>191</v>
      </c>
      <c r="E56" s="414"/>
      <c r="F56" s="395"/>
      <c r="G56" s="376">
        <v>1312480.71</v>
      </c>
      <c r="H56" s="376"/>
      <c r="I56" s="376">
        <v>192290.28999999998</v>
      </c>
      <c r="J56" s="617">
        <f t="shared" si="5"/>
        <v>1504771</v>
      </c>
      <c r="K56" s="394"/>
    </row>
    <row r="57" spans="1:11" s="409" customFormat="1" ht="14.5" x14ac:dyDescent="0.35">
      <c r="A57" s="413"/>
      <c r="B57" s="412"/>
      <c r="C57" s="396" t="s">
        <v>198</v>
      </c>
      <c r="D57" s="396"/>
      <c r="E57" s="396"/>
      <c r="F57" s="411"/>
      <c r="G57" s="376">
        <v>1200990.1074000001</v>
      </c>
      <c r="H57" s="377"/>
      <c r="I57" s="376">
        <v>184155.26454</v>
      </c>
      <c r="J57" s="617">
        <f t="shared" si="5"/>
        <v>1385145.37194</v>
      </c>
      <c r="K57" s="410"/>
    </row>
    <row r="58" spans="1:11" s="402" customFormat="1" ht="14.5" x14ac:dyDescent="0.35">
      <c r="A58" s="407"/>
      <c r="B58" s="406"/>
      <c r="C58" s="396" t="s">
        <v>321</v>
      </c>
      <c r="D58" s="408"/>
      <c r="E58" s="405"/>
      <c r="F58" s="404"/>
      <c r="G58" s="376">
        <v>1726947.2850000001</v>
      </c>
      <c r="H58" s="376"/>
      <c r="I58" s="376">
        <v>564414.77500000002</v>
      </c>
      <c r="J58" s="617">
        <f t="shared" si="5"/>
        <v>2291362.06</v>
      </c>
      <c r="K58" s="403"/>
    </row>
    <row r="59" spans="1:11" s="402" customFormat="1" ht="14.5" x14ac:dyDescent="0.35">
      <c r="A59" s="407"/>
      <c r="B59" s="406"/>
      <c r="C59" s="396" t="s">
        <v>193</v>
      </c>
      <c r="E59" s="405"/>
      <c r="F59" s="404"/>
      <c r="G59" s="376">
        <v>1425046.8</v>
      </c>
      <c r="H59" s="376"/>
      <c r="I59" s="376">
        <v>211301.35</v>
      </c>
      <c r="J59" s="617">
        <f t="shared" si="5"/>
        <v>1636348.1500000001</v>
      </c>
      <c r="K59" s="403"/>
    </row>
    <row r="60" spans="1:11" s="393" customFormat="1" ht="14.5" x14ac:dyDescent="0.35">
      <c r="A60" s="398"/>
      <c r="B60" s="397"/>
      <c r="C60" s="401" t="s">
        <v>192</v>
      </c>
      <c r="D60" s="400"/>
      <c r="E60" s="399"/>
      <c r="F60" s="395"/>
      <c r="G60" s="376">
        <v>531567.44999999995</v>
      </c>
      <c r="H60" s="376"/>
      <c r="I60" s="376">
        <v>109889.3</v>
      </c>
      <c r="J60" s="617">
        <f t="shared" si="5"/>
        <v>641456.75</v>
      </c>
      <c r="K60" s="394"/>
    </row>
    <row r="61" spans="1:11" ht="13" x14ac:dyDescent="0.3">
      <c r="A61" s="325"/>
      <c r="B61" s="331"/>
      <c r="C61" s="362" t="s">
        <v>199</v>
      </c>
      <c r="D61" s="362"/>
      <c r="E61" s="362"/>
      <c r="F61" s="361"/>
      <c r="G61" s="392">
        <f>SUM(G49:G60)</f>
        <v>12683269.1404</v>
      </c>
      <c r="H61" s="327"/>
      <c r="I61" s="392">
        <f>SUM(I49:I60)</f>
        <v>2430454.7075399999</v>
      </c>
      <c r="J61" s="674">
        <f t="shared" si="5"/>
        <v>15113723.84794</v>
      </c>
    </row>
    <row r="62" spans="1:11" x14ac:dyDescent="0.25">
      <c r="A62" s="325"/>
      <c r="B62" s="323"/>
      <c r="C62" s="319"/>
      <c r="D62" s="391"/>
      <c r="E62" s="319"/>
      <c r="F62" s="390"/>
      <c r="G62" s="389"/>
      <c r="H62" s="390"/>
      <c r="I62" s="389"/>
      <c r="J62" s="360"/>
    </row>
    <row r="63" spans="1:11" ht="15.5" x14ac:dyDescent="0.35">
      <c r="A63" s="325"/>
      <c r="B63" s="388"/>
      <c r="C63" s="387" t="s">
        <v>200</v>
      </c>
      <c r="D63" s="387"/>
      <c r="E63" s="387"/>
      <c r="F63" s="386"/>
      <c r="G63" s="386"/>
      <c r="H63" s="386"/>
      <c r="I63" s="386"/>
      <c r="J63" s="385"/>
    </row>
    <row r="64" spans="1:11" x14ac:dyDescent="0.25">
      <c r="A64" s="325"/>
      <c r="B64" s="384"/>
      <c r="C64" s="383" t="s">
        <v>201</v>
      </c>
      <c r="D64" s="383"/>
      <c r="E64" s="383"/>
      <c r="F64" s="382"/>
      <c r="G64" s="380">
        <v>440442.35</v>
      </c>
      <c r="H64" s="381"/>
      <c r="I64" s="380">
        <v>65813.649999999994</v>
      </c>
      <c r="J64" s="621">
        <f t="shared" ref="J64:J69" si="6">G64+I64</f>
        <v>506256</v>
      </c>
    </row>
    <row r="65" spans="1:14" ht="14" x14ac:dyDescent="0.4">
      <c r="A65" s="325"/>
      <c r="B65" s="375"/>
      <c r="C65" s="374" t="s">
        <v>202</v>
      </c>
      <c r="D65" s="374"/>
      <c r="E65" s="374"/>
      <c r="F65" s="379"/>
      <c r="G65" s="376">
        <v>507927.75</v>
      </c>
      <c r="H65" s="377"/>
      <c r="I65" s="380">
        <v>75897.25</v>
      </c>
      <c r="J65" s="621">
        <f t="shared" si="6"/>
        <v>583825</v>
      </c>
    </row>
    <row r="66" spans="1:14" ht="14" x14ac:dyDescent="0.4">
      <c r="A66" s="325"/>
      <c r="B66" s="375"/>
      <c r="C66" s="374" t="s">
        <v>203</v>
      </c>
      <c r="D66" s="374"/>
      <c r="E66" s="374"/>
      <c r="F66" s="379"/>
      <c r="G66" s="378">
        <v>203933.22</v>
      </c>
      <c r="H66" s="377"/>
      <c r="I66" s="376">
        <v>30472.78</v>
      </c>
      <c r="J66" s="621">
        <f t="shared" si="6"/>
        <v>234406</v>
      </c>
    </row>
    <row r="67" spans="1:14" x14ac:dyDescent="0.25">
      <c r="A67" s="325"/>
      <c r="B67" s="375"/>
      <c r="C67" s="374" t="s">
        <v>204</v>
      </c>
      <c r="D67" s="374"/>
      <c r="E67" s="374"/>
      <c r="F67" s="373"/>
      <c r="G67" s="372">
        <v>1635802.7</v>
      </c>
      <c r="H67" s="371"/>
      <c r="I67" s="363">
        <v>355139.3</v>
      </c>
      <c r="J67" s="621">
        <f t="shared" si="6"/>
        <v>1990942</v>
      </c>
    </row>
    <row r="68" spans="1:14" x14ac:dyDescent="0.25">
      <c r="A68" s="325"/>
      <c r="B68" s="370"/>
      <c r="C68" s="369" t="s">
        <v>205</v>
      </c>
      <c r="D68" s="368"/>
      <c r="E68" s="367"/>
      <c r="F68" s="366"/>
      <c r="G68" s="365">
        <v>150000</v>
      </c>
      <c r="H68" s="364"/>
      <c r="I68" s="363"/>
      <c r="J68" s="621">
        <f t="shared" si="6"/>
        <v>150000</v>
      </c>
    </row>
    <row r="69" spans="1:14" ht="13" x14ac:dyDescent="0.3">
      <c r="A69" s="325"/>
      <c r="B69" s="331"/>
      <c r="C69" s="362" t="s">
        <v>207</v>
      </c>
      <c r="D69" s="362"/>
      <c r="E69" s="362"/>
      <c r="F69" s="361"/>
      <c r="G69" s="326">
        <f>SUM(G64:G68)</f>
        <v>2938106.02</v>
      </c>
      <c r="H69" s="327"/>
      <c r="I69" s="326">
        <f>SUM(I64:I68)</f>
        <v>527322.98</v>
      </c>
      <c r="J69" s="622">
        <f t="shared" si="6"/>
        <v>3465429</v>
      </c>
    </row>
    <row r="70" spans="1:14" x14ac:dyDescent="0.25">
      <c r="A70" s="325"/>
      <c r="B70" s="354"/>
      <c r="C70" s="306"/>
      <c r="D70" s="306"/>
      <c r="E70" s="306"/>
      <c r="F70" s="322"/>
      <c r="G70" s="321"/>
      <c r="H70" s="322"/>
      <c r="I70" s="321"/>
      <c r="J70" s="360"/>
    </row>
    <row r="71" spans="1:14" ht="14" x14ac:dyDescent="0.3">
      <c r="A71" s="325"/>
      <c r="B71" s="359" t="s">
        <v>242</v>
      </c>
      <c r="C71" s="359"/>
      <c r="D71" s="358"/>
      <c r="E71" s="358"/>
      <c r="F71" s="357">
        <f>F23+F34+F39+F46</f>
        <v>298671.98157499998</v>
      </c>
      <c r="G71" s="356">
        <f>G23+G34+G39+G46+G61+G69</f>
        <v>120885822.49223466</v>
      </c>
      <c r="H71" s="357">
        <f>H23+H34+H39+H46</f>
        <v>6318212.8839999996</v>
      </c>
      <c r="I71" s="356">
        <f>I23+I34+I39+I46+I61+I69</f>
        <v>24744543.481040005</v>
      </c>
      <c r="J71" s="355">
        <f>G71+I71</f>
        <v>145630365.97327468</v>
      </c>
    </row>
    <row r="72" spans="1:14" ht="13" x14ac:dyDescent="0.3">
      <c r="A72" s="325"/>
      <c r="B72" s="354"/>
      <c r="C72" s="306"/>
      <c r="D72" s="306"/>
      <c r="E72" s="306"/>
      <c r="F72" s="353"/>
      <c r="G72" s="321"/>
      <c r="H72" s="322"/>
      <c r="I72" s="321"/>
      <c r="J72" s="352"/>
    </row>
    <row r="73" spans="1:14" ht="15.5" x14ac:dyDescent="0.35">
      <c r="A73" s="325"/>
      <c r="B73" s="351"/>
      <c r="C73" s="350" t="s">
        <v>329</v>
      </c>
      <c r="D73" s="349"/>
      <c r="E73" s="349"/>
      <c r="F73" s="348"/>
      <c r="G73" s="348"/>
      <c r="H73" s="348"/>
      <c r="I73" s="348"/>
      <c r="J73" s="347"/>
    </row>
    <row r="74" spans="1:14" x14ac:dyDescent="0.25">
      <c r="A74" s="325"/>
      <c r="B74" s="346" t="s">
        <v>144</v>
      </c>
      <c r="C74" s="345" t="s">
        <v>115</v>
      </c>
      <c r="D74" s="344"/>
      <c r="E74" s="343"/>
      <c r="F74" s="342"/>
      <c r="G74" s="341">
        <v>2190968.5</v>
      </c>
      <c r="H74" s="340"/>
      <c r="I74" s="339"/>
      <c r="J74" s="623">
        <f t="shared" ref="J74:J76" si="7">G74+I74</f>
        <v>2190968.5</v>
      </c>
    </row>
    <row r="75" spans="1:14" x14ac:dyDescent="0.25">
      <c r="A75" s="325"/>
      <c r="B75" s="338" t="s">
        <v>322</v>
      </c>
      <c r="C75" s="337" t="s">
        <v>323</v>
      </c>
      <c r="D75" s="336"/>
      <c r="E75" s="335"/>
      <c r="F75" s="333"/>
      <c r="G75" s="334">
        <v>340000</v>
      </c>
      <c r="H75" s="333"/>
      <c r="I75" s="332">
        <v>160000</v>
      </c>
      <c r="J75" s="622">
        <f t="shared" si="7"/>
        <v>500000</v>
      </c>
    </row>
    <row r="76" spans="1:14" ht="13" x14ac:dyDescent="0.3">
      <c r="A76" s="325"/>
      <c r="B76" s="331"/>
      <c r="C76" s="330" t="s">
        <v>328</v>
      </c>
      <c r="D76" s="329"/>
      <c r="E76" s="328"/>
      <c r="F76" s="327"/>
      <c r="G76" s="326">
        <f>SUM(G74:G75)</f>
        <v>2530968.5</v>
      </c>
      <c r="H76" s="327"/>
      <c r="I76" s="326">
        <f>SUM(I74:I75)</f>
        <v>160000</v>
      </c>
      <c r="J76" s="620">
        <f t="shared" si="7"/>
        <v>2690968.5</v>
      </c>
    </row>
    <row r="77" spans="1:14" ht="13.5" thickBot="1" x14ac:dyDescent="0.35">
      <c r="A77" s="325"/>
      <c r="B77" s="324"/>
      <c r="C77" s="675"/>
      <c r="D77" s="675"/>
      <c r="E77" s="675"/>
      <c r="F77" s="676"/>
      <c r="G77" s="677"/>
      <c r="H77" s="676"/>
      <c r="I77" s="677"/>
      <c r="J77" s="678"/>
    </row>
    <row r="78" spans="1:14" ht="13" x14ac:dyDescent="0.3">
      <c r="B78" s="323"/>
      <c r="C78" s="319"/>
      <c r="D78" s="319"/>
      <c r="E78" s="319"/>
      <c r="F78" s="679" t="s">
        <v>13</v>
      </c>
      <c r="G78" s="389"/>
      <c r="H78" s="390"/>
      <c r="I78" s="389"/>
      <c r="J78" s="389"/>
    </row>
    <row r="79" spans="1:14" ht="14.5" x14ac:dyDescent="0.35">
      <c r="B79" s="323"/>
      <c r="C79" s="306"/>
      <c r="D79" s="306"/>
      <c r="E79" s="306"/>
      <c r="F79" s="322"/>
      <c r="G79" s="321"/>
      <c r="H79" s="322"/>
      <c r="I79" s="321"/>
      <c r="J79" s="321"/>
      <c r="M79" s="254" t="s">
        <v>268</v>
      </c>
      <c r="N79" s="253">
        <f>+G80</f>
        <v>123416790.99223466</v>
      </c>
    </row>
    <row r="80" spans="1:14" ht="14.5" x14ac:dyDescent="0.35">
      <c r="B80" s="320"/>
      <c r="C80" s="680" t="s">
        <v>372</v>
      </c>
      <c r="D80" s="681"/>
      <c r="E80" s="682"/>
      <c r="F80" s="683">
        <f>F71</f>
        <v>298671.98157499998</v>
      </c>
      <c r="G80" s="684">
        <f>G71+G76</f>
        <v>123416790.99223466</v>
      </c>
      <c r="H80" s="685">
        <f>H71</f>
        <v>6318212.8839999996</v>
      </c>
      <c r="I80" s="684">
        <f>I71+I76</f>
        <v>24904543.481040005</v>
      </c>
      <c r="J80" s="686">
        <f>G80+I80</f>
        <v>148321334.47327468</v>
      </c>
      <c r="K80" s="319"/>
      <c r="M80" s="254" t="s">
        <v>217</v>
      </c>
      <c r="N80" s="183">
        <f>-G30</f>
        <v>-3607677.6983370464</v>
      </c>
    </row>
    <row r="81" spans="2:16" ht="15" thickBot="1" x14ac:dyDescent="0.4">
      <c r="B81" s="320"/>
      <c r="C81" s="687"/>
      <c r="D81" s="688"/>
      <c r="E81" s="688"/>
      <c r="F81" s="689">
        <f>F80/8760</f>
        <v>34.094975065639268</v>
      </c>
      <c r="G81" s="690"/>
      <c r="H81" s="691"/>
      <c r="I81" s="690"/>
      <c r="J81" s="692"/>
      <c r="K81" s="319"/>
      <c r="M81" s="254" t="s">
        <v>269</v>
      </c>
      <c r="N81" s="255">
        <f>SUM(N79:N80)</f>
        <v>119809113.29389761</v>
      </c>
    </row>
    <row r="82" spans="2:16" ht="15" thickTop="1" x14ac:dyDescent="0.35">
      <c r="B82" s="318"/>
      <c r="C82" s="317"/>
      <c r="D82" s="317"/>
      <c r="E82" s="317"/>
      <c r="F82" s="316"/>
      <c r="G82" s="314"/>
      <c r="H82" s="315"/>
      <c r="I82" s="314"/>
      <c r="J82" s="313"/>
      <c r="L82" s="182"/>
      <c r="M82" s="182"/>
      <c r="N82" s="182"/>
      <c r="O82" s="182"/>
      <c r="P82" s="182"/>
    </row>
    <row r="83" spans="2:16" ht="14.5" x14ac:dyDescent="0.35">
      <c r="D83" s="312" t="s">
        <v>208</v>
      </c>
      <c r="E83" s="311"/>
      <c r="F83" s="310"/>
      <c r="G83" s="309">
        <f>(G39+G61)/G71</f>
        <v>0.11252955358990778</v>
      </c>
      <c r="H83" s="308"/>
      <c r="I83" s="307">
        <f>(I39+I61)/I71</f>
        <v>9.8297418960415189E-2</v>
      </c>
      <c r="J83" s="298"/>
      <c r="L83" s="650"/>
      <c r="M83" s="650"/>
      <c r="N83" s="650"/>
      <c r="O83" s="650"/>
      <c r="P83" s="650"/>
    </row>
    <row r="84" spans="2:16" ht="13" x14ac:dyDescent="0.3">
      <c r="E84" s="295" t="s">
        <v>209</v>
      </c>
      <c r="F84" s="298"/>
      <c r="G84" s="304"/>
      <c r="H84" s="298"/>
      <c r="I84" s="304"/>
      <c r="J84" s="298"/>
      <c r="L84" s="650" t="s">
        <v>366</v>
      </c>
      <c r="M84" s="650"/>
      <c r="N84" s="650" t="s">
        <v>20</v>
      </c>
      <c r="O84" s="650">
        <v>449</v>
      </c>
      <c r="P84" s="650" t="s">
        <v>73</v>
      </c>
    </row>
    <row r="85" spans="2:16" x14ac:dyDescent="0.25">
      <c r="E85" s="295" t="s">
        <v>210</v>
      </c>
      <c r="F85" s="298"/>
      <c r="G85" s="304"/>
      <c r="H85" s="298"/>
      <c r="I85" s="304"/>
      <c r="J85" s="298"/>
      <c r="L85" s="295" t="s">
        <v>526</v>
      </c>
      <c r="N85" s="647">
        <f>G31</f>
        <v>4285201.7849976132</v>
      </c>
      <c r="O85" s="647">
        <f>G30</f>
        <v>3607677.6983370464</v>
      </c>
      <c r="P85" s="647">
        <f>SUM(N85:O85)</f>
        <v>7892879.4833346596</v>
      </c>
    </row>
    <row r="86" spans="2:16" x14ac:dyDescent="0.25">
      <c r="D86" s="306"/>
      <c r="E86" s="306"/>
      <c r="F86" s="305"/>
      <c r="G86" s="304"/>
      <c r="H86" s="298"/>
      <c r="I86" s="304"/>
      <c r="J86" s="298"/>
      <c r="L86" s="295" t="s">
        <v>364</v>
      </c>
      <c r="N86" s="648">
        <f>+G76+G69+G61+G46+G39+G34+G23-G29</f>
        <v>115523911.5089</v>
      </c>
      <c r="P86" s="648">
        <f>SUM(N86:O86)</f>
        <v>115523911.5089</v>
      </c>
    </row>
    <row r="87" spans="2:16" ht="26.25" customHeight="1" thickBot="1" x14ac:dyDescent="0.3">
      <c r="D87" s="906" t="s">
        <v>213</v>
      </c>
      <c r="E87" s="907"/>
      <c r="F87" s="907"/>
      <c r="G87" s="302">
        <f>(G49+G51+SUM(G67:G68))/(G23+G34)</f>
        <v>3.4200497045680185E-2</v>
      </c>
      <c r="H87" s="303"/>
      <c r="I87" s="302">
        <f>(I49+I51+SUM(I67:I68))/(I23+I34)</f>
        <v>2.9786515793870729E-2</v>
      </c>
      <c r="J87" s="298"/>
      <c r="L87" s="295" t="s">
        <v>365</v>
      </c>
      <c r="N87" s="649">
        <f>SUM(N85:N86)</f>
        <v>119809113.29389761</v>
      </c>
      <c r="O87" s="649">
        <f>SUM(O85:O86)</f>
        <v>3607677.6983370464</v>
      </c>
      <c r="P87" s="649">
        <f>SUM(P85:P86)</f>
        <v>123416790.99223466</v>
      </c>
    </row>
    <row r="88" spans="2:16" ht="21" customHeight="1" thickTop="1" x14ac:dyDescent="0.35">
      <c r="D88" s="301" t="s">
        <v>214</v>
      </c>
      <c r="E88" s="300"/>
      <c r="F88" s="300"/>
      <c r="G88" s="693">
        <f>(G49+G51+SUM(G67:G68))</f>
        <v>3379409.09</v>
      </c>
      <c r="H88" s="299"/>
      <c r="I88" s="693">
        <f>(I49+I51+SUM(I67:I68))</f>
        <v>593120.40999999992</v>
      </c>
      <c r="J88" s="298"/>
      <c r="N88" s="882">
        <f>N81-N87</f>
        <v>0</v>
      </c>
      <c r="P88" s="882">
        <f>G80-P87</f>
        <v>0</v>
      </c>
    </row>
    <row r="89" spans="2:16" ht="27" customHeight="1" x14ac:dyDescent="0.25">
      <c r="E89" s="904" t="s">
        <v>327</v>
      </c>
      <c r="F89" s="904"/>
      <c r="G89" s="904"/>
      <c r="H89" s="904"/>
      <c r="I89" s="904"/>
    </row>
    <row r="90" spans="2:16" ht="18.75" customHeight="1" x14ac:dyDescent="0.25">
      <c r="E90" s="904" t="s">
        <v>326</v>
      </c>
      <c r="F90" s="904"/>
      <c r="G90" s="904"/>
      <c r="H90" s="904"/>
      <c r="I90" s="904"/>
    </row>
    <row r="96" spans="2:16" ht="14.5" x14ac:dyDescent="0.35">
      <c r="B96" s="295"/>
      <c r="G96" s="297"/>
    </row>
  </sheetData>
  <mergeCells count="6">
    <mergeCell ref="E90:I90"/>
    <mergeCell ref="F1:H1"/>
    <mergeCell ref="J1:K2"/>
    <mergeCell ref="C3:E3"/>
    <mergeCell ref="D87:F87"/>
    <mergeCell ref="E89:I89"/>
  </mergeCells>
  <hyperlinks>
    <hyperlink ref="F4" location="'2022 Sector View Electric'!A1" display="MWh Savings"/>
    <hyperlink ref="G4" location="'2022 Sector View Electric'!A1" display="Electric Rider Budget"/>
    <hyperlink ref="H4" location="'2022 Sector View Gas'!A1" display="Therm Savings"/>
    <hyperlink ref="I4" location="'2022 Sector View Gas'!A1" display="Gas Rider Budget"/>
  </hyperlinks>
  <pageMargins left="0.28000000000000003" right="0.3" top="0.75" bottom="0.75" header="0.3" footer="0.3"/>
  <pageSetup paperSize="17" scale="80" orientation="portrait" r:id="rId1"/>
  <headerFooter>
    <oddHeader>&amp;R&amp;G</oddHeader>
    <oddFooter>&amp;R&amp;G</oddFooter>
  </headerFooter>
  <customProperties>
    <customPr name="_pios_id" r:id="rId2"/>
  </customProperties>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B1A0C7"/>
  </sheetPr>
  <dimension ref="A1:K21"/>
  <sheetViews>
    <sheetView workbookViewId="0">
      <selection activeCell="K18" sqref="K18"/>
    </sheetView>
  </sheetViews>
  <sheetFormatPr defaultColWidth="9.1796875" defaultRowHeight="12.5" x14ac:dyDescent="0.25"/>
  <cols>
    <col min="1" max="1" width="5" style="212" bestFit="1" customWidth="1"/>
    <col min="2" max="2" width="56.54296875" style="212" customWidth="1"/>
    <col min="3" max="3" width="2.1796875" style="212" customWidth="1"/>
    <col min="4" max="4" width="8" style="212" bestFit="1" customWidth="1"/>
    <col min="5" max="5" width="13" style="212" customWidth="1"/>
    <col min="6" max="6" width="2.453125" style="212" customWidth="1"/>
    <col min="7" max="7" width="2.7265625" style="212" customWidth="1"/>
    <col min="8" max="8" width="5.453125" style="719" customWidth="1"/>
    <col min="9" max="9" width="63.1796875" style="719" customWidth="1"/>
    <col min="10" max="16384" width="9.1796875" style="212"/>
  </cols>
  <sheetData>
    <row r="1" spans="1:11" ht="13" x14ac:dyDescent="0.3">
      <c r="A1" s="258"/>
      <c r="B1" s="258"/>
      <c r="C1" s="258"/>
      <c r="D1" s="258"/>
      <c r="E1" s="259" t="s">
        <v>351</v>
      </c>
      <c r="H1" s="720"/>
      <c r="I1" s="732" t="s">
        <v>400</v>
      </c>
      <c r="J1" s="733"/>
      <c r="K1" s="733"/>
    </row>
    <row r="2" spans="1:11" ht="13" x14ac:dyDescent="0.3">
      <c r="A2" s="258"/>
      <c r="B2" s="629" t="s">
        <v>349</v>
      </c>
      <c r="C2" s="258"/>
      <c r="D2" s="258"/>
      <c r="E2" s="259"/>
      <c r="H2" s="720"/>
      <c r="I2" s="720"/>
    </row>
    <row r="3" spans="1:11" ht="13" x14ac:dyDescent="0.3">
      <c r="A3" s="260"/>
      <c r="B3" s="629" t="s">
        <v>350</v>
      </c>
      <c r="C3" s="261"/>
      <c r="D3" s="261"/>
      <c r="E3" s="261"/>
      <c r="H3" s="720"/>
      <c r="I3" s="720"/>
    </row>
    <row r="4" spans="1:11" ht="14" x14ac:dyDescent="0.3">
      <c r="A4" s="262"/>
      <c r="B4" s="629" t="s">
        <v>391</v>
      </c>
      <c r="C4" s="262"/>
      <c r="D4" s="262"/>
      <c r="E4" s="262"/>
      <c r="H4" s="722" t="s">
        <v>394</v>
      </c>
      <c r="I4" s="723"/>
    </row>
    <row r="5" spans="1:11" ht="14.5" x14ac:dyDescent="0.35">
      <c r="A5" s="263"/>
      <c r="B5" s="629" t="s">
        <v>390</v>
      </c>
      <c r="C5" s="265"/>
      <c r="D5" s="264"/>
      <c r="E5" s="266"/>
      <c r="H5" s="724" t="s">
        <v>271</v>
      </c>
      <c r="I5" s="723"/>
    </row>
    <row r="6" spans="1:11" ht="14" x14ac:dyDescent="0.3">
      <c r="A6" s="261"/>
      <c r="B6" s="629" t="s">
        <v>271</v>
      </c>
      <c r="C6" s="261"/>
      <c r="D6" s="261"/>
      <c r="E6" s="261"/>
      <c r="H6" s="725" t="s">
        <v>395</v>
      </c>
      <c r="I6" s="723"/>
    </row>
    <row r="7" spans="1:11" ht="14" x14ac:dyDescent="0.3">
      <c r="A7" s="260"/>
      <c r="B7" s="261"/>
      <c r="C7" s="261"/>
      <c r="D7" s="261"/>
      <c r="E7" s="261"/>
      <c r="H7" s="725" t="s">
        <v>396</v>
      </c>
      <c r="I7" s="723"/>
    </row>
    <row r="8" spans="1:11" ht="13" x14ac:dyDescent="0.3">
      <c r="A8" s="267"/>
      <c r="B8" s="267"/>
      <c r="C8" s="267"/>
      <c r="D8" s="267"/>
      <c r="E8" s="267"/>
      <c r="H8" s="720"/>
      <c r="I8" s="720"/>
    </row>
    <row r="9" spans="1:11" ht="13" x14ac:dyDescent="0.3">
      <c r="A9" s="268" t="s">
        <v>117</v>
      </c>
      <c r="B9" s="267"/>
      <c r="C9" s="267"/>
      <c r="D9" s="267"/>
      <c r="E9" s="267"/>
      <c r="H9" s="726" t="s">
        <v>117</v>
      </c>
      <c r="I9" s="726"/>
    </row>
    <row r="10" spans="1:11" ht="13" x14ac:dyDescent="0.3">
      <c r="A10" s="269" t="s">
        <v>118</v>
      </c>
      <c r="B10" s="270" t="s">
        <v>119</v>
      </c>
      <c r="C10" s="271"/>
      <c r="D10" s="271"/>
      <c r="E10" s="272" t="s">
        <v>120</v>
      </c>
      <c r="H10" s="727" t="s">
        <v>118</v>
      </c>
      <c r="I10" s="728" t="s">
        <v>119</v>
      </c>
      <c r="J10" s="271"/>
      <c r="K10" s="272" t="s">
        <v>120</v>
      </c>
    </row>
    <row r="11" spans="1:11" ht="13" x14ac:dyDescent="0.3">
      <c r="A11" s="273"/>
      <c r="B11" s="273"/>
      <c r="C11" s="273"/>
      <c r="D11" s="273"/>
      <c r="E11" s="274"/>
      <c r="H11" s="721"/>
      <c r="I11" s="721"/>
      <c r="J11" s="273"/>
      <c r="K11" s="274"/>
    </row>
    <row r="12" spans="1:11" ht="13" x14ac:dyDescent="0.3">
      <c r="A12" s="275">
        <v>1</v>
      </c>
      <c r="B12" s="276" t="s">
        <v>121</v>
      </c>
      <c r="C12" s="273"/>
      <c r="D12" s="273"/>
      <c r="E12" s="277">
        <v>8.4790000000000004E-3</v>
      </c>
      <c r="H12" s="729">
        <v>1</v>
      </c>
      <c r="I12" s="730" t="s">
        <v>121</v>
      </c>
      <c r="J12" s="273"/>
      <c r="K12" s="277">
        <v>7.1970000000000003E-3</v>
      </c>
    </row>
    <row r="13" spans="1:11" ht="13" x14ac:dyDescent="0.3">
      <c r="A13" s="275">
        <v>2</v>
      </c>
      <c r="B13" s="276" t="s">
        <v>122</v>
      </c>
      <c r="C13" s="273"/>
      <c r="D13" s="273"/>
      <c r="E13" s="277">
        <v>2E-3</v>
      </c>
      <c r="H13" s="729">
        <v>2</v>
      </c>
      <c r="I13" s="734" t="s">
        <v>122</v>
      </c>
      <c r="J13" s="273"/>
      <c r="K13" s="731">
        <v>4.0000000000000001E-3</v>
      </c>
    </row>
    <row r="14" spans="1:11" ht="14.5" x14ac:dyDescent="0.35">
      <c r="A14" s="275">
        <v>3</v>
      </c>
      <c r="B14" s="276" t="str">
        <f>"STATE UTILITY TAX ( "&amp;D14*100&amp;"% - ( LINE 1 * "&amp;D14*100&amp;"% )  )"</f>
        <v>STATE UTILITY TAX ( 3.8734% - ( LINE 1 * 3.8734% )  )</v>
      </c>
      <c r="C14" s="278"/>
      <c r="D14" s="279">
        <v>3.8733999999999998E-2</v>
      </c>
      <c r="E14" s="277">
        <v>3.8406000000000003E-2</v>
      </c>
      <c r="H14" s="729">
        <v>3</v>
      </c>
      <c r="I14" s="730" t="str">
        <f>"STATE UTILITY TAX - NET OF BAD DEBTS ( "&amp;K16*100&amp;"% - ( LINE 1 * "&amp;K16*100&amp;"%) )"</f>
        <v>STATE UTILITY TAX - NET OF BAD DEBTS ( 4.9652% - ( LINE 1 * 4.9652%) )</v>
      </c>
      <c r="J14" s="277">
        <v>3.8733999999999998E-2</v>
      </c>
      <c r="K14" s="277">
        <v>3.8455000000000003E-2</v>
      </c>
    </row>
    <row r="15" spans="1:11" ht="13" x14ac:dyDescent="0.3">
      <c r="A15" s="275">
        <v>4</v>
      </c>
      <c r="B15" s="276"/>
      <c r="C15" s="273"/>
      <c r="D15" s="273"/>
      <c r="E15" s="280"/>
      <c r="H15" s="729">
        <v>4</v>
      </c>
      <c r="I15" s="730"/>
      <c r="J15" s="273"/>
      <c r="K15" s="280"/>
    </row>
    <row r="16" spans="1:11" ht="13" x14ac:dyDescent="0.3">
      <c r="A16" s="275">
        <v>5</v>
      </c>
      <c r="B16" s="276" t="s">
        <v>123</v>
      </c>
      <c r="C16" s="273"/>
      <c r="D16" s="273"/>
      <c r="E16" s="277">
        <f>ROUND(SUM(E12:E14),6)</f>
        <v>4.8884999999999998E-2</v>
      </c>
      <c r="H16" s="729">
        <v>5</v>
      </c>
      <c r="I16" s="730" t="s">
        <v>123</v>
      </c>
      <c r="J16" s="273"/>
      <c r="K16" s="277">
        <f>ROUND(SUM(K12:K14),6)</f>
        <v>4.9652000000000002E-2</v>
      </c>
    </row>
    <row r="17" spans="1:11" ht="13" x14ac:dyDescent="0.3">
      <c r="A17" s="275">
        <v>6</v>
      </c>
      <c r="B17" s="273"/>
      <c r="C17" s="273"/>
      <c r="D17" s="273"/>
      <c r="E17" s="277"/>
      <c r="H17" s="729">
        <v>6</v>
      </c>
      <c r="I17" s="721"/>
      <c r="J17" s="273"/>
      <c r="K17" s="277"/>
    </row>
    <row r="18" spans="1:11" ht="13" x14ac:dyDescent="0.3">
      <c r="A18" s="275">
        <v>7</v>
      </c>
      <c r="B18" s="273" t="str">
        <f>"CONVERSION FACTOR EXCLUDING FEDERAL INCOME TAX ( 1 - LINE "&amp;A16&amp;" )"</f>
        <v>CONVERSION FACTOR EXCLUDING FEDERAL INCOME TAX ( 1 - LINE 5 )</v>
      </c>
      <c r="C18" s="273"/>
      <c r="D18" s="273"/>
      <c r="E18" s="277">
        <f>ROUND(1-E16,6)</f>
        <v>0.95111500000000004</v>
      </c>
      <c r="H18" s="729">
        <v>7</v>
      </c>
      <c r="I18" s="721" t="s">
        <v>397</v>
      </c>
      <c r="J18" s="273"/>
      <c r="K18" s="277">
        <f>ROUND(1-K16,6)</f>
        <v>0.95034799999999997</v>
      </c>
    </row>
    <row r="19" spans="1:11" ht="13.5" thickBot="1" x14ac:dyDescent="0.35">
      <c r="A19" s="275">
        <v>8</v>
      </c>
      <c r="B19" s="276" t="str">
        <f>"FEDERAL INCOME TAX ( LINE "&amp;A18&amp;"  * "&amp;D19*100&amp;"% )"</f>
        <v>FEDERAL INCOME TAX ( LINE 7  * 21% )</v>
      </c>
      <c r="C19" s="273"/>
      <c r="D19" s="630">
        <v>0.21</v>
      </c>
      <c r="E19" s="641">
        <f>ROUND((E18)*D19,6)</f>
        <v>0.19973399999999999</v>
      </c>
      <c r="H19" s="729">
        <v>8</v>
      </c>
      <c r="I19" s="730" t="s">
        <v>398</v>
      </c>
      <c r="J19" s="277">
        <v>0.21</v>
      </c>
      <c r="K19" s="641">
        <f>ROUND((K18)*J19,6)</f>
        <v>0.199573</v>
      </c>
    </row>
    <row r="20" spans="1:11" ht="14" thickTop="1" thickBot="1" x14ac:dyDescent="0.35">
      <c r="A20" s="275">
        <v>9</v>
      </c>
      <c r="B20" s="276" t="str">
        <f>"CONVERSION FACTOR INCL FEDERAL INCOME TAX ( LINE "&amp;A18&amp;" - LINE "&amp;A19&amp;" ) "</f>
        <v xml:space="preserve">CONVERSION FACTOR INCL FEDERAL INCOME TAX ( LINE 7 - LINE 8 ) </v>
      </c>
      <c r="C20" s="273"/>
      <c r="D20" s="273"/>
      <c r="E20" s="641">
        <f>E18-E19</f>
        <v>0.75138100000000008</v>
      </c>
      <c r="H20" s="729">
        <v>9</v>
      </c>
      <c r="I20" s="730" t="s">
        <v>399</v>
      </c>
      <c r="J20" s="273"/>
      <c r="K20" s="641">
        <f>K18-K19</f>
        <v>0.75077499999999997</v>
      </c>
    </row>
    <row r="21" spans="1:11" ht="13.5" thickTop="1" x14ac:dyDescent="0.3">
      <c r="H21" s="721"/>
      <c r="I21" s="721"/>
    </row>
  </sheetData>
  <pageMargins left="0.7" right="0.7" top="0.75" bottom="0.75" header="0.3" footer="0.3"/>
  <pageSetup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63" sqref="G63"/>
    </sheetView>
  </sheetViews>
  <sheetFormatPr defaultRowHeight="14.5" x14ac:dyDescent="0.35"/>
  <sheetData/>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B1A0C7"/>
  </sheetPr>
  <dimension ref="A1:I44"/>
  <sheetViews>
    <sheetView workbookViewId="0">
      <selection activeCell="D23" sqref="D23"/>
    </sheetView>
  </sheetViews>
  <sheetFormatPr defaultColWidth="9.1796875" defaultRowHeight="12.5" x14ac:dyDescent="0.25"/>
  <cols>
    <col min="1" max="1" width="4" style="7" bestFit="1" customWidth="1"/>
    <col min="2" max="2" width="50.1796875" style="7" customWidth="1"/>
    <col min="3" max="3" width="45.453125" style="7" bestFit="1" customWidth="1"/>
    <col min="4" max="4" width="17" style="7" bestFit="1" customWidth="1"/>
    <col min="5" max="5" width="15.453125" style="7" bestFit="1" customWidth="1"/>
    <col min="6" max="6" width="14.1796875" style="7" customWidth="1"/>
    <col min="7" max="7" width="11.54296875" style="7" customWidth="1"/>
    <col min="8" max="8" width="10.81640625" style="7" bestFit="1" customWidth="1"/>
    <col min="9" max="16384" width="9.1796875" style="7"/>
  </cols>
  <sheetData>
    <row r="1" spans="1:9" ht="13" x14ac:dyDescent="0.3">
      <c r="A1" s="53" t="s">
        <v>523</v>
      </c>
      <c r="C1" s="564"/>
    </row>
    <row r="2" spans="1:9" ht="13" x14ac:dyDescent="0.3">
      <c r="A2" s="53" t="s">
        <v>0</v>
      </c>
    </row>
    <row r="3" spans="1:9" ht="13" x14ac:dyDescent="0.3">
      <c r="A3" s="53"/>
      <c r="F3" s="5" t="s">
        <v>1</v>
      </c>
    </row>
    <row r="4" spans="1:9" ht="13.5" thickBot="1" x14ac:dyDescent="0.35">
      <c r="A4" s="53"/>
      <c r="F4" s="565" t="s">
        <v>5</v>
      </c>
    </row>
    <row r="5" spans="1:9" ht="13" x14ac:dyDescent="0.3">
      <c r="A5" s="101"/>
      <c r="D5" s="4"/>
      <c r="E5" s="4"/>
      <c r="F5" s="5" t="s">
        <v>265</v>
      </c>
    </row>
    <row r="6" spans="1:9" ht="13" x14ac:dyDescent="0.3">
      <c r="A6" s="3" t="s">
        <v>2</v>
      </c>
      <c r="B6" s="3"/>
      <c r="C6" s="3"/>
      <c r="D6" s="52" t="s">
        <v>3</v>
      </c>
      <c r="E6" s="52" t="s">
        <v>4</v>
      </c>
      <c r="F6" s="52" t="s">
        <v>266</v>
      </c>
    </row>
    <row r="7" spans="1:9" x14ac:dyDescent="0.25">
      <c r="D7" s="735" t="s">
        <v>6</v>
      </c>
      <c r="E7" s="735" t="s">
        <v>7</v>
      </c>
      <c r="F7" s="735" t="s">
        <v>8</v>
      </c>
    </row>
    <row r="8" spans="1:9" ht="13" x14ac:dyDescent="0.3">
      <c r="A8" s="7">
        <v>1</v>
      </c>
      <c r="B8" s="53" t="s">
        <v>492</v>
      </c>
      <c r="C8" s="53"/>
    </row>
    <row r="9" spans="1:9" ht="13" x14ac:dyDescent="0.3">
      <c r="A9" s="7">
        <f t="shared" ref="A9:A27" si="0">A8+1</f>
        <v>2</v>
      </c>
      <c r="B9" s="53"/>
      <c r="C9" s="53"/>
      <c r="G9" s="566"/>
      <c r="H9" s="566"/>
    </row>
    <row r="10" spans="1:9" x14ac:dyDescent="0.25">
      <c r="A10" s="7">
        <f t="shared" si="0"/>
        <v>3</v>
      </c>
      <c r="B10" s="7" t="s">
        <v>9</v>
      </c>
      <c r="C10" s="7" t="s">
        <v>493</v>
      </c>
      <c r="D10" s="23">
        <f>-'PY Rev Req Non-449 (UE-220137)'!C12</f>
        <v>-95701177.501407489</v>
      </c>
      <c r="E10" s="23">
        <f>'2022 Collections'!C6</f>
        <v>-98726173.995102584</v>
      </c>
      <c r="F10" s="93">
        <f>E10-D10</f>
        <v>-3024996.4936950952</v>
      </c>
      <c r="G10" s="288"/>
      <c r="H10" s="288"/>
      <c r="I10" s="289"/>
    </row>
    <row r="11" spans="1:9" x14ac:dyDescent="0.25">
      <c r="A11" s="7">
        <f t="shared" si="0"/>
        <v>4</v>
      </c>
      <c r="D11" s="50"/>
      <c r="E11" s="50"/>
      <c r="F11" s="94"/>
    </row>
    <row r="12" spans="1:9" x14ac:dyDescent="0.25">
      <c r="A12" s="7">
        <f t="shared" si="0"/>
        <v>5</v>
      </c>
      <c r="B12" s="7" t="s">
        <v>10</v>
      </c>
      <c r="D12" s="47"/>
      <c r="E12" s="47"/>
      <c r="F12" s="95"/>
    </row>
    <row r="13" spans="1:9" ht="25" x14ac:dyDescent="0.25">
      <c r="A13" s="7">
        <f t="shared" si="0"/>
        <v>6</v>
      </c>
      <c r="B13" s="869" t="s">
        <v>494</v>
      </c>
      <c r="D13" s="96">
        <f>'2022 Budget UE-210822'!N86</f>
        <v>115523911.5089</v>
      </c>
      <c r="E13" s="96">
        <f>'PY Actual Program Costs'!D10</f>
        <v>91683277.220000014</v>
      </c>
      <c r="F13" s="96">
        <f>E13-D13</f>
        <v>-23840634.288899988</v>
      </c>
    </row>
    <row r="14" spans="1:9" ht="25" x14ac:dyDescent="0.25">
      <c r="A14" s="7">
        <f t="shared" si="0"/>
        <v>7</v>
      </c>
      <c r="B14" s="869" t="s">
        <v>495</v>
      </c>
      <c r="D14" s="96">
        <f>'2022 Budget UE-210822'!N85</f>
        <v>4285201.7849976132</v>
      </c>
      <c r="E14" s="96">
        <f>'PY Actual Program Costs'!D9</f>
        <v>2723963.96</v>
      </c>
      <c r="F14" s="96">
        <f>E14-D14</f>
        <v>-1561237.8249976132</v>
      </c>
    </row>
    <row r="15" spans="1:9" x14ac:dyDescent="0.25">
      <c r="A15" s="7">
        <f t="shared" si="0"/>
        <v>8</v>
      </c>
      <c r="B15" s="6" t="s">
        <v>11</v>
      </c>
      <c r="D15" s="868">
        <f>'2022 Budget UE-210822'!N87</f>
        <v>119809113.29389761</v>
      </c>
      <c r="E15" s="868">
        <f>SUM(E13:E14)</f>
        <v>94407241.180000007</v>
      </c>
      <c r="F15" s="78">
        <f>SUM(F13:F14)</f>
        <v>-25401872.113897599</v>
      </c>
    </row>
    <row r="16" spans="1:9" x14ac:dyDescent="0.25">
      <c r="A16" s="7">
        <f t="shared" si="0"/>
        <v>9</v>
      </c>
      <c r="D16" s="96">
        <f>'PY Rev Req Non-449 (UE-220137)'!C8-D15</f>
        <v>0</v>
      </c>
      <c r="E16" s="96">
        <f>'PY Actual Program Costs'!D6-E15</f>
        <v>0</v>
      </c>
      <c r="F16" s="97"/>
    </row>
    <row r="17" spans="1:9" ht="13" x14ac:dyDescent="0.3">
      <c r="A17" s="7">
        <f t="shared" si="0"/>
        <v>10</v>
      </c>
      <c r="B17" s="53" t="s">
        <v>492</v>
      </c>
      <c r="D17" s="96"/>
      <c r="E17" s="96"/>
      <c r="F17" s="92">
        <f>F10+F15</f>
        <v>-28426868.607592694</v>
      </c>
    </row>
    <row r="18" spans="1:9" x14ac:dyDescent="0.25">
      <c r="A18" s="7">
        <f t="shared" si="0"/>
        <v>11</v>
      </c>
      <c r="D18" s="96"/>
      <c r="E18" s="96"/>
      <c r="F18" s="96"/>
    </row>
    <row r="19" spans="1:9" ht="13" x14ac:dyDescent="0.3">
      <c r="A19" s="7">
        <f t="shared" si="0"/>
        <v>12</v>
      </c>
      <c r="B19" s="53" t="s">
        <v>505</v>
      </c>
      <c r="C19" s="53"/>
      <c r="D19" s="96"/>
      <c r="E19" s="96"/>
      <c r="F19" s="96"/>
    </row>
    <row r="20" spans="1:9" ht="13" x14ac:dyDescent="0.3">
      <c r="A20" s="7">
        <f t="shared" si="0"/>
        <v>13</v>
      </c>
      <c r="B20" s="53"/>
      <c r="C20" s="53"/>
      <c r="D20" s="4"/>
      <c r="E20" s="4"/>
      <c r="F20" s="5" t="s">
        <v>1</v>
      </c>
    </row>
    <row r="21" spans="1:9" ht="13" x14ac:dyDescent="0.3">
      <c r="A21" s="7">
        <f t="shared" si="0"/>
        <v>14</v>
      </c>
      <c r="B21" s="7" t="s">
        <v>222</v>
      </c>
      <c r="D21" s="52" t="s">
        <v>3</v>
      </c>
      <c r="E21" s="52" t="s">
        <v>4</v>
      </c>
      <c r="F21" s="52" t="s">
        <v>5</v>
      </c>
    </row>
    <row r="22" spans="1:9" x14ac:dyDescent="0.25">
      <c r="A22" s="7">
        <f t="shared" si="0"/>
        <v>15</v>
      </c>
      <c r="B22" s="6" t="s">
        <v>506</v>
      </c>
      <c r="C22" s="6"/>
      <c r="G22" s="566"/>
      <c r="H22" s="566"/>
    </row>
    <row r="23" spans="1:9" x14ac:dyDescent="0.25">
      <c r="A23" s="7">
        <f t="shared" si="0"/>
        <v>16</v>
      </c>
      <c r="B23" s="6" t="s">
        <v>507</v>
      </c>
      <c r="C23" s="6"/>
      <c r="D23" s="567">
        <f>-'PY Est - Actual v Est'!B10</f>
        <v>-17726466.240255807</v>
      </c>
      <c r="E23" s="567">
        <f>-'PY Est - Actual v Est'!C10</f>
        <v>-20612266.66660535</v>
      </c>
      <c r="F23" s="92">
        <f>E23-D23</f>
        <v>-2885800.426349543</v>
      </c>
      <c r="G23" s="288"/>
      <c r="H23" s="288"/>
      <c r="I23" s="289"/>
    </row>
    <row r="24" spans="1:9" x14ac:dyDescent="0.25">
      <c r="A24" s="7">
        <f t="shared" si="0"/>
        <v>17</v>
      </c>
      <c r="B24" s="6"/>
      <c r="C24" s="6"/>
      <c r="D24" s="56"/>
      <c r="E24" s="56"/>
      <c r="F24" s="92"/>
    </row>
    <row r="25" spans="1:9" x14ac:dyDescent="0.25">
      <c r="A25" s="7">
        <f t="shared" si="0"/>
        <v>18</v>
      </c>
      <c r="B25" s="6"/>
      <c r="C25" s="6"/>
      <c r="D25" s="56"/>
      <c r="E25" s="56"/>
      <c r="F25" s="92"/>
    </row>
    <row r="26" spans="1:9" x14ac:dyDescent="0.25">
      <c r="A26" s="7">
        <f t="shared" si="0"/>
        <v>19</v>
      </c>
      <c r="D26" s="96"/>
      <c r="E26" s="96"/>
      <c r="F26" s="97"/>
    </row>
    <row r="27" spans="1:9" ht="13" thickBot="1" x14ac:dyDescent="0.3">
      <c r="A27" s="7">
        <f t="shared" si="0"/>
        <v>20</v>
      </c>
      <c r="B27" s="7" t="s">
        <v>12</v>
      </c>
      <c r="D27" s="98"/>
      <c r="E27" s="96"/>
      <c r="F27" s="99">
        <f>SUM(F17:F26)</f>
        <v>-31312669.033942237</v>
      </c>
    </row>
    <row r="28" spans="1:9" ht="13" thickTop="1" x14ac:dyDescent="0.25"/>
    <row r="29" spans="1:9" x14ac:dyDescent="0.25">
      <c r="F29" s="96"/>
    </row>
    <row r="32" spans="1:9" x14ac:dyDescent="0.25">
      <c r="D32" s="289"/>
    </row>
    <row r="33" spans="4:9" x14ac:dyDescent="0.25">
      <c r="D33" s="289"/>
      <c r="E33" s="289"/>
      <c r="F33" s="289"/>
      <c r="G33" s="289"/>
      <c r="H33" s="289"/>
    </row>
    <row r="34" spans="4:9" x14ac:dyDescent="0.25">
      <c r="D34" s="289"/>
      <c r="E34" s="288"/>
      <c r="F34" s="288"/>
      <c r="G34" s="288"/>
      <c r="H34" s="290"/>
      <c r="I34" s="289"/>
    </row>
    <row r="44" spans="4:9" x14ac:dyDescent="0.25">
      <c r="D44" s="7" t="s">
        <v>13</v>
      </c>
    </row>
  </sheetData>
  <pageMargins left="0.7" right="0.7" top="0.75" bottom="0.75" header="0.3" footer="0.3"/>
  <pageSetup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63" sqref="G63"/>
    </sheetView>
  </sheetViews>
  <sheetFormatPr defaultRowHeight="14.5" x14ac:dyDescent="0.35"/>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CDDC"/>
  </sheetPr>
  <dimension ref="A1:G15"/>
  <sheetViews>
    <sheetView workbookViewId="0">
      <selection activeCell="B8" sqref="B8"/>
    </sheetView>
  </sheetViews>
  <sheetFormatPr defaultColWidth="9.1796875" defaultRowHeight="12.5" x14ac:dyDescent="0.25"/>
  <cols>
    <col min="1" max="1" width="4.54296875" style="7" bestFit="1" customWidth="1"/>
    <col min="2" max="2" width="57.453125" style="7" customWidth="1"/>
    <col min="3" max="3" width="14.54296875" style="7" bestFit="1" customWidth="1"/>
    <col min="4" max="4" width="10.81640625" style="7" bestFit="1" customWidth="1"/>
    <col min="5" max="5" width="14.453125" style="7" bestFit="1" customWidth="1"/>
    <col min="6" max="6" width="2.453125" style="7" customWidth="1"/>
    <col min="7" max="7" width="11.26953125" style="7" bestFit="1" customWidth="1"/>
    <col min="8" max="16384" width="9.1796875" style="7"/>
  </cols>
  <sheetData>
    <row r="1" spans="1:7" ht="13.4" customHeight="1" x14ac:dyDescent="0.25">
      <c r="A1" s="38" t="s">
        <v>30</v>
      </c>
      <c r="B1" s="38"/>
      <c r="C1" s="38"/>
      <c r="D1" s="38"/>
      <c r="E1" s="38"/>
    </row>
    <row r="2" spans="1:7" x14ac:dyDescent="0.25">
      <c r="A2" s="38" t="s">
        <v>31</v>
      </c>
      <c r="B2" s="38"/>
      <c r="C2" s="38"/>
      <c r="D2" s="38"/>
      <c r="E2" s="38"/>
    </row>
    <row r="3" spans="1:7" ht="13" thickBot="1" x14ac:dyDescent="0.3">
      <c r="A3" s="39" t="s">
        <v>373</v>
      </c>
      <c r="B3" s="38"/>
      <c r="C3" s="38"/>
      <c r="D3" s="38"/>
      <c r="E3" s="38"/>
    </row>
    <row r="4" spans="1:7" ht="13.4" customHeight="1" thickBot="1" x14ac:dyDescent="0.35">
      <c r="A4" s="908" t="s">
        <v>393</v>
      </c>
      <c r="B4" s="909"/>
      <c r="C4" s="909"/>
      <c r="D4" s="909"/>
      <c r="E4" s="910"/>
    </row>
    <row r="5" spans="1:7" ht="13.4" customHeight="1" x14ac:dyDescent="0.3">
      <c r="A5" s="885"/>
      <c r="B5" s="5"/>
      <c r="C5" s="100"/>
      <c r="D5" s="100"/>
      <c r="E5" s="100"/>
    </row>
    <row r="6" spans="1:7" s="41" customFormat="1" ht="26.5" customHeight="1" x14ac:dyDescent="0.25">
      <c r="A6" s="40" t="s">
        <v>17</v>
      </c>
      <c r="B6" s="40" t="s">
        <v>2</v>
      </c>
      <c r="C6" s="40" t="s">
        <v>32</v>
      </c>
      <c r="D6" s="40" t="s">
        <v>33</v>
      </c>
      <c r="E6" s="40" t="s">
        <v>16</v>
      </c>
    </row>
    <row r="7" spans="1:7" ht="13.4" customHeight="1" x14ac:dyDescent="0.25">
      <c r="A7" s="42"/>
      <c r="B7" s="42"/>
      <c r="C7" s="42"/>
      <c r="D7" s="38"/>
    </row>
    <row r="8" spans="1:7" ht="13.4" customHeight="1" x14ac:dyDescent="0.25">
      <c r="A8" s="42">
        <v>1</v>
      </c>
      <c r="B8" s="17" t="s">
        <v>355</v>
      </c>
      <c r="C8" s="50">
        <v>119809113.29389761</v>
      </c>
      <c r="D8" s="43">
        <v>0.95111500000000004</v>
      </c>
      <c r="E8" s="50">
        <f>+C8/D8</f>
        <v>125967010.60744244</v>
      </c>
    </row>
    <row r="9" spans="1:7" ht="13.4" customHeight="1" x14ac:dyDescent="0.25">
      <c r="A9" s="42"/>
      <c r="B9" s="17"/>
      <c r="C9" s="50"/>
      <c r="D9" s="43"/>
    </row>
    <row r="10" spans="1:7" ht="13.4" customHeight="1" x14ac:dyDescent="0.25">
      <c r="A10" s="42">
        <v>2</v>
      </c>
      <c r="B10" s="17" t="s">
        <v>263</v>
      </c>
      <c r="C10" s="50">
        <v>-24107935.792490128</v>
      </c>
      <c r="D10" s="43">
        <v>0.95111500000000004</v>
      </c>
      <c r="E10" s="50">
        <f>+C10/D10</f>
        <v>-25347025.115249079</v>
      </c>
    </row>
    <row r="11" spans="1:7" ht="13.4" customHeight="1" x14ac:dyDescent="0.25">
      <c r="A11" s="42"/>
      <c r="B11" s="42"/>
      <c r="C11" s="44"/>
      <c r="D11" s="43"/>
      <c r="E11" s="45"/>
    </row>
    <row r="12" spans="1:7" ht="14.15" customHeight="1" thickBot="1" x14ac:dyDescent="0.3">
      <c r="A12" s="42">
        <v>3</v>
      </c>
      <c r="B12" s="19" t="s">
        <v>34</v>
      </c>
      <c r="C12" s="46">
        <f>SUM(C8:C11)</f>
        <v>95701177.501407489</v>
      </c>
      <c r="D12" s="43"/>
      <c r="E12" s="46">
        <f>SUM(E8:E11)</f>
        <v>100619985.49219336</v>
      </c>
      <c r="G12" s="47"/>
    </row>
    <row r="13" spans="1:7" ht="13" thickTop="1" x14ac:dyDescent="0.25">
      <c r="A13" s="42"/>
      <c r="B13" s="42"/>
      <c r="C13" s="42"/>
      <c r="D13" s="43"/>
      <c r="E13" s="47"/>
    </row>
    <row r="14" spans="1:7" ht="14.5" x14ac:dyDescent="0.35">
      <c r="B14" s="48"/>
      <c r="C14" s="49"/>
      <c r="D14" s="184"/>
      <c r="E14" s="50"/>
    </row>
    <row r="15" spans="1:7" x14ac:dyDescent="0.25">
      <c r="F15" s="294"/>
    </row>
  </sheetData>
  <mergeCells count="1">
    <mergeCell ref="A4:E4"/>
  </mergeCells>
  <pageMargins left="0.7" right="0.7" top="0.75" bottom="0.75" header="0.3" footer="0.3"/>
  <customProperties>
    <customPr name="_pios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B1A0C7"/>
  </sheetPr>
  <dimension ref="A1:N39"/>
  <sheetViews>
    <sheetView workbookViewId="0">
      <pane xSplit="2" ySplit="1" topLeftCell="C2" activePane="bottomRight" state="frozen"/>
      <selection activeCell="G63" sqref="G63"/>
      <selection pane="topRight" activeCell="G63" sqref="G63"/>
      <selection pane="bottomLeft" activeCell="G63" sqref="G63"/>
      <selection pane="bottomRight" activeCell="H39" sqref="H39"/>
    </sheetView>
  </sheetViews>
  <sheetFormatPr defaultColWidth="8.81640625" defaultRowHeight="14.5" x14ac:dyDescent="0.35"/>
  <cols>
    <col min="1" max="1" width="3" style="71" bestFit="1" customWidth="1"/>
    <col min="2" max="2" width="45.81640625" style="71" customWidth="1"/>
    <col min="3" max="3" width="16.81640625" style="71" bestFit="1" customWidth="1"/>
    <col min="4" max="4" width="21.453125" style="71" bestFit="1" customWidth="1"/>
    <col min="5" max="5" width="16.81640625" style="71" bestFit="1" customWidth="1"/>
    <col min="6" max="6" width="14.453125" style="71" bestFit="1" customWidth="1"/>
    <col min="7" max="7" width="3.54296875" style="71" customWidth="1"/>
    <col min="8" max="8" width="12.81640625" style="71" bestFit="1" customWidth="1"/>
    <col min="9" max="9" width="10.453125" style="71" bestFit="1" customWidth="1"/>
    <col min="10" max="10" width="12.81640625" style="71" bestFit="1" customWidth="1"/>
    <col min="11" max="11" width="11" style="71" bestFit="1" customWidth="1"/>
    <col min="12" max="12" width="12.81640625" style="71" bestFit="1" customWidth="1"/>
    <col min="13" max="13" width="10.453125" style="71" bestFit="1" customWidth="1"/>
    <col min="14" max="14" width="12.81640625" style="71" bestFit="1" customWidth="1"/>
    <col min="15" max="16384" width="8.81640625" style="71"/>
  </cols>
  <sheetData>
    <row r="1" spans="1:5" x14ac:dyDescent="0.35">
      <c r="A1" s="7"/>
      <c r="B1" s="7"/>
      <c r="C1" s="52" t="s">
        <v>71</v>
      </c>
      <c r="D1" s="52" t="s">
        <v>72</v>
      </c>
      <c r="E1" s="52" t="s">
        <v>73</v>
      </c>
    </row>
    <row r="2" spans="1:5" x14ac:dyDescent="0.35">
      <c r="A2" s="7"/>
      <c r="B2" s="53"/>
      <c r="C2" s="7"/>
      <c r="D2" s="7"/>
      <c r="E2" s="7"/>
    </row>
    <row r="3" spans="1:5" x14ac:dyDescent="0.35">
      <c r="A3" s="7">
        <v>1</v>
      </c>
      <c r="B3" s="53" t="s">
        <v>386</v>
      </c>
      <c r="C3" s="7"/>
      <c r="D3" s="7"/>
      <c r="E3" s="7"/>
    </row>
    <row r="4" spans="1:5" x14ac:dyDescent="0.35">
      <c r="A4" s="7">
        <v>2</v>
      </c>
      <c r="B4" s="6" t="s">
        <v>415</v>
      </c>
      <c r="C4" s="60">
        <f>C21</f>
        <v>-74602904.515343204</v>
      </c>
      <c r="D4" s="60">
        <f>D21</f>
        <v>-1895781.7446568003</v>
      </c>
      <c r="E4" s="60">
        <f>E21</f>
        <v>-76498686.260000005</v>
      </c>
    </row>
    <row r="5" spans="1:5" x14ac:dyDescent="0.35">
      <c r="A5" s="7">
        <v>3</v>
      </c>
      <c r="B5" s="6" t="s">
        <v>414</v>
      </c>
      <c r="C5" s="56">
        <f>C33</f>
        <v>-24123269.479759373</v>
      </c>
      <c r="D5" s="56">
        <f>D33</f>
        <v>-688291.11147931172</v>
      </c>
      <c r="E5" s="56">
        <f>E33</f>
        <v>-24811560.591238685</v>
      </c>
    </row>
    <row r="6" spans="1:5" ht="15" thickBot="1" x14ac:dyDescent="0.4">
      <c r="A6" s="7">
        <v>4</v>
      </c>
      <c r="B6" s="7" t="s">
        <v>74</v>
      </c>
      <c r="C6" s="58">
        <f>SUM(C4:C5)</f>
        <v>-98726173.995102584</v>
      </c>
      <c r="D6" s="58">
        <f>SUM(D4:D5)</f>
        <v>-2584072.856136112</v>
      </c>
      <c r="E6" s="58">
        <f>SUM(E4:E5)</f>
        <v>-101310246.8512387</v>
      </c>
    </row>
    <row r="7" spans="1:5" ht="15" thickTop="1" x14ac:dyDescent="0.35">
      <c r="A7" s="7">
        <v>5</v>
      </c>
      <c r="B7" s="7"/>
      <c r="C7" s="7"/>
      <c r="D7" s="7"/>
      <c r="E7" s="7"/>
    </row>
    <row r="8" spans="1:5" ht="18" x14ac:dyDescent="0.4">
      <c r="A8" s="7">
        <v>6</v>
      </c>
      <c r="B8" s="226"/>
      <c r="C8" s="7"/>
      <c r="D8" s="7"/>
      <c r="E8" s="7"/>
    </row>
    <row r="9" spans="1:5" x14ac:dyDescent="0.35">
      <c r="A9" s="7">
        <v>7</v>
      </c>
      <c r="B9" s="7"/>
      <c r="C9" s="7"/>
      <c r="D9" s="7"/>
      <c r="E9" s="7"/>
    </row>
    <row r="10" spans="1:5" x14ac:dyDescent="0.35">
      <c r="A10" s="7">
        <v>8</v>
      </c>
      <c r="B10" s="7"/>
      <c r="C10" s="7"/>
      <c r="D10" s="7"/>
      <c r="E10" s="7"/>
    </row>
    <row r="11" spans="1:5" x14ac:dyDescent="0.35">
      <c r="A11" s="7">
        <v>9</v>
      </c>
      <c r="B11" s="54" t="s">
        <v>75</v>
      </c>
      <c r="C11" s="7"/>
      <c r="D11" s="7"/>
      <c r="E11" s="7"/>
    </row>
    <row r="12" spans="1:5" x14ac:dyDescent="0.35">
      <c r="A12" s="7">
        <v>10</v>
      </c>
      <c r="B12" s="55">
        <v>44712</v>
      </c>
      <c r="C12" s="56"/>
      <c r="D12" s="56"/>
      <c r="E12" s="56">
        <f>'AC 1820621'!I12</f>
        <v>-7763093.6099999994</v>
      </c>
    </row>
    <row r="13" spans="1:5" x14ac:dyDescent="0.35">
      <c r="A13" s="7">
        <v>11</v>
      </c>
      <c r="B13" s="55">
        <v>44742</v>
      </c>
      <c r="C13" s="56"/>
      <c r="D13" s="56"/>
      <c r="E13" s="56">
        <f>'AC 1820621'!D10</f>
        <v>-7082359.1100000013</v>
      </c>
    </row>
    <row r="14" spans="1:5" x14ac:dyDescent="0.35">
      <c r="A14" s="7">
        <v>12</v>
      </c>
      <c r="B14" s="55">
        <v>44773</v>
      </c>
      <c r="C14" s="56"/>
      <c r="D14" s="56"/>
      <c r="E14" s="56">
        <f>'AC 1820621'!D11</f>
        <v>-7835742.9700000007</v>
      </c>
    </row>
    <row r="15" spans="1:5" x14ac:dyDescent="0.35">
      <c r="A15" s="7">
        <v>13</v>
      </c>
      <c r="B15" s="55">
        <v>44804</v>
      </c>
      <c r="C15" s="56"/>
      <c r="D15" s="56"/>
      <c r="E15" s="56">
        <f>'AC 1820621'!D12</f>
        <v>-8202581.1799999988</v>
      </c>
    </row>
    <row r="16" spans="1:5" x14ac:dyDescent="0.35">
      <c r="A16" s="7">
        <v>14</v>
      </c>
      <c r="B16" s="55">
        <v>44834</v>
      </c>
      <c r="C16" s="56"/>
      <c r="D16" s="56"/>
      <c r="E16" s="56">
        <f>'AC 1820621'!D13</f>
        <v>-7208159.7999999998</v>
      </c>
    </row>
    <row r="17" spans="1:14" x14ac:dyDescent="0.35">
      <c r="A17" s="7">
        <v>15</v>
      </c>
      <c r="B17" s="55">
        <v>44865</v>
      </c>
      <c r="C17" s="56"/>
      <c r="D17" s="56"/>
      <c r="E17" s="56">
        <f>'AC 1820621'!D14</f>
        <v>-7636101.1899999995</v>
      </c>
    </row>
    <row r="18" spans="1:14" x14ac:dyDescent="0.35">
      <c r="A18" s="7">
        <v>16</v>
      </c>
      <c r="B18" s="55">
        <v>44895</v>
      </c>
      <c r="C18" s="56"/>
      <c r="D18" s="56"/>
      <c r="E18" s="56">
        <f>'AC 1820621'!D15</f>
        <v>-9941096.5599999987</v>
      </c>
    </row>
    <row r="19" spans="1:14" x14ac:dyDescent="0.35">
      <c r="A19" s="7">
        <v>17</v>
      </c>
      <c r="B19" s="55">
        <v>44926</v>
      </c>
      <c r="C19" s="56"/>
      <c r="D19" s="56"/>
      <c r="E19" s="56">
        <f>'AC 1820621'!D16</f>
        <v>-10760298.08</v>
      </c>
    </row>
    <row r="20" spans="1:14" x14ac:dyDescent="0.35">
      <c r="A20" s="7">
        <v>18</v>
      </c>
      <c r="B20" s="55">
        <v>44957</v>
      </c>
      <c r="C20" s="56"/>
      <c r="D20" s="83"/>
      <c r="E20" s="56">
        <f>'AC 1820621'!D28</f>
        <v>-10069253.760000002</v>
      </c>
    </row>
    <row r="21" spans="1:14" ht="15" thickBot="1" x14ac:dyDescent="0.4">
      <c r="A21" s="7">
        <v>19</v>
      </c>
      <c r="B21" s="57"/>
      <c r="C21" s="58">
        <f>E21-D21</f>
        <v>-74602904.515343204</v>
      </c>
      <c r="D21" s="58">
        <f>-'258 Cons Tbl 20-21'!N21</f>
        <v>-1895781.7446568003</v>
      </c>
      <c r="E21" s="58">
        <f>SUM(E12:E20)</f>
        <v>-76498686.260000005</v>
      </c>
    </row>
    <row r="22" spans="1:14" ht="15" thickTop="1" x14ac:dyDescent="0.35">
      <c r="A22" s="7">
        <v>20</v>
      </c>
      <c r="B22" s="54" t="s">
        <v>76</v>
      </c>
      <c r="C22" s="56"/>
      <c r="D22" s="59" t="s">
        <v>77</v>
      </c>
      <c r="E22" s="56"/>
    </row>
    <row r="23" spans="1:14" x14ac:dyDescent="0.35">
      <c r="A23" s="7">
        <v>21</v>
      </c>
      <c r="B23" s="57" t="str">
        <f>"Totals are based on average total composite rate of "&amp;DOLLAR('PY COS'!F52,6)&amp;" per kWh x"</f>
        <v>Totals are based on average total composite rate of $0.004639 per kWh x</v>
      </c>
      <c r="C23" s="56"/>
      <c r="D23" s="56"/>
      <c r="E23" s="56"/>
    </row>
    <row r="24" spans="1:14" x14ac:dyDescent="0.35">
      <c r="A24" s="7">
        <v>22</v>
      </c>
      <c r="B24" s="57" t="str">
        <f>'PY COS'!F51&amp;" conversion factor in existing Sch 120 from UE-220137"</f>
        <v>0.951115 conversion factor in existing Sch 120 from UE-220137</v>
      </c>
      <c r="C24" s="56"/>
      <c r="D24" s="56"/>
      <c r="E24" s="56"/>
    </row>
    <row r="25" spans="1:14" x14ac:dyDescent="0.35">
      <c r="A25" s="7">
        <v>23</v>
      </c>
      <c r="B25" s="57" t="s">
        <v>525</v>
      </c>
      <c r="C25" s="56"/>
      <c r="D25" s="56"/>
      <c r="E25" s="56"/>
    </row>
    <row r="26" spans="1:14" x14ac:dyDescent="0.35">
      <c r="A26" s="7">
        <v>24</v>
      </c>
      <c r="B26" s="559">
        <f>'PY COS'!F52</f>
        <v>4.6385878550000001E-3</v>
      </c>
      <c r="C26" s="7"/>
      <c r="D26" s="7"/>
      <c r="E26" s="7"/>
      <c r="F26" s="559"/>
      <c r="G26" s="69"/>
      <c r="H26" s="69"/>
      <c r="I26" s="69"/>
      <c r="J26" s="69"/>
      <c r="K26" s="69"/>
      <c r="L26" s="69"/>
      <c r="M26" s="69"/>
      <c r="N26" s="69"/>
    </row>
    <row r="27" spans="1:14" x14ac:dyDescent="0.35">
      <c r="A27" s="7">
        <v>25</v>
      </c>
      <c r="B27" s="560">
        <v>44985</v>
      </c>
      <c r="C27" s="60"/>
      <c r="D27" s="60"/>
      <c r="E27" s="7"/>
      <c r="F27" s="69"/>
      <c r="G27" s="69"/>
      <c r="H27" s="69"/>
      <c r="I27" s="69"/>
      <c r="J27" s="69"/>
      <c r="K27" s="69"/>
      <c r="L27" s="69"/>
      <c r="M27" s="69"/>
      <c r="N27" s="69"/>
    </row>
    <row r="28" spans="1:14" x14ac:dyDescent="0.35">
      <c r="A28" s="7">
        <v>26</v>
      </c>
      <c r="B28" s="61">
        <f>'F2022 Load Forecast'!S21</f>
        <v>1797662</v>
      </c>
      <c r="C28" s="60">
        <f>E28-D28</f>
        <v>-8107896.9460259154</v>
      </c>
      <c r="D28" s="60">
        <f>-'258 Cons Tbl 20-21'!H27</f>
        <v>-230716.17456909479</v>
      </c>
      <c r="E28" s="60">
        <f>-B28*B$26*1000</f>
        <v>-8338613.12059501</v>
      </c>
      <c r="F28" s="561"/>
      <c r="G28" s="69"/>
      <c r="H28" s="562"/>
      <c r="I28" s="562"/>
      <c r="J28" s="562"/>
      <c r="K28" s="69"/>
      <c r="L28" s="562"/>
      <c r="M28" s="562"/>
      <c r="N28" s="562"/>
    </row>
    <row r="29" spans="1:14" x14ac:dyDescent="0.35">
      <c r="A29" s="7">
        <v>27</v>
      </c>
      <c r="B29" s="560">
        <v>45016</v>
      </c>
      <c r="C29" s="60"/>
      <c r="D29" s="60"/>
      <c r="E29" s="60"/>
      <c r="F29" s="561"/>
      <c r="G29" s="69"/>
      <c r="H29" s="562"/>
      <c r="I29" s="562"/>
      <c r="J29" s="562"/>
      <c r="K29" s="69"/>
      <c r="L29" s="562"/>
      <c r="M29" s="562"/>
      <c r="N29" s="562"/>
    </row>
    <row r="30" spans="1:14" x14ac:dyDescent="0.35">
      <c r="A30" s="7">
        <v>28</v>
      </c>
      <c r="B30" s="61">
        <f>'F2022 Load Forecast'!S22</f>
        <v>1833836</v>
      </c>
      <c r="C30" s="56">
        <f>E30-D30</f>
        <v>-8256334.7730271779</v>
      </c>
      <c r="D30" s="56">
        <f>-'258 Cons Tbl 20-21'!I27</f>
        <v>-250074.62463460347</v>
      </c>
      <c r="E30" s="56">
        <f>-B30*B$26*1000</f>
        <v>-8506409.3976617809</v>
      </c>
      <c r="F30" s="561"/>
      <c r="G30" s="69"/>
      <c r="H30" s="31"/>
      <c r="I30" s="31"/>
      <c r="J30" s="31"/>
      <c r="K30" s="69"/>
      <c r="L30" s="31"/>
      <c r="M30" s="31"/>
      <c r="N30" s="31"/>
    </row>
    <row r="31" spans="1:14" x14ac:dyDescent="0.35">
      <c r="A31" s="7">
        <v>29</v>
      </c>
      <c r="B31" s="560">
        <v>45046</v>
      </c>
      <c r="C31" s="56"/>
      <c r="D31" s="56"/>
      <c r="E31" s="56"/>
      <c r="F31" s="561"/>
      <c r="G31" s="69"/>
      <c r="H31" s="31"/>
      <c r="I31" s="31"/>
      <c r="J31" s="31"/>
      <c r="K31" s="69"/>
      <c r="L31" s="31"/>
      <c r="M31" s="31"/>
      <c r="N31" s="31"/>
    </row>
    <row r="32" spans="1:14" x14ac:dyDescent="0.35">
      <c r="A32" s="7">
        <v>30</v>
      </c>
      <c r="B32" s="61">
        <f>'F2022 Load Forecast'!S23</f>
        <v>1717449</v>
      </c>
      <c r="C32" s="56">
        <f>E32-D32</f>
        <v>-7759037.7607062813</v>
      </c>
      <c r="D32" s="56">
        <f>-'258 Cons Tbl 20-21'!J27</f>
        <v>-207500.3122756134</v>
      </c>
      <c r="E32" s="56">
        <f>-B32*B$26*1000</f>
        <v>-7966538.0729818949</v>
      </c>
      <c r="F32" s="561"/>
      <c r="G32" s="69"/>
      <c r="H32" s="31"/>
      <c r="I32" s="31"/>
      <c r="J32" s="31"/>
      <c r="K32" s="69"/>
      <c r="L32" s="31"/>
      <c r="M32" s="31"/>
      <c r="N32" s="31"/>
    </row>
    <row r="33" spans="1:14" ht="15" thickBot="1" x14ac:dyDescent="0.4">
      <c r="A33" s="7">
        <v>31</v>
      </c>
      <c r="B33" s="7"/>
      <c r="C33" s="58">
        <f>E33-D33</f>
        <v>-24123269.479759373</v>
      </c>
      <c r="D33" s="58">
        <f>SUM(D28:D32)</f>
        <v>-688291.11147931172</v>
      </c>
      <c r="E33" s="58">
        <f>SUM(E27:E32)</f>
        <v>-24811560.591238685</v>
      </c>
      <c r="F33" s="69"/>
      <c r="G33" s="69"/>
      <c r="H33" s="50"/>
      <c r="I33" s="50"/>
      <c r="J33" s="50"/>
      <c r="K33" s="69"/>
      <c r="L33" s="50"/>
      <c r="M33" s="50"/>
      <c r="N33" s="50"/>
    </row>
    <row r="34" spans="1:14" ht="15" thickTop="1" x14ac:dyDescent="0.35">
      <c r="A34" s="7">
        <v>32</v>
      </c>
      <c r="B34" s="61"/>
      <c r="C34" s="56"/>
      <c r="D34" s="62" t="s">
        <v>77</v>
      </c>
      <c r="E34" s="7"/>
    </row>
    <row r="35" spans="1:14" x14ac:dyDescent="0.35">
      <c r="A35" s="7">
        <v>33</v>
      </c>
      <c r="B35" s="7"/>
      <c r="C35" s="56"/>
      <c r="D35" s="56"/>
      <c r="E35" s="56"/>
    </row>
    <row r="36" spans="1:14" x14ac:dyDescent="0.35">
      <c r="A36" s="7">
        <v>34</v>
      </c>
      <c r="B36" s="7" t="s">
        <v>78</v>
      </c>
    </row>
    <row r="38" spans="1:14" x14ac:dyDescent="0.35">
      <c r="B38" s="51"/>
    </row>
    <row r="39" spans="1:14" x14ac:dyDescent="0.35">
      <c r="B39" s="51"/>
    </row>
  </sheetData>
  <pageMargins left="0.7" right="0.7" top="0.75" bottom="0.75" header="0.3" footer="0.3"/>
  <customProperties>
    <customPr name="_pios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B1A0C7"/>
  </sheetPr>
  <dimension ref="A1:J52"/>
  <sheetViews>
    <sheetView workbookViewId="0">
      <selection activeCell="C2" sqref="C2"/>
    </sheetView>
  </sheetViews>
  <sheetFormatPr defaultColWidth="11.54296875" defaultRowHeight="12.5" x14ac:dyDescent="0.25"/>
  <cols>
    <col min="1" max="1" width="19.1796875" style="208" bestFit="1" customWidth="1"/>
    <col min="2" max="3" width="13.54296875" style="208" bestFit="1" customWidth="1"/>
    <col min="4" max="4" width="13.453125" style="208" bestFit="1" customWidth="1"/>
    <col min="5" max="5" width="16.54296875" style="208" bestFit="1" customWidth="1"/>
    <col min="6" max="6" width="1.453125" style="208" customWidth="1"/>
    <col min="7" max="7" width="11.54296875" style="208"/>
    <col min="8" max="8" width="14.81640625" style="208" bestFit="1" customWidth="1"/>
    <col min="9" max="9" width="18.81640625" style="208" customWidth="1"/>
    <col min="10" max="10" width="45.81640625" style="208" bestFit="1" customWidth="1"/>
    <col min="11" max="14" width="11.54296875" style="208"/>
    <col min="15" max="15" width="22" style="208" bestFit="1" customWidth="1"/>
    <col min="16" max="16" width="45.81640625" style="208" bestFit="1" customWidth="1"/>
    <col min="17" max="16384" width="11.54296875" style="208"/>
  </cols>
  <sheetData>
    <row r="1" spans="1:10" ht="14.5" x14ac:dyDescent="0.35">
      <c r="A1" s="245">
        <v>18230621</v>
      </c>
      <c r="B1" s="232" t="s">
        <v>262</v>
      </c>
      <c r="J1" s="208" t="s">
        <v>267</v>
      </c>
    </row>
    <row r="2" spans="1:10" ht="14.5" x14ac:dyDescent="0.35">
      <c r="A2" s="652" t="s">
        <v>368</v>
      </c>
      <c r="B2" s="786"/>
      <c r="C2" s="786"/>
      <c r="D2" s="786"/>
      <c r="E2" s="786"/>
      <c r="F2" s="786"/>
      <c r="G2" s="653"/>
      <c r="H2" s="786"/>
      <c r="I2" s="182"/>
      <c r="J2" s="182"/>
    </row>
    <row r="3" spans="1:10" ht="14.5" x14ac:dyDescent="0.35">
      <c r="A3" s="209" t="s">
        <v>79</v>
      </c>
      <c r="B3" s="209" t="s">
        <v>80</v>
      </c>
      <c r="C3" s="209" t="s">
        <v>81</v>
      </c>
      <c r="D3" s="209" t="s">
        <v>82</v>
      </c>
      <c r="E3" s="209" t="s">
        <v>83</v>
      </c>
      <c r="G3" s="182"/>
      <c r="H3" s="182"/>
      <c r="I3" s="182"/>
      <c r="J3" s="182"/>
    </row>
    <row r="4" spans="1:10" ht="14.5" x14ac:dyDescent="0.35">
      <c r="A4" s="147" t="s">
        <v>84</v>
      </c>
      <c r="B4" s="210">
        <v>0</v>
      </c>
      <c r="C4" s="210">
        <v>0</v>
      </c>
      <c r="D4" s="210">
        <v>0</v>
      </c>
      <c r="E4" s="210">
        <v>-84200576.23999998</v>
      </c>
      <c r="G4" s="246" t="s">
        <v>257</v>
      </c>
      <c r="H4" s="246" t="s">
        <v>258</v>
      </c>
      <c r="I4" s="246" t="s">
        <v>259</v>
      </c>
      <c r="J4" s="246" t="s">
        <v>220</v>
      </c>
    </row>
    <row r="5" spans="1:10" ht="14.5" x14ac:dyDescent="0.35">
      <c r="A5" s="147" t="s">
        <v>85</v>
      </c>
      <c r="B5" s="252">
        <v>5786761.9400000004</v>
      </c>
      <c r="C5" s="252">
        <v>14384018.83</v>
      </c>
      <c r="D5" s="210">
        <f>+B5-C5</f>
        <v>-8597256.8900000006</v>
      </c>
      <c r="E5" s="210">
        <f>+E4+D5</f>
        <v>-92797833.12999998</v>
      </c>
      <c r="G5" s="609">
        <v>20190430</v>
      </c>
      <c r="H5" s="609" t="s">
        <v>347</v>
      </c>
      <c r="I5" s="610">
        <v>4919972.6100000003</v>
      </c>
      <c r="J5" s="609" t="s">
        <v>410</v>
      </c>
    </row>
    <row r="6" spans="1:10" ht="14.5" x14ac:dyDescent="0.35">
      <c r="A6" s="147" t="s">
        <v>86</v>
      </c>
      <c r="B6" s="210">
        <v>5853560.75</v>
      </c>
      <c r="C6" s="210">
        <v>13178835.529999999</v>
      </c>
      <c r="D6" s="210">
        <f t="shared" ref="D6:D16" si="0">+B6-C6</f>
        <v>-7325274.7799999993</v>
      </c>
      <c r="E6" s="210">
        <f t="shared" ref="E6:E16" si="1">+E5+D6</f>
        <v>-100123107.90999998</v>
      </c>
      <c r="G6" s="609">
        <v>20190531</v>
      </c>
      <c r="H6" s="609" t="s">
        <v>347</v>
      </c>
      <c r="I6" s="610">
        <v>82865226.989999995</v>
      </c>
      <c r="J6" s="609" t="s">
        <v>411</v>
      </c>
    </row>
    <row r="7" spans="1:10" ht="14.5" x14ac:dyDescent="0.35">
      <c r="A7" s="147" t="s">
        <v>87</v>
      </c>
      <c r="B7" s="210">
        <v>5430992.5700000003</v>
      </c>
      <c r="C7" s="210">
        <v>12317437.33</v>
      </c>
      <c r="D7" s="210">
        <f t="shared" si="0"/>
        <v>-6886444.7599999998</v>
      </c>
      <c r="E7" s="210">
        <f t="shared" si="1"/>
        <v>-107009552.66999999</v>
      </c>
      <c r="G7" s="609">
        <v>20190531</v>
      </c>
      <c r="H7" s="609" t="s">
        <v>347</v>
      </c>
      <c r="I7" s="610">
        <v>-7010622.3700000001</v>
      </c>
      <c r="J7" s="609" t="s">
        <v>412</v>
      </c>
    </row>
    <row r="8" spans="1:10" ht="14.5" x14ac:dyDescent="0.35">
      <c r="A8" s="147" t="s">
        <v>88</v>
      </c>
      <c r="B8" s="210">
        <v>4949455.3099999996</v>
      </c>
      <c r="C8" s="210">
        <v>11832030.65</v>
      </c>
      <c r="D8" s="210">
        <f t="shared" si="0"/>
        <v>-6882575.3400000008</v>
      </c>
      <c r="E8" s="210">
        <f t="shared" si="1"/>
        <v>-113892128.00999999</v>
      </c>
      <c r="G8" s="609">
        <v>20190531</v>
      </c>
      <c r="H8" s="609" t="s">
        <v>347</v>
      </c>
      <c r="I8" s="610">
        <v>-5672443.8499999996</v>
      </c>
      <c r="J8" s="609" t="s">
        <v>413</v>
      </c>
    </row>
    <row r="9" spans="1:10" ht="14.5" x14ac:dyDescent="0.35">
      <c r="A9" s="147" t="s">
        <v>89</v>
      </c>
      <c r="B9" s="210">
        <v>87785199.599999994</v>
      </c>
      <c r="C9" s="210">
        <v>12683066.220000001</v>
      </c>
      <c r="D9" s="210">
        <f t="shared" si="0"/>
        <v>75102133.379999995</v>
      </c>
      <c r="E9" s="210">
        <f t="shared" si="1"/>
        <v>-38789994.629999995</v>
      </c>
      <c r="G9" s="787" t="s">
        <v>221</v>
      </c>
      <c r="H9" s="787"/>
      <c r="I9" s="788">
        <f>SUM(I5:I8)</f>
        <v>75102133.379999995</v>
      </c>
      <c r="J9" s="787" t="s">
        <v>260</v>
      </c>
    </row>
    <row r="10" spans="1:10" ht="14.5" x14ac:dyDescent="0.35">
      <c r="A10" s="147" t="s">
        <v>90</v>
      </c>
      <c r="B10" s="210">
        <v>5672443.8499999996</v>
      </c>
      <c r="C10" s="210">
        <v>12754802.960000001</v>
      </c>
      <c r="D10" s="210">
        <f t="shared" si="0"/>
        <v>-7082359.1100000013</v>
      </c>
      <c r="E10" s="210">
        <f t="shared" si="1"/>
        <v>-45872353.739999995</v>
      </c>
      <c r="G10" s="787"/>
      <c r="H10" s="787"/>
      <c r="I10" s="788">
        <f>I9</f>
        <v>75102133.379999995</v>
      </c>
      <c r="J10" s="787"/>
    </row>
    <row r="11" spans="1:10" ht="14.5" x14ac:dyDescent="0.35">
      <c r="A11" s="147" t="s">
        <v>91</v>
      </c>
      <c r="B11" s="210">
        <v>5209874.83</v>
      </c>
      <c r="C11" s="210">
        <v>13045617.800000001</v>
      </c>
      <c r="D11" s="210">
        <f t="shared" si="0"/>
        <v>-7835742.9700000007</v>
      </c>
      <c r="E11" s="210">
        <f t="shared" si="1"/>
        <v>-53708096.709999993</v>
      </c>
      <c r="G11" s="182"/>
      <c r="H11" s="208" t="s">
        <v>255</v>
      </c>
      <c r="I11" s="210">
        <f>-I6</f>
        <v>-82865226.989999995</v>
      </c>
    </row>
    <row r="12" spans="1:10" ht="14.5" x14ac:dyDescent="0.35">
      <c r="A12" s="147" t="s">
        <v>92</v>
      </c>
      <c r="B12" s="210">
        <v>5890029.1100000003</v>
      </c>
      <c r="C12" s="210">
        <v>14092610.289999999</v>
      </c>
      <c r="D12" s="210">
        <f t="shared" si="0"/>
        <v>-8202581.1799999988</v>
      </c>
      <c r="E12" s="210">
        <f t="shared" si="1"/>
        <v>-61910677.889999993</v>
      </c>
      <c r="G12" s="182"/>
      <c r="H12" s="208" t="s">
        <v>256</v>
      </c>
      <c r="I12" s="210">
        <f>I10+I11</f>
        <v>-7763093.6099999994</v>
      </c>
      <c r="J12" s="208" t="s">
        <v>261</v>
      </c>
    </row>
    <row r="13" spans="1:10" ht="14.5" x14ac:dyDescent="0.35">
      <c r="A13" s="147" t="s">
        <v>93</v>
      </c>
      <c r="B13" s="210">
        <v>5864924.5599999996</v>
      </c>
      <c r="C13" s="210">
        <v>13073084.359999999</v>
      </c>
      <c r="D13" s="210">
        <f t="shared" si="0"/>
        <v>-7208159.7999999998</v>
      </c>
      <c r="E13" s="210">
        <f t="shared" si="1"/>
        <v>-69118837.689999998</v>
      </c>
    </row>
    <row r="14" spans="1:10" ht="14.5" x14ac:dyDescent="0.35">
      <c r="A14" s="147" t="s">
        <v>94</v>
      </c>
      <c r="B14" s="210">
        <v>5388497.3200000003</v>
      </c>
      <c r="C14" s="210">
        <v>13024598.51</v>
      </c>
      <c r="D14" s="210">
        <f t="shared" si="0"/>
        <v>-7636101.1899999995</v>
      </c>
      <c r="E14" s="210">
        <f t="shared" si="1"/>
        <v>-76754938.879999995</v>
      </c>
      <c r="H14" s="182"/>
      <c r="I14" s="182"/>
    </row>
    <row r="15" spans="1:10" ht="14.5" x14ac:dyDescent="0.35">
      <c r="A15" s="147" t="s">
        <v>95</v>
      </c>
      <c r="B15" s="210">
        <v>5951681.71</v>
      </c>
      <c r="C15" s="210">
        <v>15892778.27</v>
      </c>
      <c r="D15" s="210">
        <f t="shared" si="0"/>
        <v>-9941096.5599999987</v>
      </c>
      <c r="E15" s="210">
        <f t="shared" si="1"/>
        <v>-86696035.439999998</v>
      </c>
      <c r="H15" s="182"/>
      <c r="I15" s="182"/>
    </row>
    <row r="16" spans="1:10" ht="14.5" x14ac:dyDescent="0.35">
      <c r="A16" s="147" t="s">
        <v>96</v>
      </c>
      <c r="B16" s="210">
        <v>7133674.2599999998</v>
      </c>
      <c r="C16" s="210">
        <v>17893972.34</v>
      </c>
      <c r="D16" s="210">
        <f t="shared" si="0"/>
        <v>-10760298.08</v>
      </c>
      <c r="E16" s="210">
        <f t="shared" si="1"/>
        <v>-97456333.519999996</v>
      </c>
      <c r="H16" s="71"/>
      <c r="I16" s="71"/>
      <c r="J16" s="611"/>
    </row>
    <row r="17" spans="1:10" ht="14.5" x14ac:dyDescent="0.35">
      <c r="A17" s="147" t="s">
        <v>97</v>
      </c>
      <c r="B17" s="210">
        <v>0</v>
      </c>
      <c r="C17" s="210">
        <v>0</v>
      </c>
      <c r="D17" s="210">
        <v>0</v>
      </c>
      <c r="E17" s="210">
        <f>+E16</f>
        <v>-97456333.519999996</v>
      </c>
      <c r="H17" s="71"/>
      <c r="I17" s="71"/>
      <c r="J17" s="611"/>
    </row>
    <row r="18" spans="1:10" ht="14.5" x14ac:dyDescent="0.35">
      <c r="A18" s="147" t="s">
        <v>98</v>
      </c>
      <c r="B18" s="210">
        <v>0</v>
      </c>
      <c r="C18" s="210">
        <v>0</v>
      </c>
      <c r="D18" s="210">
        <v>0</v>
      </c>
      <c r="E18" s="210"/>
      <c r="H18" s="182"/>
      <c r="I18" s="182"/>
    </row>
    <row r="19" spans="1:10" ht="14.5" x14ac:dyDescent="0.35">
      <c r="A19" s="147" t="s">
        <v>99</v>
      </c>
      <c r="B19" s="210">
        <v>0</v>
      </c>
      <c r="C19" s="210">
        <v>0</v>
      </c>
      <c r="D19" s="210">
        <v>0</v>
      </c>
      <c r="E19" s="210"/>
      <c r="H19" s="182"/>
      <c r="I19" s="182"/>
    </row>
    <row r="20" spans="1:10" ht="14.5" x14ac:dyDescent="0.35">
      <c r="A20" s="147" t="s">
        <v>100</v>
      </c>
      <c r="B20" s="210">
        <v>0</v>
      </c>
      <c r="C20" s="210">
        <v>0</v>
      </c>
      <c r="D20" s="210">
        <v>0</v>
      </c>
      <c r="E20" s="210"/>
      <c r="H20" s="182"/>
      <c r="I20" s="182"/>
    </row>
    <row r="21" spans="1:10" ht="14.5" x14ac:dyDescent="0.35">
      <c r="A21" s="147" t="s">
        <v>73</v>
      </c>
      <c r="B21" s="210">
        <f>SUM(B4:B20)</f>
        <v>150917095.80999997</v>
      </c>
      <c r="C21" s="210">
        <f>SUM(C4:C20)</f>
        <v>164172853.09</v>
      </c>
      <c r="D21" s="210">
        <f>SUM(D4:D20)</f>
        <v>-13255757.279999997</v>
      </c>
      <c r="E21" s="210"/>
      <c r="H21" s="182"/>
      <c r="I21" s="182"/>
    </row>
    <row r="22" spans="1:10" ht="14.5" x14ac:dyDescent="0.35">
      <c r="H22" s="182"/>
      <c r="I22" s="182"/>
    </row>
    <row r="23" spans="1:10" ht="14.5" x14ac:dyDescent="0.35">
      <c r="H23" s="182"/>
      <c r="I23" s="182"/>
    </row>
    <row r="24" spans="1:10" ht="14.5" x14ac:dyDescent="0.35">
      <c r="H24" s="182"/>
      <c r="I24" s="182"/>
    </row>
    <row r="25" spans="1:10" ht="14.5" x14ac:dyDescent="0.35">
      <c r="A25" s="652" t="s">
        <v>409</v>
      </c>
      <c r="H25" s="182"/>
      <c r="I25" s="182"/>
    </row>
    <row r="26" spans="1:10" ht="14.5" x14ac:dyDescent="0.35">
      <c r="A26" s="181" t="s">
        <v>79</v>
      </c>
      <c r="B26" s="181" t="s">
        <v>80</v>
      </c>
      <c r="C26" s="181" t="s">
        <v>81</v>
      </c>
      <c r="D26" s="181" t="s">
        <v>82</v>
      </c>
      <c r="E26" s="181" t="s">
        <v>83</v>
      </c>
      <c r="H26" s="182"/>
      <c r="I26" s="182"/>
    </row>
    <row r="27" spans="1:10" ht="14.5" x14ac:dyDescent="0.35">
      <c r="A27" s="180" t="s">
        <v>84</v>
      </c>
      <c r="B27" s="185">
        <v>0</v>
      </c>
      <c r="C27" s="185">
        <v>0</v>
      </c>
      <c r="D27" s="185">
        <v>0</v>
      </c>
      <c r="E27" s="185">
        <f>E16</f>
        <v>-97456333.519999996</v>
      </c>
      <c r="H27" s="182"/>
      <c r="I27" s="182"/>
    </row>
    <row r="28" spans="1:10" ht="14.5" x14ac:dyDescent="0.35">
      <c r="A28" s="251" t="s">
        <v>85</v>
      </c>
      <c r="B28" s="252">
        <v>7628082.54</v>
      </c>
      <c r="C28" s="252">
        <v>17697336.300000001</v>
      </c>
      <c r="D28" s="210">
        <f>+B28-C28</f>
        <v>-10069253.760000002</v>
      </c>
      <c r="E28" s="210">
        <f>+E27+D28</f>
        <v>-107525587.28</v>
      </c>
      <c r="H28" s="182"/>
      <c r="I28" s="182"/>
    </row>
    <row r="29" spans="1:10" ht="14.5" x14ac:dyDescent="0.35">
      <c r="A29" s="180" t="s">
        <v>86</v>
      </c>
      <c r="B29" s="185">
        <v>0</v>
      </c>
      <c r="C29" s="185">
        <v>0</v>
      </c>
      <c r="D29" s="185">
        <v>0</v>
      </c>
      <c r="E29" s="210">
        <f t="shared" ref="E29:E39" si="2">+E28+D29</f>
        <v>-107525587.28</v>
      </c>
      <c r="H29" s="182"/>
      <c r="I29" s="182"/>
    </row>
    <row r="30" spans="1:10" ht="14.5" x14ac:dyDescent="0.35">
      <c r="A30" s="180" t="s">
        <v>87</v>
      </c>
      <c r="B30" s="185">
        <v>0</v>
      </c>
      <c r="C30" s="185">
        <v>0</v>
      </c>
      <c r="D30" s="185">
        <v>0</v>
      </c>
      <c r="E30" s="210">
        <f t="shared" si="2"/>
        <v>-107525587.28</v>
      </c>
      <c r="H30" s="182"/>
      <c r="I30" s="182"/>
    </row>
    <row r="31" spans="1:10" ht="14.5" x14ac:dyDescent="0.35">
      <c r="A31" s="180" t="s">
        <v>88</v>
      </c>
      <c r="B31" s="185">
        <v>0</v>
      </c>
      <c r="C31" s="185">
        <v>0</v>
      </c>
      <c r="D31" s="185">
        <v>0</v>
      </c>
      <c r="E31" s="210">
        <f t="shared" si="2"/>
        <v>-107525587.28</v>
      </c>
      <c r="H31" s="182"/>
      <c r="I31" s="182"/>
    </row>
    <row r="32" spans="1:10" ht="14.5" x14ac:dyDescent="0.35">
      <c r="A32" s="180" t="s">
        <v>89</v>
      </c>
      <c r="B32" s="185">
        <v>0</v>
      </c>
      <c r="C32" s="185">
        <v>0</v>
      </c>
      <c r="D32" s="185">
        <v>0</v>
      </c>
      <c r="E32" s="210">
        <f t="shared" si="2"/>
        <v>-107525587.28</v>
      </c>
      <c r="H32" s="182"/>
      <c r="I32" s="182"/>
    </row>
    <row r="33" spans="1:9" ht="14.5" x14ac:dyDescent="0.35">
      <c r="A33" s="180" t="s">
        <v>90</v>
      </c>
      <c r="B33" s="185">
        <v>0</v>
      </c>
      <c r="C33" s="185">
        <v>0</v>
      </c>
      <c r="D33" s="185">
        <v>0</v>
      </c>
      <c r="E33" s="210">
        <f t="shared" si="2"/>
        <v>-107525587.28</v>
      </c>
      <c r="H33" s="182"/>
      <c r="I33" s="182"/>
    </row>
    <row r="34" spans="1:9" ht="14.5" x14ac:dyDescent="0.35">
      <c r="A34" s="180" t="s">
        <v>91</v>
      </c>
      <c r="B34" s="185">
        <v>0</v>
      </c>
      <c r="C34" s="185">
        <v>0</v>
      </c>
      <c r="D34" s="185">
        <v>0</v>
      </c>
      <c r="E34" s="210">
        <f t="shared" si="2"/>
        <v>-107525587.28</v>
      </c>
      <c r="H34" s="182"/>
      <c r="I34" s="182"/>
    </row>
    <row r="35" spans="1:9" ht="14.5" x14ac:dyDescent="0.35">
      <c r="A35" s="180" t="s">
        <v>92</v>
      </c>
      <c r="B35" s="185">
        <v>0</v>
      </c>
      <c r="C35" s="185">
        <v>0</v>
      </c>
      <c r="D35" s="185">
        <v>0</v>
      </c>
      <c r="E35" s="210">
        <f t="shared" si="2"/>
        <v>-107525587.28</v>
      </c>
      <c r="H35" s="182"/>
      <c r="I35" s="182"/>
    </row>
    <row r="36" spans="1:9" ht="14.5" x14ac:dyDescent="0.35">
      <c r="A36" s="180" t="s">
        <v>93</v>
      </c>
      <c r="B36" s="185">
        <v>0</v>
      </c>
      <c r="C36" s="185">
        <v>0</v>
      </c>
      <c r="D36" s="185">
        <v>0</v>
      </c>
      <c r="E36" s="210">
        <f t="shared" si="2"/>
        <v>-107525587.28</v>
      </c>
      <c r="H36" s="182"/>
      <c r="I36" s="182"/>
    </row>
    <row r="37" spans="1:9" ht="14.5" x14ac:dyDescent="0.35">
      <c r="A37" s="180" t="s">
        <v>94</v>
      </c>
      <c r="B37" s="185">
        <v>0</v>
      </c>
      <c r="C37" s="185">
        <v>0</v>
      </c>
      <c r="D37" s="185">
        <v>0</v>
      </c>
      <c r="E37" s="210">
        <f t="shared" si="2"/>
        <v>-107525587.28</v>
      </c>
      <c r="H37" s="182"/>
      <c r="I37" s="182"/>
    </row>
    <row r="38" spans="1:9" ht="14.5" x14ac:dyDescent="0.35">
      <c r="A38" s="180" t="s">
        <v>95</v>
      </c>
      <c r="B38" s="185">
        <v>0</v>
      </c>
      <c r="C38" s="185">
        <v>0</v>
      </c>
      <c r="D38" s="185">
        <v>0</v>
      </c>
      <c r="E38" s="210">
        <f t="shared" si="2"/>
        <v>-107525587.28</v>
      </c>
      <c r="H38" s="182"/>
      <c r="I38" s="182"/>
    </row>
    <row r="39" spans="1:9" ht="14.5" x14ac:dyDescent="0.35">
      <c r="A39" s="180" t="s">
        <v>96</v>
      </c>
      <c r="B39" s="185">
        <v>0</v>
      </c>
      <c r="C39" s="185">
        <v>0</v>
      </c>
      <c r="D39" s="185">
        <v>0</v>
      </c>
      <c r="E39" s="210">
        <f t="shared" si="2"/>
        <v>-107525587.28</v>
      </c>
      <c r="H39" s="182"/>
      <c r="I39" s="182"/>
    </row>
    <row r="40" spans="1:9" ht="14.5" x14ac:dyDescent="0.35">
      <c r="A40" s="180" t="s">
        <v>97</v>
      </c>
      <c r="B40" s="185">
        <v>0</v>
      </c>
      <c r="C40" s="185">
        <v>0</v>
      </c>
      <c r="D40" s="185">
        <v>0</v>
      </c>
      <c r="E40" s="185"/>
      <c r="H40" s="182"/>
      <c r="I40" s="182"/>
    </row>
    <row r="41" spans="1:9" ht="14.5" x14ac:dyDescent="0.35">
      <c r="A41" s="180" t="s">
        <v>98</v>
      </c>
      <c r="B41" s="185">
        <v>0</v>
      </c>
      <c r="C41" s="185">
        <v>0</v>
      </c>
      <c r="D41" s="185">
        <v>0</v>
      </c>
      <c r="E41" s="185"/>
      <c r="H41" s="182"/>
      <c r="I41" s="182"/>
    </row>
    <row r="42" spans="1:9" ht="14.5" x14ac:dyDescent="0.35">
      <c r="A42" s="180" t="s">
        <v>99</v>
      </c>
      <c r="B42" s="185">
        <v>0</v>
      </c>
      <c r="C42" s="185">
        <v>0</v>
      </c>
      <c r="D42" s="185">
        <v>0</v>
      </c>
      <c r="E42" s="185"/>
      <c r="H42" s="182"/>
      <c r="I42" s="182"/>
    </row>
    <row r="43" spans="1:9" ht="14.5" x14ac:dyDescent="0.35">
      <c r="A43" s="180" t="s">
        <v>100</v>
      </c>
      <c r="B43" s="185">
        <v>0</v>
      </c>
      <c r="C43" s="185">
        <v>0</v>
      </c>
      <c r="D43" s="185">
        <v>0</v>
      </c>
      <c r="E43" s="185"/>
      <c r="H43" s="73"/>
      <c r="I43" s="182"/>
    </row>
    <row r="44" spans="1:9" ht="14.5" x14ac:dyDescent="0.25">
      <c r="A44" s="180" t="s">
        <v>73</v>
      </c>
      <c r="B44" s="185">
        <f>SUM(B27:B43)</f>
        <v>7628082.54</v>
      </c>
      <c r="C44" s="185">
        <f>SUM(C27:C43)</f>
        <v>17697336.300000001</v>
      </c>
      <c r="D44" s="185">
        <f>SUM(D27:D43)</f>
        <v>-10069253.760000002</v>
      </c>
      <c r="E44" s="185"/>
      <c r="H44" s="73"/>
      <c r="I44" s="73"/>
    </row>
    <row r="45" spans="1:9" ht="14.5" x14ac:dyDescent="0.35">
      <c r="B45" s="211"/>
      <c r="C45" s="211"/>
      <c r="D45" s="211"/>
      <c r="E45" s="211"/>
      <c r="H45" s="73"/>
      <c r="I45" s="182"/>
    </row>
    <row r="46" spans="1:9" ht="14.5" x14ac:dyDescent="0.35">
      <c r="H46" s="73"/>
      <c r="I46" s="182"/>
    </row>
    <row r="47" spans="1:9" ht="14.5" x14ac:dyDescent="0.35">
      <c r="H47" s="73"/>
      <c r="I47" s="182"/>
    </row>
    <row r="48" spans="1:9" ht="14.5" x14ac:dyDescent="0.35">
      <c r="H48" s="73"/>
      <c r="I48" s="182"/>
    </row>
    <row r="49" spans="9:9" ht="14.5" x14ac:dyDescent="0.35">
      <c r="I49" s="182"/>
    </row>
    <row r="50" spans="9:9" ht="14.5" x14ac:dyDescent="0.35">
      <c r="I50" s="182"/>
    </row>
    <row r="51" spans="9:9" ht="14.5" x14ac:dyDescent="0.35">
      <c r="I51" s="182"/>
    </row>
    <row r="52" spans="9:9" ht="14.5" x14ac:dyDescent="0.35">
      <c r="I52" s="182"/>
    </row>
  </sheetData>
  <pageMargins left="0.7" right="0.7" top="0.75" bottom="0.75" header="0.3" footer="0.3"/>
  <customProperties>
    <customPr name="_pios_id" r:id="rId1"/>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pageSetUpPr fitToPage="1"/>
  </sheetPr>
  <dimension ref="A1:P53"/>
  <sheetViews>
    <sheetView workbookViewId="0">
      <pane xSplit="3" ySplit="4" topLeftCell="F29" activePane="bottomRight" state="frozen"/>
      <selection activeCell="G63" sqref="G63"/>
      <selection pane="topRight" activeCell="G63" sqref="G63"/>
      <selection pane="bottomLeft" activeCell="G63" sqref="G63"/>
      <selection pane="bottomRight" activeCell="B38" sqref="B38:I38"/>
    </sheetView>
  </sheetViews>
  <sheetFormatPr defaultColWidth="9.1796875" defaultRowHeight="12.5" x14ac:dyDescent="0.25"/>
  <cols>
    <col min="1" max="1" width="4.453125" style="530" bestFit="1" customWidth="1"/>
    <col min="2" max="2" width="24.1796875" style="530" customWidth="1"/>
    <col min="3" max="3" width="11" style="532" bestFit="1" customWidth="1"/>
    <col min="4" max="4" width="15" style="531" bestFit="1" customWidth="1"/>
    <col min="5" max="5" width="17.54296875" style="531" bestFit="1" customWidth="1"/>
    <col min="6" max="6" width="12.453125" style="530" customWidth="1"/>
    <col min="7" max="7" width="15.453125" style="531" bestFit="1" customWidth="1"/>
    <col min="8" max="8" width="13.54296875" style="530" bestFit="1" customWidth="1"/>
    <col min="9" max="9" width="11.453125" style="530" bestFit="1" customWidth="1"/>
    <col min="10" max="10" width="3.453125" style="530" customWidth="1"/>
    <col min="11" max="11" width="13.453125" style="530" bestFit="1" customWidth="1"/>
    <col min="12" max="12" width="13.54296875" style="530" bestFit="1" customWidth="1"/>
    <col min="13" max="13" width="13.453125" style="530" bestFit="1" customWidth="1"/>
    <col min="14" max="14" width="12.81640625" style="530" bestFit="1" customWidth="1"/>
    <col min="15" max="16384" width="9.1796875" style="530"/>
  </cols>
  <sheetData>
    <row r="1" spans="1:14" ht="13" x14ac:dyDescent="0.3">
      <c r="A1" s="708"/>
      <c r="B1" s="709" t="s">
        <v>403</v>
      </c>
      <c r="C1" s="709"/>
      <c r="D1" s="710"/>
      <c r="E1" s="710"/>
      <c r="F1" s="709"/>
      <c r="G1" s="710"/>
      <c r="H1" s="709"/>
      <c r="I1" s="711"/>
      <c r="K1" s="876"/>
    </row>
    <row r="2" spans="1:14" x14ac:dyDescent="0.25">
      <c r="A2" s="13"/>
      <c r="B2" s="14" t="s">
        <v>345</v>
      </c>
      <c r="C2" s="14"/>
      <c r="D2" s="877"/>
      <c r="E2" s="877"/>
      <c r="F2" s="14"/>
      <c r="G2" s="877"/>
      <c r="H2" s="14"/>
      <c r="I2" s="878"/>
    </row>
    <row r="3" spans="1:14" x14ac:dyDescent="0.25">
      <c r="A3" s="13"/>
      <c r="B3" s="48"/>
      <c r="C3" s="42"/>
      <c r="D3" s="31"/>
      <c r="E3" s="31"/>
      <c r="F3" s="48"/>
      <c r="G3" s="31"/>
      <c r="H3" s="48"/>
      <c r="I3" s="15"/>
      <c r="K3" s="911" t="s">
        <v>344</v>
      </c>
      <c r="L3" s="911"/>
      <c r="M3" s="911"/>
      <c r="N3" s="911"/>
    </row>
    <row r="4" spans="1:14" s="556" customFormat="1" ht="50" x14ac:dyDescent="0.25">
      <c r="A4" s="706" t="s">
        <v>243</v>
      </c>
      <c r="B4" s="40" t="s">
        <v>124</v>
      </c>
      <c r="C4" s="40" t="s">
        <v>125</v>
      </c>
      <c r="D4" s="642" t="s">
        <v>529</v>
      </c>
      <c r="E4" s="642" t="s">
        <v>530</v>
      </c>
      <c r="F4" s="643" t="s">
        <v>404</v>
      </c>
      <c r="G4" s="642" t="s">
        <v>405</v>
      </c>
      <c r="H4" s="643" t="s">
        <v>383</v>
      </c>
      <c r="I4" s="707" t="s">
        <v>384</v>
      </c>
      <c r="J4" s="644"/>
      <c r="K4" s="644" t="s">
        <v>343</v>
      </c>
      <c r="L4" s="644" t="s">
        <v>342</v>
      </c>
      <c r="M4" s="736" t="s">
        <v>406</v>
      </c>
      <c r="N4" s="736" t="s">
        <v>407</v>
      </c>
    </row>
    <row r="5" spans="1:14" s="556" customFormat="1" x14ac:dyDescent="0.25">
      <c r="A5" s="558"/>
      <c r="D5" s="712" t="s">
        <v>6</v>
      </c>
      <c r="E5" s="712" t="s">
        <v>7</v>
      </c>
      <c r="F5" s="644" t="s">
        <v>126</v>
      </c>
      <c r="G5" s="712" t="s">
        <v>341</v>
      </c>
      <c r="H5" s="644" t="s">
        <v>340</v>
      </c>
      <c r="I5" s="713" t="s">
        <v>385</v>
      </c>
      <c r="K5" s="556" t="s">
        <v>339</v>
      </c>
      <c r="L5" s="557" t="s">
        <v>338</v>
      </c>
      <c r="M5" s="556" t="s">
        <v>13</v>
      </c>
      <c r="N5" s="556" t="s">
        <v>176</v>
      </c>
    </row>
    <row r="6" spans="1:14" x14ac:dyDescent="0.25">
      <c r="A6" s="16">
        <v>1</v>
      </c>
      <c r="B6" s="48"/>
      <c r="C6" s="42"/>
      <c r="I6" s="554"/>
    </row>
    <row r="7" spans="1:14" x14ac:dyDescent="0.25">
      <c r="A7" s="16">
        <f>+A6+1</f>
        <v>2</v>
      </c>
      <c r="B7" s="19" t="s">
        <v>50</v>
      </c>
      <c r="C7" s="42">
        <v>7</v>
      </c>
      <c r="D7" s="531">
        <v>10772500000</v>
      </c>
      <c r="E7" s="537">
        <v>1186319000</v>
      </c>
      <c r="F7" s="539">
        <v>4.9230000000000003E-3</v>
      </c>
      <c r="G7" s="537">
        <v>1239352017.5</v>
      </c>
      <c r="H7" s="537">
        <v>53033017.5</v>
      </c>
      <c r="I7" s="552">
        <v>4.4703842305484444E-2</v>
      </c>
      <c r="K7" s="537">
        <f>+L7-H7</f>
        <v>-2816.1149804517627</v>
      </c>
      <c r="L7" s="537">
        <f>SUM(M7:N7)</f>
        <v>53030201.385019548</v>
      </c>
      <c r="M7" s="537">
        <v>66388957.498904042</v>
      </c>
      <c r="N7" s="537">
        <v>-13358756.113884494</v>
      </c>
    </row>
    <row r="8" spans="1:14" x14ac:dyDescent="0.25">
      <c r="A8" s="16">
        <f t="shared" ref="A8:A33" si="0">+A7+1</f>
        <v>3</v>
      </c>
      <c r="B8" s="19"/>
      <c r="C8" s="42"/>
      <c r="E8" s="537"/>
      <c r="F8" s="539"/>
      <c r="G8" s="537"/>
      <c r="H8" s="537"/>
      <c r="I8" s="555"/>
    </row>
    <row r="9" spans="1:14" x14ac:dyDescent="0.25">
      <c r="A9" s="16">
        <f t="shared" si="0"/>
        <v>4</v>
      </c>
      <c r="B9" s="714" t="s">
        <v>127</v>
      </c>
      <c r="C9" s="18" t="s">
        <v>244</v>
      </c>
      <c r="D9" s="531">
        <v>2721620000</v>
      </c>
      <c r="E9" s="537">
        <v>309391000</v>
      </c>
      <c r="F9" s="539">
        <v>4.8269999999999997E-3</v>
      </c>
      <c r="G9" s="537">
        <v>322528259.74000001</v>
      </c>
      <c r="H9" s="537">
        <v>13137259.74000001</v>
      </c>
      <c r="I9" s="552">
        <v>4.2461673868987818E-2</v>
      </c>
      <c r="K9" s="537">
        <f>+L9-H9</f>
        <v>117.41351057961583</v>
      </c>
      <c r="L9" s="537">
        <f>SUM(M9:N9)</f>
        <v>13137377.153510589</v>
      </c>
      <c r="M9" s="537">
        <v>16446793.53863189</v>
      </c>
      <c r="N9" s="537">
        <v>-3309416.3851213017</v>
      </c>
    </row>
    <row r="10" spans="1:14" x14ac:dyDescent="0.25">
      <c r="A10" s="16">
        <f t="shared" si="0"/>
        <v>5</v>
      </c>
      <c r="B10" s="715" t="s">
        <v>128</v>
      </c>
      <c r="C10" s="18" t="s">
        <v>245</v>
      </c>
      <c r="D10" s="531">
        <v>2889571000</v>
      </c>
      <c r="E10" s="537">
        <v>298737000</v>
      </c>
      <c r="F10" s="539">
        <v>4.9880000000000002E-3</v>
      </c>
      <c r="G10" s="537">
        <v>313150180.148</v>
      </c>
      <c r="H10" s="537">
        <v>14413180.148000002</v>
      </c>
      <c r="I10" s="552">
        <v>4.824705392368539E-2</v>
      </c>
      <c r="K10" s="537">
        <f>+L10-H10</f>
        <v>-2310.9281890764832</v>
      </c>
      <c r="L10" s="537">
        <f>SUM(M10:N10)</f>
        <v>14410869.219810925</v>
      </c>
      <c r="M10" s="537">
        <v>18041089.024160404</v>
      </c>
      <c r="N10" s="537">
        <v>-3630219.8043494779</v>
      </c>
    </row>
    <row r="11" spans="1:14" x14ac:dyDescent="0.25">
      <c r="A11" s="16">
        <f t="shared" si="0"/>
        <v>6</v>
      </c>
      <c r="B11" s="715" t="s">
        <v>129</v>
      </c>
      <c r="C11" s="18" t="s">
        <v>246</v>
      </c>
      <c r="D11" s="531">
        <v>1824302000</v>
      </c>
      <c r="E11" s="537">
        <v>174862000</v>
      </c>
      <c r="F11" s="539">
        <v>4.8869999999999999E-3</v>
      </c>
      <c r="G11" s="537">
        <v>183777363.87400001</v>
      </c>
      <c r="H11" s="537">
        <v>8915363.8740000129</v>
      </c>
      <c r="I11" s="552">
        <v>5.0985141849000999E-2</v>
      </c>
      <c r="K11" s="537">
        <f>+L11-H11</f>
        <v>561.64315170422196</v>
      </c>
      <c r="L11" s="537">
        <f>SUM(M11:N11)</f>
        <v>8915925.5171517171</v>
      </c>
      <c r="M11" s="537">
        <v>11161922.541534794</v>
      </c>
      <c r="N11" s="537">
        <v>-2245997.0243830774</v>
      </c>
    </row>
    <row r="12" spans="1:14" x14ac:dyDescent="0.25">
      <c r="A12" s="16">
        <f t="shared" si="0"/>
        <v>7</v>
      </c>
      <c r="B12" s="715" t="s">
        <v>130</v>
      </c>
      <c r="C12" s="42">
        <v>29</v>
      </c>
      <c r="D12" s="531">
        <v>15082000</v>
      </c>
      <c r="E12" s="537">
        <v>1281000</v>
      </c>
      <c r="F12" s="539">
        <v>4.052E-3</v>
      </c>
      <c r="G12" s="537">
        <v>1342112.264</v>
      </c>
      <c r="H12" s="537">
        <v>61112.263999999966</v>
      </c>
      <c r="I12" s="552">
        <v>4.7706685402029637E-2</v>
      </c>
      <c r="K12" s="537">
        <f>+L12-H12</f>
        <v>7.8745657389954431</v>
      </c>
      <c r="L12" s="537">
        <f>SUM(M12:N12)</f>
        <v>61120.138565738962</v>
      </c>
      <c r="M12" s="537">
        <v>76516.818258099738</v>
      </c>
      <c r="N12" s="537">
        <v>-15396.679692360778</v>
      </c>
    </row>
    <row r="13" spans="1:14" x14ac:dyDescent="0.25">
      <c r="A13" s="16">
        <f t="shared" si="0"/>
        <v>8</v>
      </c>
      <c r="B13" s="19"/>
      <c r="C13" s="42"/>
      <c r="E13" s="537"/>
      <c r="F13" s="539"/>
      <c r="G13" s="537"/>
      <c r="H13" s="537"/>
      <c r="I13" s="555"/>
    </row>
    <row r="14" spans="1:14" x14ac:dyDescent="0.25">
      <c r="A14" s="16">
        <f t="shared" si="0"/>
        <v>9</v>
      </c>
      <c r="B14" s="19" t="s">
        <v>131</v>
      </c>
      <c r="C14" s="42"/>
      <c r="D14" s="531">
        <v>7450575000</v>
      </c>
      <c r="E14" s="537">
        <v>784271000</v>
      </c>
      <c r="F14" s="539">
        <v>4.9030000000000002E-3</v>
      </c>
      <c r="G14" s="537">
        <v>820797916.02600014</v>
      </c>
      <c r="H14" s="537">
        <v>36526916.026000023</v>
      </c>
      <c r="I14" s="552">
        <v>4.6574355071142527E-2</v>
      </c>
    </row>
    <row r="15" spans="1:14" x14ac:dyDescent="0.25">
      <c r="A15" s="16">
        <f t="shared" si="0"/>
        <v>10</v>
      </c>
      <c r="B15" s="19"/>
      <c r="C15" s="42"/>
      <c r="E15" s="537"/>
      <c r="F15" s="539"/>
      <c r="G15" s="537"/>
      <c r="H15" s="537"/>
      <c r="I15" s="555"/>
    </row>
    <row r="16" spans="1:14" x14ac:dyDescent="0.25">
      <c r="A16" s="16">
        <f t="shared" si="0"/>
        <v>11</v>
      </c>
      <c r="B16" s="715" t="s">
        <v>132</v>
      </c>
      <c r="C16" s="18" t="s">
        <v>247</v>
      </c>
      <c r="D16" s="531">
        <v>1329253000</v>
      </c>
      <c r="E16" s="537">
        <v>125801000</v>
      </c>
      <c r="F16" s="539">
        <v>4.6820000000000004E-3</v>
      </c>
      <c r="G16" s="537">
        <v>132024562.546</v>
      </c>
      <c r="H16" s="537">
        <v>6223562.5460000038</v>
      </c>
      <c r="I16" s="552">
        <v>4.9471487078799087E-2</v>
      </c>
      <c r="K16" s="537">
        <f>+L16-H16</f>
        <v>-545.4686029125005</v>
      </c>
      <c r="L16" s="537">
        <f>SUM(M16:N16)</f>
        <v>6223017.0773970913</v>
      </c>
      <c r="M16" s="537">
        <v>7790647.6965214191</v>
      </c>
      <c r="N16" s="537">
        <v>-1567630.6191243283</v>
      </c>
    </row>
    <row r="17" spans="1:14" x14ac:dyDescent="0.25">
      <c r="A17" s="16">
        <f t="shared" si="0"/>
        <v>12</v>
      </c>
      <c r="B17" s="715" t="s">
        <v>133</v>
      </c>
      <c r="C17" s="42">
        <v>35</v>
      </c>
      <c r="D17" s="531">
        <v>4736000</v>
      </c>
      <c r="E17" s="537">
        <v>312000</v>
      </c>
      <c r="F17" s="539">
        <v>3.284E-3</v>
      </c>
      <c r="G17" s="537">
        <v>327553.02399999998</v>
      </c>
      <c r="H17" s="537">
        <v>15553.023999999976</v>
      </c>
      <c r="I17" s="552">
        <v>4.9849435897435818E-2</v>
      </c>
      <c r="K17" s="537">
        <f>+L17-H17</f>
        <v>0.71677112299948931</v>
      </c>
      <c r="L17" s="537">
        <f>SUM(M17:N17)</f>
        <v>15553.740771122975</v>
      </c>
      <c r="M17" s="537">
        <v>19471.859582542551</v>
      </c>
      <c r="N17" s="537">
        <v>-3918.1188114195766</v>
      </c>
    </row>
    <row r="18" spans="1:14" x14ac:dyDescent="0.25">
      <c r="A18" s="16">
        <f t="shared" si="0"/>
        <v>13</v>
      </c>
      <c r="B18" s="715" t="s">
        <v>134</v>
      </c>
      <c r="C18" s="42">
        <v>43</v>
      </c>
      <c r="D18" s="531">
        <v>119574000</v>
      </c>
      <c r="E18" s="537">
        <v>12082000</v>
      </c>
      <c r="F18" s="539">
        <v>3.5789999999999997E-3</v>
      </c>
      <c r="G18" s="537">
        <v>12509955.346000001</v>
      </c>
      <c r="H18" s="537">
        <v>427955.34600000083</v>
      </c>
      <c r="I18" s="552">
        <v>3.542090266512174E-2</v>
      </c>
      <c r="K18" s="537">
        <f>+L18-H18</f>
        <v>83.435540000733454</v>
      </c>
      <c r="L18" s="537">
        <f>SUM(M18:N18)</f>
        <v>428038.78154000157</v>
      </c>
      <c r="M18" s="537">
        <v>535865.36979603744</v>
      </c>
      <c r="N18" s="537">
        <v>-107826.58825603586</v>
      </c>
    </row>
    <row r="19" spans="1:14" x14ac:dyDescent="0.25">
      <c r="A19" s="16">
        <f t="shared" si="0"/>
        <v>14</v>
      </c>
      <c r="B19" s="17"/>
      <c r="C19" s="42"/>
      <c r="E19" s="537"/>
      <c r="F19" s="539"/>
      <c r="G19" s="537"/>
      <c r="H19" s="537"/>
      <c r="I19" s="555"/>
      <c r="L19" s="537"/>
    </row>
    <row r="20" spans="1:14" x14ac:dyDescent="0.25">
      <c r="A20" s="16">
        <f t="shared" si="0"/>
        <v>15</v>
      </c>
      <c r="B20" s="17" t="s">
        <v>136</v>
      </c>
      <c r="C20" s="42"/>
      <c r="D20" s="531">
        <v>1453563000</v>
      </c>
      <c r="E20" s="537">
        <v>138195000</v>
      </c>
      <c r="F20" s="539">
        <v>4.5869999999999999E-3</v>
      </c>
      <c r="G20" s="537">
        <v>144862070.91600001</v>
      </c>
      <c r="H20" s="537">
        <v>6667070.9160000049</v>
      </c>
      <c r="I20" s="552">
        <v>4.8243937305980714E-2</v>
      </c>
      <c r="L20" s="537"/>
    </row>
    <row r="21" spans="1:14" x14ac:dyDescent="0.25">
      <c r="A21" s="16">
        <f t="shared" si="0"/>
        <v>16</v>
      </c>
      <c r="B21" s="17"/>
      <c r="C21" s="42"/>
      <c r="E21" s="537"/>
      <c r="F21" s="539"/>
      <c r="G21" s="537"/>
      <c r="H21" s="537"/>
      <c r="I21" s="555"/>
      <c r="L21" s="537"/>
    </row>
    <row r="22" spans="1:14" x14ac:dyDescent="0.25">
      <c r="A22" s="16">
        <f t="shared" si="0"/>
        <v>17</v>
      </c>
      <c r="B22" s="715" t="s">
        <v>137</v>
      </c>
      <c r="C22" s="42">
        <v>46</v>
      </c>
      <c r="D22" s="531">
        <v>89921000</v>
      </c>
      <c r="E22" s="537">
        <v>6652000</v>
      </c>
      <c r="F22" s="539">
        <v>2.9849999999999998E-3</v>
      </c>
      <c r="G22" s="537">
        <v>6920414.1849999996</v>
      </c>
      <c r="H22" s="537">
        <v>268414.18499999959</v>
      </c>
      <c r="I22" s="552">
        <v>4.035089972940463E-2</v>
      </c>
      <c r="K22" s="537">
        <f>+L22-H22</f>
        <v>9.984738421626389</v>
      </c>
      <c r="L22" s="537">
        <f>SUM(M22:N22)</f>
        <v>268424.16973842122</v>
      </c>
      <c r="M22" s="537">
        <v>336042.48769601545</v>
      </c>
      <c r="N22" s="537">
        <v>-67618.317957594205</v>
      </c>
    </row>
    <row r="23" spans="1:14" x14ac:dyDescent="0.25">
      <c r="A23" s="16">
        <f t="shared" si="0"/>
        <v>18</v>
      </c>
      <c r="B23" s="714" t="s">
        <v>138</v>
      </c>
      <c r="C23" s="42">
        <v>49</v>
      </c>
      <c r="D23" s="531">
        <v>512177000</v>
      </c>
      <c r="E23" s="537">
        <v>37100000</v>
      </c>
      <c r="F23" s="539">
        <v>4.496E-3</v>
      </c>
      <c r="G23" s="537">
        <v>39402747.792000003</v>
      </c>
      <c r="H23" s="537">
        <v>2302747.7920000032</v>
      </c>
      <c r="I23" s="552">
        <v>6.2068673638814104E-2</v>
      </c>
      <c r="K23" s="537">
        <f>+L23-H23</f>
        <v>201.58051724685356</v>
      </c>
      <c r="L23" s="537">
        <f>SUM(M23:N23)</f>
        <v>2302949.37251725</v>
      </c>
      <c r="M23" s="537">
        <v>2883081.791527296</v>
      </c>
      <c r="N23" s="537">
        <v>-580132.41901004582</v>
      </c>
    </row>
    <row r="24" spans="1:14" x14ac:dyDescent="0.25">
      <c r="A24" s="16">
        <f t="shared" si="0"/>
        <v>19</v>
      </c>
      <c r="B24" s="19"/>
      <c r="C24" s="42"/>
      <c r="E24" s="537"/>
      <c r="F24" s="539"/>
      <c r="G24" s="537"/>
      <c r="H24" s="537"/>
      <c r="I24" s="552" t="str">
        <f>IF(E24=0,"n/a",+H24/E24)</f>
        <v>n/a</v>
      </c>
      <c r="K24" s="537"/>
      <c r="L24" s="537"/>
      <c r="M24" s="537"/>
      <c r="N24" s="537"/>
    </row>
    <row r="25" spans="1:14" x14ac:dyDescent="0.25">
      <c r="A25" s="16">
        <f t="shared" si="0"/>
        <v>20</v>
      </c>
      <c r="B25" s="19" t="s">
        <v>139</v>
      </c>
      <c r="C25" s="42"/>
      <c r="D25" s="531">
        <v>602098000</v>
      </c>
      <c r="E25" s="537">
        <v>43752000</v>
      </c>
      <c r="F25" s="539">
        <v>4.2700000000000004E-3</v>
      </c>
      <c r="G25" s="537">
        <v>46323161.977000006</v>
      </c>
      <c r="H25" s="537">
        <v>2571161.9770000027</v>
      </c>
      <c r="I25" s="552">
        <v>5.8766730138050893E-2</v>
      </c>
      <c r="K25" s="537">
        <f>+L25-H25</f>
        <v>-2571161.9770000027</v>
      </c>
      <c r="L25" s="537">
        <f>SUM(M25:N25)</f>
        <v>0</v>
      </c>
      <c r="M25" s="537">
        <v>0</v>
      </c>
      <c r="N25" s="537">
        <v>0</v>
      </c>
    </row>
    <row r="26" spans="1:14" x14ac:dyDescent="0.25">
      <c r="A26" s="16">
        <f t="shared" si="0"/>
        <v>21</v>
      </c>
      <c r="B26" s="19"/>
      <c r="C26" s="42"/>
      <c r="E26" s="537"/>
      <c r="F26" s="539"/>
      <c r="G26" s="537"/>
      <c r="H26" s="537"/>
      <c r="I26" s="555"/>
      <c r="L26" s="537"/>
    </row>
    <row r="27" spans="1:14" x14ac:dyDescent="0.25">
      <c r="A27" s="16">
        <f t="shared" si="0"/>
        <v>22</v>
      </c>
      <c r="B27" s="19" t="s">
        <v>248</v>
      </c>
      <c r="C27" s="42" t="s">
        <v>135</v>
      </c>
      <c r="D27" s="531">
        <v>1959816000</v>
      </c>
      <c r="E27" s="537">
        <v>9968000</v>
      </c>
      <c r="F27" s="539">
        <v>1.351E-3</v>
      </c>
      <c r="G27" s="537">
        <v>12615711.416000001</v>
      </c>
      <c r="H27" s="537">
        <v>2647711.4160000011</v>
      </c>
      <c r="I27" s="552">
        <v>0.26562112921348324</v>
      </c>
      <c r="K27" s="537">
        <f>+L27-H27</f>
        <v>0</v>
      </c>
      <c r="L27" s="537">
        <f>SUM(M27:N27)</f>
        <v>2647711.4160000002</v>
      </c>
      <c r="M27" s="537">
        <v>2647711.4160000002</v>
      </c>
      <c r="N27" s="537">
        <v>0</v>
      </c>
    </row>
    <row r="28" spans="1:14" x14ac:dyDescent="0.25">
      <c r="A28" s="16">
        <f t="shared" si="0"/>
        <v>23</v>
      </c>
      <c r="B28" s="19"/>
      <c r="C28" s="42"/>
      <c r="E28" s="537"/>
      <c r="F28" s="539"/>
      <c r="H28" s="537"/>
      <c r="I28" s="552"/>
      <c r="L28" s="537"/>
    </row>
    <row r="29" spans="1:14" x14ac:dyDescent="0.25">
      <c r="A29" s="16">
        <f t="shared" si="0"/>
        <v>24</v>
      </c>
      <c r="B29" s="19" t="s">
        <v>353</v>
      </c>
      <c r="C29" s="42" t="s">
        <v>354</v>
      </c>
      <c r="D29" s="531">
        <v>289426000</v>
      </c>
      <c r="E29" s="537">
        <v>4972000</v>
      </c>
      <c r="F29" s="539">
        <v>5.2480000000000001E-3</v>
      </c>
      <c r="G29" s="537">
        <v>6490907.648</v>
      </c>
      <c r="H29" s="537">
        <v>1518907.648</v>
      </c>
      <c r="I29" s="552">
        <v>0.30549228640386161</v>
      </c>
      <c r="K29" s="537">
        <f>+L29-H29</f>
        <v>16.199244870105758</v>
      </c>
      <c r="L29" s="537">
        <f>SUM(M29:N29)</f>
        <v>1518923.8472448702</v>
      </c>
      <c r="M29" s="537">
        <v>1901553.6072864628</v>
      </c>
      <c r="N29" s="537">
        <v>-382629.7600415927</v>
      </c>
    </row>
    <row r="30" spans="1:14" x14ac:dyDescent="0.25">
      <c r="A30" s="16">
        <f t="shared" si="0"/>
        <v>25</v>
      </c>
      <c r="B30" s="48"/>
      <c r="C30" s="42"/>
      <c r="E30" s="537"/>
      <c r="F30" s="539"/>
      <c r="G30" s="537"/>
      <c r="H30" s="537"/>
      <c r="I30" s="552"/>
      <c r="K30" s="537"/>
      <c r="L30" s="537"/>
      <c r="M30" s="537"/>
      <c r="N30" s="537"/>
    </row>
    <row r="31" spans="1:14" x14ac:dyDescent="0.25">
      <c r="A31" s="16">
        <f t="shared" si="0"/>
        <v>26</v>
      </c>
      <c r="B31" s="48" t="s">
        <v>140</v>
      </c>
      <c r="C31" s="18" t="s">
        <v>249</v>
      </c>
      <c r="D31" s="531">
        <v>63800000</v>
      </c>
      <c r="E31" s="537">
        <v>16663000</v>
      </c>
      <c r="F31" s="539">
        <v>4.8219999999999999E-3</v>
      </c>
      <c r="G31" s="537">
        <v>16970643.600000001</v>
      </c>
      <c r="H31" s="537">
        <v>307643.60000000149</v>
      </c>
      <c r="I31" s="552">
        <v>1.8462677789113695E-2</v>
      </c>
      <c r="K31" s="537">
        <f t="shared" ref="K31" si="1">+L31-H31</f>
        <v>-58.51107390888501</v>
      </c>
      <c r="L31" s="537">
        <f t="shared" ref="L31" si="2">SUM(M31:N31)</f>
        <v>307585.08892609261</v>
      </c>
      <c r="M31" s="537">
        <v>385068.37354344799</v>
      </c>
      <c r="N31" s="537">
        <v>-77483.284617355414</v>
      </c>
    </row>
    <row r="32" spans="1:14" x14ac:dyDescent="0.25">
      <c r="A32" s="16">
        <f t="shared" si="0"/>
        <v>27</v>
      </c>
      <c r="B32" s="48"/>
      <c r="C32" s="42"/>
      <c r="E32" s="537"/>
      <c r="F32" s="539"/>
      <c r="G32" s="537"/>
      <c r="H32" s="537"/>
      <c r="I32" s="555"/>
      <c r="L32" s="537"/>
    </row>
    <row r="33" spans="1:16" x14ac:dyDescent="0.25">
      <c r="A33" s="16">
        <f t="shared" si="0"/>
        <v>28</v>
      </c>
      <c r="B33" s="19" t="s">
        <v>73</v>
      </c>
      <c r="C33" s="42"/>
      <c r="D33" s="646">
        <f>SUM(D7,D14,D20,D25,D27,D29,D31)</f>
        <v>22591778000</v>
      </c>
      <c r="E33" s="50">
        <f>SUM(E7,E14,E20,E25,E27,E29,E31)</f>
        <v>2184140000</v>
      </c>
      <c r="F33" s="645">
        <f>ROUND(($D7*F7+$D14*F14+$D20*F20+$D25*F25+$D27*F27+$D29*F29+$D31*F31)/$D33,6)</f>
        <v>4.5710000000000004E-3</v>
      </c>
      <c r="G33" s="50">
        <f>SUM(G7,G14,G20,G25,G27,G29,G31)</f>
        <v>2287412429.0829997</v>
      </c>
      <c r="H33" s="50">
        <f>+G33-E33</f>
        <v>103272429.08299971</v>
      </c>
      <c r="I33" s="737">
        <f>IF(E33=0,"n/a",+H33/E33)</f>
        <v>4.728287979845601E-2</v>
      </c>
      <c r="K33" s="537">
        <f>+L33-H33</f>
        <v>-4732.1748063266277</v>
      </c>
      <c r="L33" s="537">
        <f>SUM(M33:N33)</f>
        <v>103267696.90819338</v>
      </c>
      <c r="M33" s="50">
        <f>SUM(M7:M31)</f>
        <v>128614722.02344246</v>
      </c>
      <c r="N33" s="50">
        <f>SUM(N7:N31)</f>
        <v>-25347025.11524909</v>
      </c>
    </row>
    <row r="34" spans="1:16" ht="13" thickBot="1" x14ac:dyDescent="0.3">
      <c r="A34" s="716"/>
      <c r="B34" s="717"/>
      <c r="C34" s="718"/>
      <c r="D34" s="738"/>
      <c r="E34" s="738"/>
      <c r="F34" s="717"/>
      <c r="G34" s="738"/>
      <c r="H34" s="717"/>
      <c r="I34" s="739"/>
      <c r="L34" s="537"/>
    </row>
    <row r="35" spans="1:16" x14ac:dyDescent="0.25">
      <c r="A35" s="553"/>
      <c r="B35" s="48"/>
      <c r="K35" s="537"/>
      <c r="L35" s="537"/>
      <c r="M35" s="50"/>
      <c r="N35" s="50"/>
    </row>
    <row r="36" spans="1:16" ht="13" thickBot="1" x14ac:dyDescent="0.3">
      <c r="A36" s="551"/>
      <c r="B36" s="548"/>
      <c r="C36" s="550"/>
      <c r="D36" s="549"/>
      <c r="E36" s="549"/>
      <c r="F36" s="548"/>
      <c r="G36" s="549"/>
      <c r="H36" s="548"/>
      <c r="I36" s="547"/>
    </row>
    <row r="37" spans="1:16" x14ac:dyDescent="0.25">
      <c r="K37" s="537"/>
      <c r="N37" s="646"/>
      <c r="O37" s="50"/>
      <c r="P37" s="645"/>
    </row>
    <row r="38" spans="1:16" ht="13.4" customHeight="1" x14ac:dyDescent="0.25">
      <c r="B38" s="912" t="s">
        <v>408</v>
      </c>
      <c r="C38" s="912"/>
      <c r="D38" s="912"/>
      <c r="E38" s="912"/>
      <c r="F38" s="912"/>
      <c r="G38" s="912"/>
      <c r="H38" s="912"/>
      <c r="I38" s="912"/>
      <c r="J38" s="546"/>
      <c r="K38" s="546"/>
    </row>
    <row r="39" spans="1:16" x14ac:dyDescent="0.25">
      <c r="K39" s="537"/>
    </row>
    <row r="40" spans="1:16" x14ac:dyDescent="0.25">
      <c r="B40" s="545" t="s">
        <v>337</v>
      </c>
      <c r="D40" s="543"/>
      <c r="E40" s="544"/>
      <c r="H40" s="537">
        <v>100619985.49219334</v>
      </c>
      <c r="K40" s="537"/>
    </row>
    <row r="41" spans="1:16" x14ac:dyDescent="0.25">
      <c r="B41" s="545" t="s">
        <v>336</v>
      </c>
      <c r="D41" s="543"/>
      <c r="E41" s="543"/>
      <c r="H41" s="537">
        <v>2647711.4160000002</v>
      </c>
      <c r="I41" s="537"/>
    </row>
    <row r="42" spans="1:16" x14ac:dyDescent="0.25">
      <c r="B42" s="545"/>
      <c r="D42" s="543"/>
      <c r="E42" s="543"/>
      <c r="H42" s="537">
        <v>103267696.90819333</v>
      </c>
      <c r="I42" s="537"/>
    </row>
    <row r="43" spans="1:16" x14ac:dyDescent="0.25">
      <c r="B43" s="545" t="s">
        <v>335</v>
      </c>
      <c r="D43" s="543"/>
      <c r="E43" s="544"/>
      <c r="H43" s="537">
        <v>-4732.1748066991568</v>
      </c>
    </row>
    <row r="44" spans="1:16" x14ac:dyDescent="0.25">
      <c r="D44" s="543"/>
      <c r="E44" s="543"/>
    </row>
    <row r="45" spans="1:16" x14ac:dyDescent="0.25">
      <c r="D45" s="543"/>
      <c r="E45" s="543"/>
    </row>
    <row r="46" spans="1:16" ht="13" x14ac:dyDescent="0.3">
      <c r="A46" s="541" t="s">
        <v>524</v>
      </c>
      <c r="B46" s="541"/>
      <c r="C46" s="541"/>
      <c r="D46" s="542"/>
      <c r="E46" s="542"/>
      <c r="F46" s="541"/>
      <c r="G46" s="542"/>
      <c r="H46" s="541"/>
      <c r="I46" s="541"/>
      <c r="J46" s="541"/>
      <c r="K46" s="541"/>
      <c r="L46" s="541"/>
      <c r="M46" s="541"/>
    </row>
    <row r="47" spans="1:16" x14ac:dyDescent="0.25">
      <c r="G47" s="540" t="s">
        <v>295</v>
      </c>
    </row>
    <row r="48" spans="1:16" x14ac:dyDescent="0.25">
      <c r="B48" s="530" t="s">
        <v>334</v>
      </c>
      <c r="D48" s="531">
        <f>D33</f>
        <v>22591778000</v>
      </c>
      <c r="F48" s="539">
        <f>ROUND(H48/D48,6)</f>
        <v>4.5710000000000004E-3</v>
      </c>
      <c r="G48" s="538">
        <f>F33-F48</f>
        <v>0</v>
      </c>
      <c r="H48" s="537">
        <f>H33</f>
        <v>103272429.08299971</v>
      </c>
    </row>
    <row r="49" spans="2:8" x14ac:dyDescent="0.25">
      <c r="B49" s="530" t="s">
        <v>294</v>
      </c>
      <c r="D49" s="531">
        <f>-D27</f>
        <v>-1959816000</v>
      </c>
      <c r="F49" s="539">
        <f>-ROUND(H49/D49,6)</f>
        <v>-1.351E-3</v>
      </c>
      <c r="G49" s="538">
        <f>F27+F49</f>
        <v>0</v>
      </c>
      <c r="H49" s="531">
        <f>-H27</f>
        <v>-2647711.4160000011</v>
      </c>
    </row>
    <row r="50" spans="2:8" ht="13" thickBot="1" x14ac:dyDescent="0.3">
      <c r="B50" s="530" t="s">
        <v>333</v>
      </c>
      <c r="D50" s="536">
        <f>SUM(D48:D49)</f>
        <v>20631962000</v>
      </c>
      <c r="F50" s="534">
        <f>ROUND(H50/D50,6)</f>
        <v>4.8770000000000003E-3</v>
      </c>
      <c r="H50" s="535">
        <f>SUM(H48:H49)</f>
        <v>100624717.6669997</v>
      </c>
    </row>
    <row r="51" spans="2:8" ht="13" thickTop="1" x14ac:dyDescent="0.25">
      <c r="B51" s="530" t="s">
        <v>332</v>
      </c>
      <c r="F51" s="43">
        <v>0.95111500000000004</v>
      </c>
    </row>
    <row r="52" spans="2:8" ht="13" thickBot="1" x14ac:dyDescent="0.3">
      <c r="B52" s="530" t="s">
        <v>331</v>
      </c>
      <c r="F52" s="563">
        <f>F50*F51</f>
        <v>4.6385878550000001E-3</v>
      </c>
      <c r="G52" s="531" t="s">
        <v>346</v>
      </c>
    </row>
    <row r="53" spans="2:8" ht="13" thickTop="1" x14ac:dyDescent="0.25">
      <c r="E53" s="533"/>
      <c r="F53" s="533"/>
    </row>
  </sheetData>
  <mergeCells count="2">
    <mergeCell ref="K3:N3"/>
    <mergeCell ref="B38:I38"/>
  </mergeCells>
  <printOptions horizontalCentered="1"/>
  <pageMargins left="0.7" right="0.7" top="0.75" bottom="0.75" header="0.3" footer="0.3"/>
  <pageSetup scale="64" orientation="landscape" r:id="rId1"/>
  <headerFooter alignWithMargins="0">
    <oddHeader>&amp;RAdvice No. 2019-xx
Electric Schedule 120 Rate Design Workpapers
Page &amp;P of &amp;N</oddHeader>
    <oddFooter>&amp;L&amp;F
&amp;A&amp;R&amp;D</oddFooter>
  </headerFooter>
  <customProperties>
    <customPr name="_pios_id" r:id="rId2"/>
  </customProperties>
  <drawing r:id="rId3"/>
  <legacy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A0C7"/>
  </sheetPr>
  <dimension ref="A1:S55"/>
  <sheetViews>
    <sheetView workbookViewId="0">
      <pane xSplit="4" ySplit="6" topLeftCell="J28" activePane="bottomRight" state="frozen"/>
      <selection activeCell="I24" sqref="I24"/>
      <selection pane="topRight" activeCell="I24" sqref="I24"/>
      <selection pane="bottomLeft" activeCell="I24" sqref="I24"/>
      <selection pane="bottomRight" activeCell="I15" sqref="I15"/>
    </sheetView>
  </sheetViews>
  <sheetFormatPr defaultColWidth="8.81640625" defaultRowHeight="14.5" x14ac:dyDescent="0.35"/>
  <cols>
    <col min="1" max="1" width="8.81640625" style="71" customWidth="1"/>
    <col min="2" max="2" width="6.453125" style="71" bestFit="1" customWidth="1"/>
    <col min="3" max="3" width="9.54296875" style="71" bestFit="1" customWidth="1"/>
    <col min="4" max="4" width="8.81640625" style="71"/>
    <col min="5" max="5" width="11.453125" style="71" bestFit="1" customWidth="1"/>
    <col min="6" max="6" width="10.54296875" style="71" bestFit="1" customWidth="1"/>
    <col min="7" max="7" width="10.453125" style="71" bestFit="1" customWidth="1"/>
    <col min="8" max="8" width="9" style="71" bestFit="1" customWidth="1"/>
    <col min="9" max="9" width="6.81640625" style="71" bestFit="1" customWidth="1"/>
    <col min="10" max="10" width="13.54296875" style="71" bestFit="1" customWidth="1"/>
    <col min="11" max="11" width="10.453125" style="71" bestFit="1" customWidth="1"/>
    <col min="12" max="12" width="11.453125" style="71" bestFit="1" customWidth="1"/>
    <col min="13" max="13" width="13.1796875" style="71" bestFit="1" customWidth="1"/>
    <col min="14" max="14" width="19.453125" style="71" bestFit="1" customWidth="1"/>
    <col min="15" max="15" width="11.453125" style="71" bestFit="1" customWidth="1"/>
    <col min="16" max="16" width="8.81640625" style="71"/>
    <col min="17" max="17" width="10.54296875" style="71" bestFit="1" customWidth="1"/>
    <col min="18" max="18" width="8.81640625" style="71"/>
    <col min="19" max="19" width="10.54296875" style="71" bestFit="1" customWidth="1"/>
    <col min="20" max="16384" width="8.81640625" style="71"/>
  </cols>
  <sheetData>
    <row r="1" spans="1:15" ht="31" x14ac:dyDescent="0.7">
      <c r="A1" s="783" t="s">
        <v>531</v>
      </c>
    </row>
    <row r="2" spans="1:15" ht="21" x14ac:dyDescent="0.5">
      <c r="A2" s="784" t="s">
        <v>101</v>
      </c>
    </row>
    <row r="3" spans="1:15" ht="15" thickBot="1" x14ac:dyDescent="0.4">
      <c r="A3" s="71" t="s">
        <v>498</v>
      </c>
    </row>
    <row r="4" spans="1:15" x14ac:dyDescent="0.35">
      <c r="E4" s="913" t="s">
        <v>102</v>
      </c>
      <c r="F4" s="914"/>
      <c r="G4" s="914"/>
      <c r="H4" s="914"/>
      <c r="I4" s="914"/>
      <c r="J4" s="914"/>
      <c r="K4" s="914"/>
      <c r="L4" s="914"/>
      <c r="M4" s="914"/>
      <c r="N4" s="914"/>
      <c r="O4" s="915"/>
    </row>
    <row r="5" spans="1:15" x14ac:dyDescent="0.35">
      <c r="A5" s="66" t="s">
        <v>103</v>
      </c>
      <c r="B5" s="66" t="s">
        <v>104</v>
      </c>
      <c r="C5" s="66" t="s">
        <v>105</v>
      </c>
      <c r="E5" s="67" t="s">
        <v>50</v>
      </c>
      <c r="F5" s="65" t="s">
        <v>51</v>
      </c>
      <c r="G5" s="65" t="s">
        <v>52</v>
      </c>
      <c r="H5" s="65" t="s">
        <v>106</v>
      </c>
      <c r="I5" s="65" t="s">
        <v>107</v>
      </c>
      <c r="J5" s="65" t="s">
        <v>108</v>
      </c>
      <c r="K5" s="65" t="s">
        <v>109</v>
      </c>
      <c r="L5" s="65" t="s">
        <v>110</v>
      </c>
      <c r="M5" s="65" t="s">
        <v>111</v>
      </c>
      <c r="N5" s="65" t="s">
        <v>112</v>
      </c>
      <c r="O5" s="68" t="s">
        <v>113</v>
      </c>
    </row>
    <row r="6" spans="1:15" x14ac:dyDescent="0.35">
      <c r="E6" s="70"/>
      <c r="F6" s="69"/>
      <c r="G6" s="69"/>
      <c r="H6" s="69"/>
      <c r="I6" s="69"/>
      <c r="J6" s="69"/>
      <c r="K6" s="69"/>
      <c r="L6" s="69"/>
      <c r="M6" s="69"/>
      <c r="N6" s="69"/>
      <c r="O6" s="64"/>
    </row>
    <row r="8" spans="1:15" x14ac:dyDescent="0.35">
      <c r="A8" s="66">
        <v>2022</v>
      </c>
      <c r="B8" s="66">
        <v>1</v>
      </c>
      <c r="C8" s="580">
        <f t="shared" ref="C8:C55" si="0">DATE(A8,B8,1)</f>
        <v>44562</v>
      </c>
      <c r="E8" s="703">
        <v>1206091</v>
      </c>
      <c r="F8" s="704">
        <v>737463</v>
      </c>
      <c r="G8" s="704">
        <v>79323</v>
      </c>
      <c r="H8" s="704">
        <v>6368</v>
      </c>
      <c r="I8" s="704">
        <v>995</v>
      </c>
      <c r="J8" s="704">
        <v>2030240</v>
      </c>
      <c r="K8" s="704">
        <v>171756</v>
      </c>
      <c r="L8" s="704">
        <v>2201996</v>
      </c>
      <c r="M8" s="704">
        <v>2243</v>
      </c>
      <c r="N8" s="704">
        <v>190</v>
      </c>
      <c r="O8" s="705">
        <f t="shared" ref="O8:O48" si="1">SUM(L8:N8)</f>
        <v>2204429</v>
      </c>
    </row>
    <row r="9" spans="1:15" x14ac:dyDescent="0.35">
      <c r="A9" s="66">
        <v>2022</v>
      </c>
      <c r="B9" s="66">
        <v>2</v>
      </c>
      <c r="C9" s="580">
        <f t="shared" si="0"/>
        <v>44593</v>
      </c>
      <c r="E9" s="703">
        <v>1043330</v>
      </c>
      <c r="F9" s="704">
        <v>682331</v>
      </c>
      <c r="G9" s="704">
        <v>79474</v>
      </c>
      <c r="H9" s="704">
        <v>5926</v>
      </c>
      <c r="I9" s="704">
        <v>880</v>
      </c>
      <c r="J9" s="704">
        <v>1811941</v>
      </c>
      <c r="K9" s="704">
        <v>153288</v>
      </c>
      <c r="L9" s="704">
        <v>1965229</v>
      </c>
      <c r="M9" s="704">
        <v>2355</v>
      </c>
      <c r="N9" s="704">
        <v>199</v>
      </c>
      <c r="O9" s="705">
        <f t="shared" si="1"/>
        <v>1967783</v>
      </c>
    </row>
    <row r="10" spans="1:15" x14ac:dyDescent="0.35">
      <c r="A10" s="66">
        <v>2022</v>
      </c>
      <c r="B10" s="66">
        <v>3</v>
      </c>
      <c r="C10" s="580">
        <f t="shared" si="0"/>
        <v>44621</v>
      </c>
      <c r="E10" s="703">
        <v>1030240</v>
      </c>
      <c r="F10" s="704">
        <v>723779</v>
      </c>
      <c r="G10" s="704">
        <v>88157</v>
      </c>
      <c r="H10" s="704">
        <v>5458</v>
      </c>
      <c r="I10" s="704">
        <v>781</v>
      </c>
      <c r="J10" s="704">
        <v>1848415</v>
      </c>
      <c r="K10" s="704">
        <v>156374</v>
      </c>
      <c r="L10" s="704">
        <v>2004789</v>
      </c>
      <c r="M10" s="704">
        <v>2263</v>
      </c>
      <c r="N10" s="704">
        <v>191</v>
      </c>
      <c r="O10" s="705">
        <f t="shared" si="1"/>
        <v>2007243</v>
      </c>
    </row>
    <row r="11" spans="1:15" x14ac:dyDescent="0.35">
      <c r="A11" s="66">
        <v>2022</v>
      </c>
      <c r="B11" s="66">
        <v>4</v>
      </c>
      <c r="C11" s="580">
        <f t="shared" si="0"/>
        <v>44652</v>
      </c>
      <c r="E11" s="703">
        <v>922828</v>
      </c>
      <c r="F11" s="704">
        <v>707336</v>
      </c>
      <c r="G11" s="704">
        <v>89203</v>
      </c>
      <c r="H11" s="704">
        <v>5756</v>
      </c>
      <c r="I11" s="704">
        <v>646</v>
      </c>
      <c r="J11" s="704">
        <v>1725769</v>
      </c>
      <c r="K11" s="704">
        <v>145998</v>
      </c>
      <c r="L11" s="704">
        <v>1871767</v>
      </c>
      <c r="M11" s="704">
        <v>2101</v>
      </c>
      <c r="N11" s="704">
        <v>178</v>
      </c>
      <c r="O11" s="705">
        <f t="shared" si="1"/>
        <v>1874046</v>
      </c>
    </row>
    <row r="12" spans="1:15" x14ac:dyDescent="0.35">
      <c r="A12" s="66">
        <v>2022</v>
      </c>
      <c r="B12" s="66">
        <v>5</v>
      </c>
      <c r="C12" s="580">
        <f t="shared" si="0"/>
        <v>44682</v>
      </c>
      <c r="E12" s="703">
        <v>761884</v>
      </c>
      <c r="F12" s="704">
        <v>672287</v>
      </c>
      <c r="G12" s="704">
        <v>83863</v>
      </c>
      <c r="H12" s="704">
        <v>5486</v>
      </c>
      <c r="I12" s="704">
        <v>443</v>
      </c>
      <c r="J12" s="704">
        <v>1523963</v>
      </c>
      <c r="K12" s="704">
        <v>128925</v>
      </c>
      <c r="L12" s="704">
        <v>1652888</v>
      </c>
      <c r="M12" s="704">
        <v>2097</v>
      </c>
      <c r="N12" s="704">
        <v>177</v>
      </c>
      <c r="O12" s="705">
        <f t="shared" si="1"/>
        <v>1655162</v>
      </c>
    </row>
    <row r="13" spans="1:15" x14ac:dyDescent="0.35">
      <c r="A13" s="66">
        <v>2022</v>
      </c>
      <c r="B13" s="66">
        <v>6</v>
      </c>
      <c r="C13" s="580">
        <f t="shared" si="0"/>
        <v>44713</v>
      </c>
      <c r="E13" s="703">
        <v>686037</v>
      </c>
      <c r="F13" s="704">
        <v>688845</v>
      </c>
      <c r="G13" s="704">
        <v>85203</v>
      </c>
      <c r="H13" s="704">
        <v>5354</v>
      </c>
      <c r="I13" s="704">
        <v>318</v>
      </c>
      <c r="J13" s="704">
        <v>1465757</v>
      </c>
      <c r="K13" s="704">
        <v>124001</v>
      </c>
      <c r="L13" s="704">
        <v>1589758</v>
      </c>
      <c r="M13" s="704">
        <v>1727</v>
      </c>
      <c r="N13" s="704">
        <v>146</v>
      </c>
      <c r="O13" s="705">
        <f t="shared" si="1"/>
        <v>1591631</v>
      </c>
    </row>
    <row r="14" spans="1:15" x14ac:dyDescent="0.35">
      <c r="A14" s="66">
        <v>2022</v>
      </c>
      <c r="B14" s="66">
        <v>7</v>
      </c>
      <c r="C14" s="580">
        <f t="shared" si="0"/>
        <v>44743</v>
      </c>
      <c r="E14" s="703">
        <v>703102</v>
      </c>
      <c r="F14" s="704">
        <v>718786</v>
      </c>
      <c r="G14" s="704">
        <v>92730</v>
      </c>
      <c r="H14" s="704">
        <v>5140</v>
      </c>
      <c r="I14" s="704">
        <v>288</v>
      </c>
      <c r="J14" s="704">
        <v>1520046</v>
      </c>
      <c r="K14" s="704">
        <v>128594</v>
      </c>
      <c r="L14" s="704">
        <v>1648640</v>
      </c>
      <c r="M14" s="704">
        <v>2779</v>
      </c>
      <c r="N14" s="704">
        <v>235</v>
      </c>
      <c r="O14" s="705">
        <f t="shared" si="1"/>
        <v>1651654</v>
      </c>
    </row>
    <row r="15" spans="1:15" x14ac:dyDescent="0.35">
      <c r="A15" s="66">
        <v>2022</v>
      </c>
      <c r="B15" s="66">
        <v>8</v>
      </c>
      <c r="C15" s="580">
        <f t="shared" si="0"/>
        <v>44774</v>
      </c>
      <c r="E15" s="703">
        <v>717784</v>
      </c>
      <c r="F15" s="704">
        <v>721828</v>
      </c>
      <c r="G15" s="704">
        <v>93651</v>
      </c>
      <c r="H15" s="704">
        <v>5425</v>
      </c>
      <c r="I15" s="704">
        <v>280</v>
      </c>
      <c r="J15" s="704">
        <v>1538968</v>
      </c>
      <c r="K15" s="704">
        <v>130194</v>
      </c>
      <c r="L15" s="704">
        <v>1669162</v>
      </c>
      <c r="M15" s="704">
        <v>1579</v>
      </c>
      <c r="N15" s="704">
        <v>134</v>
      </c>
      <c r="O15" s="705">
        <f t="shared" si="1"/>
        <v>1670875</v>
      </c>
    </row>
    <row r="16" spans="1:15" x14ac:dyDescent="0.35">
      <c r="A16" s="66">
        <v>2022</v>
      </c>
      <c r="B16" s="66">
        <v>9</v>
      </c>
      <c r="C16" s="580">
        <f t="shared" si="0"/>
        <v>44805</v>
      </c>
      <c r="E16" s="703">
        <v>688792</v>
      </c>
      <c r="F16" s="704">
        <v>682146</v>
      </c>
      <c r="G16" s="704">
        <v>90092</v>
      </c>
      <c r="H16" s="704">
        <v>5673</v>
      </c>
      <c r="I16" s="704">
        <v>356</v>
      </c>
      <c r="J16" s="704">
        <v>1467059</v>
      </c>
      <c r="K16" s="704">
        <v>124111</v>
      </c>
      <c r="L16" s="704">
        <v>1591170</v>
      </c>
      <c r="M16" s="704">
        <v>1377</v>
      </c>
      <c r="N16" s="704">
        <v>116</v>
      </c>
      <c r="O16" s="705">
        <f t="shared" si="1"/>
        <v>1592663</v>
      </c>
    </row>
    <row r="17" spans="1:19" x14ac:dyDescent="0.35">
      <c r="A17" s="66">
        <v>2022</v>
      </c>
      <c r="B17" s="66">
        <v>10</v>
      </c>
      <c r="C17" s="580">
        <f t="shared" si="0"/>
        <v>44835</v>
      </c>
      <c r="E17" s="703">
        <v>823104</v>
      </c>
      <c r="F17" s="704">
        <v>691723</v>
      </c>
      <c r="G17" s="704">
        <v>86102</v>
      </c>
      <c r="H17" s="704">
        <v>5590</v>
      </c>
      <c r="I17" s="704">
        <v>477</v>
      </c>
      <c r="J17" s="704">
        <v>1606996</v>
      </c>
      <c r="K17" s="704">
        <v>135950</v>
      </c>
      <c r="L17" s="704">
        <v>1742946</v>
      </c>
      <c r="M17" s="704">
        <v>1767</v>
      </c>
      <c r="N17" s="704">
        <v>149</v>
      </c>
      <c r="O17" s="705">
        <f t="shared" si="1"/>
        <v>1744862</v>
      </c>
    </row>
    <row r="18" spans="1:19" x14ac:dyDescent="0.35">
      <c r="A18" s="66">
        <v>2022</v>
      </c>
      <c r="B18" s="66">
        <v>11</v>
      </c>
      <c r="C18" s="580">
        <f t="shared" si="0"/>
        <v>44866</v>
      </c>
      <c r="E18" s="703">
        <v>1054377</v>
      </c>
      <c r="F18" s="704">
        <v>708341</v>
      </c>
      <c r="G18" s="704">
        <v>87168</v>
      </c>
      <c r="H18" s="704">
        <v>6176</v>
      </c>
      <c r="I18" s="704">
        <v>796</v>
      </c>
      <c r="J18" s="704">
        <v>1856858</v>
      </c>
      <c r="K18" s="704">
        <v>157088</v>
      </c>
      <c r="L18" s="704">
        <v>2013946</v>
      </c>
      <c r="M18" s="704">
        <v>1763</v>
      </c>
      <c r="N18" s="704">
        <v>149</v>
      </c>
      <c r="O18" s="705">
        <f t="shared" si="1"/>
        <v>2015858</v>
      </c>
      <c r="Q18" s="66" t="s">
        <v>288</v>
      </c>
    </row>
    <row r="19" spans="1:19" x14ac:dyDescent="0.35">
      <c r="A19" s="66">
        <v>2022</v>
      </c>
      <c r="B19" s="66">
        <v>12</v>
      </c>
      <c r="C19" s="580">
        <f t="shared" si="0"/>
        <v>44896</v>
      </c>
      <c r="E19" s="703">
        <v>1179532</v>
      </c>
      <c r="F19" s="704">
        <v>734310</v>
      </c>
      <c r="G19" s="704">
        <v>81247</v>
      </c>
      <c r="H19" s="704">
        <v>5766</v>
      </c>
      <c r="I19" s="704">
        <v>858</v>
      </c>
      <c r="J19" s="704">
        <v>2001713</v>
      </c>
      <c r="K19" s="704">
        <v>169342</v>
      </c>
      <c r="L19" s="704">
        <v>2171055</v>
      </c>
      <c r="M19" s="704">
        <v>1649</v>
      </c>
      <c r="N19" s="704">
        <v>140</v>
      </c>
      <c r="O19" s="705">
        <f t="shared" si="1"/>
        <v>2172844</v>
      </c>
      <c r="Q19" s="66" t="s">
        <v>289</v>
      </c>
      <c r="R19" s="66" t="s">
        <v>291</v>
      </c>
      <c r="S19" s="66" t="s">
        <v>292</v>
      </c>
    </row>
    <row r="20" spans="1:19" x14ac:dyDescent="0.35">
      <c r="A20" s="66">
        <f>A8+1</f>
        <v>2023</v>
      </c>
      <c r="B20" s="66">
        <f>B8</f>
        <v>1</v>
      </c>
      <c r="C20" s="580">
        <f t="shared" si="0"/>
        <v>44927</v>
      </c>
      <c r="E20" s="703">
        <v>1188478</v>
      </c>
      <c r="F20" s="704">
        <v>742930</v>
      </c>
      <c r="G20" s="704">
        <v>78511</v>
      </c>
      <c r="H20" s="704">
        <v>6138</v>
      </c>
      <c r="I20" s="704">
        <v>989</v>
      </c>
      <c r="J20" s="704">
        <v>2017046</v>
      </c>
      <c r="K20" s="704">
        <v>170639</v>
      </c>
      <c r="L20" s="704">
        <v>2187685</v>
      </c>
      <c r="M20" s="704">
        <v>2243</v>
      </c>
      <c r="N20" s="704">
        <v>190</v>
      </c>
      <c r="O20" s="705">
        <f t="shared" si="1"/>
        <v>2190118</v>
      </c>
      <c r="Q20" s="66" t="s">
        <v>290</v>
      </c>
      <c r="R20" s="66" t="s">
        <v>107</v>
      </c>
      <c r="S20" s="66" t="s">
        <v>293</v>
      </c>
    </row>
    <row r="21" spans="1:19" x14ac:dyDescent="0.35">
      <c r="A21" s="66">
        <f t="shared" ref="A21:A55" si="2">A9+1</f>
        <v>2023</v>
      </c>
      <c r="B21" s="66">
        <f t="shared" ref="B21:B55" si="3">B9</f>
        <v>2</v>
      </c>
      <c r="C21" s="580">
        <f t="shared" si="0"/>
        <v>44958</v>
      </c>
      <c r="E21" s="703">
        <v>1030958</v>
      </c>
      <c r="F21" s="704">
        <v>683058</v>
      </c>
      <c r="G21" s="704">
        <v>77989</v>
      </c>
      <c r="H21" s="704">
        <v>5657</v>
      </c>
      <c r="I21" s="785">
        <v>874</v>
      </c>
      <c r="J21" s="785">
        <v>1798536</v>
      </c>
      <c r="K21" s="704">
        <v>152154</v>
      </c>
      <c r="L21" s="704">
        <v>1950690</v>
      </c>
      <c r="M21" s="704">
        <v>2355</v>
      </c>
      <c r="N21" s="704">
        <v>199</v>
      </c>
      <c r="O21" s="705">
        <f t="shared" si="1"/>
        <v>1953244</v>
      </c>
      <c r="Q21" s="631">
        <f>J21</f>
        <v>1798536</v>
      </c>
      <c r="R21" s="631">
        <f>-I21</f>
        <v>-874</v>
      </c>
      <c r="S21" s="581">
        <f>SUM(Q21:R21)</f>
        <v>1797662</v>
      </c>
    </row>
    <row r="22" spans="1:19" x14ac:dyDescent="0.35">
      <c r="A22" s="66">
        <f t="shared" si="2"/>
        <v>2023</v>
      </c>
      <c r="B22" s="66">
        <f t="shared" si="3"/>
        <v>3</v>
      </c>
      <c r="C22" s="580">
        <f t="shared" si="0"/>
        <v>44986</v>
      </c>
      <c r="E22" s="703">
        <v>1022012</v>
      </c>
      <c r="F22" s="704">
        <v>720578</v>
      </c>
      <c r="G22" s="704">
        <v>86042</v>
      </c>
      <c r="H22" s="704">
        <v>5204</v>
      </c>
      <c r="I22" s="785">
        <v>778</v>
      </c>
      <c r="J22" s="785">
        <v>1834614</v>
      </c>
      <c r="K22" s="704">
        <v>155206</v>
      </c>
      <c r="L22" s="704">
        <v>1989820</v>
      </c>
      <c r="M22" s="704">
        <v>2263</v>
      </c>
      <c r="N22" s="704">
        <v>191</v>
      </c>
      <c r="O22" s="705">
        <f t="shared" si="1"/>
        <v>1992274</v>
      </c>
      <c r="Q22" s="631">
        <f>J22</f>
        <v>1834614</v>
      </c>
      <c r="R22" s="631">
        <f>-I22</f>
        <v>-778</v>
      </c>
      <c r="S22" s="581">
        <f>SUM(Q22:R22)</f>
        <v>1833836</v>
      </c>
    </row>
    <row r="23" spans="1:19" x14ac:dyDescent="0.35">
      <c r="A23" s="66">
        <f t="shared" si="2"/>
        <v>2023</v>
      </c>
      <c r="B23" s="66">
        <f t="shared" si="3"/>
        <v>4</v>
      </c>
      <c r="C23" s="580">
        <f t="shared" si="0"/>
        <v>45017</v>
      </c>
      <c r="E23" s="703">
        <v>918938</v>
      </c>
      <c r="F23" s="704">
        <v>705305</v>
      </c>
      <c r="G23" s="704">
        <v>87699</v>
      </c>
      <c r="H23" s="704">
        <v>5507</v>
      </c>
      <c r="I23" s="785">
        <v>644</v>
      </c>
      <c r="J23" s="785">
        <v>1718093</v>
      </c>
      <c r="K23" s="704">
        <v>145348</v>
      </c>
      <c r="L23" s="704">
        <v>1863441</v>
      </c>
      <c r="M23" s="704">
        <v>2101</v>
      </c>
      <c r="N23" s="704">
        <v>178</v>
      </c>
      <c r="O23" s="705">
        <f t="shared" si="1"/>
        <v>1865720</v>
      </c>
      <c r="Q23" s="631">
        <f>J23</f>
        <v>1718093</v>
      </c>
      <c r="R23" s="631">
        <f>-I23</f>
        <v>-644</v>
      </c>
      <c r="S23" s="581">
        <f>SUM(Q23:R23)</f>
        <v>1717449</v>
      </c>
    </row>
    <row r="24" spans="1:19" x14ac:dyDescent="0.35">
      <c r="A24" s="66">
        <f t="shared" si="2"/>
        <v>2023</v>
      </c>
      <c r="B24" s="66">
        <f t="shared" si="3"/>
        <v>5</v>
      </c>
      <c r="C24" s="580">
        <f t="shared" si="0"/>
        <v>45047</v>
      </c>
      <c r="E24" s="703">
        <v>762373</v>
      </c>
      <c r="F24" s="704">
        <v>663752</v>
      </c>
      <c r="G24" s="704">
        <v>82557</v>
      </c>
      <c r="H24" s="704">
        <v>5257</v>
      </c>
      <c r="I24" s="704">
        <v>442</v>
      </c>
      <c r="J24" s="704">
        <v>1514381</v>
      </c>
      <c r="K24" s="704">
        <v>128115</v>
      </c>
      <c r="L24" s="704">
        <v>1642496</v>
      </c>
      <c r="M24" s="704">
        <v>2097</v>
      </c>
      <c r="N24" s="704">
        <v>177</v>
      </c>
      <c r="O24" s="705">
        <f t="shared" si="1"/>
        <v>1644770</v>
      </c>
    </row>
    <row r="25" spans="1:19" x14ac:dyDescent="0.35">
      <c r="A25" s="66">
        <f t="shared" si="2"/>
        <v>2023</v>
      </c>
      <c r="B25" s="66">
        <f t="shared" si="3"/>
        <v>6</v>
      </c>
      <c r="C25" s="580">
        <f t="shared" si="0"/>
        <v>45078</v>
      </c>
      <c r="E25" s="703">
        <v>692279</v>
      </c>
      <c r="F25" s="704">
        <v>680463</v>
      </c>
      <c r="G25" s="704">
        <v>83732</v>
      </c>
      <c r="H25" s="704">
        <v>5112</v>
      </c>
      <c r="I25" s="704">
        <v>318</v>
      </c>
      <c r="J25" s="704">
        <v>1461904</v>
      </c>
      <c r="K25" s="704">
        <v>123675</v>
      </c>
      <c r="L25" s="704">
        <v>1585579</v>
      </c>
      <c r="M25" s="704">
        <v>1727</v>
      </c>
      <c r="N25" s="704">
        <v>146</v>
      </c>
      <c r="O25" s="705">
        <f t="shared" si="1"/>
        <v>1587452</v>
      </c>
    </row>
    <row r="26" spans="1:19" x14ac:dyDescent="0.35">
      <c r="A26" s="66">
        <f t="shared" si="2"/>
        <v>2023</v>
      </c>
      <c r="B26" s="66">
        <f t="shared" si="3"/>
        <v>7</v>
      </c>
      <c r="C26" s="580">
        <f t="shared" si="0"/>
        <v>45108</v>
      </c>
      <c r="E26" s="703">
        <v>712890</v>
      </c>
      <c r="F26" s="704">
        <v>711909</v>
      </c>
      <c r="G26" s="704">
        <v>91130</v>
      </c>
      <c r="H26" s="704">
        <v>4907</v>
      </c>
      <c r="I26" s="704">
        <v>288</v>
      </c>
      <c r="J26" s="704">
        <v>1521124</v>
      </c>
      <c r="K26" s="704">
        <v>128685</v>
      </c>
      <c r="L26" s="704">
        <v>1649809</v>
      </c>
      <c r="M26" s="704">
        <v>2779</v>
      </c>
      <c r="N26" s="704">
        <v>235</v>
      </c>
      <c r="O26" s="705">
        <f t="shared" si="1"/>
        <v>1652823</v>
      </c>
    </row>
    <row r="27" spans="1:19" x14ac:dyDescent="0.35">
      <c r="A27" s="66">
        <f t="shared" si="2"/>
        <v>2023</v>
      </c>
      <c r="B27" s="66">
        <f t="shared" si="3"/>
        <v>8</v>
      </c>
      <c r="C27" s="580">
        <f t="shared" si="0"/>
        <v>45139</v>
      </c>
      <c r="E27" s="703">
        <v>727995</v>
      </c>
      <c r="F27" s="704">
        <v>715705</v>
      </c>
      <c r="G27" s="704">
        <v>92238</v>
      </c>
      <c r="H27" s="704">
        <v>5200</v>
      </c>
      <c r="I27" s="704">
        <v>280</v>
      </c>
      <c r="J27" s="704">
        <v>1541418</v>
      </c>
      <c r="K27" s="704">
        <v>130402</v>
      </c>
      <c r="L27" s="704">
        <v>1671820</v>
      </c>
      <c r="M27" s="704">
        <v>1579</v>
      </c>
      <c r="N27" s="704">
        <v>134</v>
      </c>
      <c r="O27" s="705">
        <f t="shared" si="1"/>
        <v>1673533</v>
      </c>
    </row>
    <row r="28" spans="1:19" x14ac:dyDescent="0.35">
      <c r="A28" s="66">
        <f t="shared" si="2"/>
        <v>2023</v>
      </c>
      <c r="B28" s="66">
        <f t="shared" si="3"/>
        <v>9</v>
      </c>
      <c r="C28" s="580">
        <f t="shared" si="0"/>
        <v>45170</v>
      </c>
      <c r="E28" s="703">
        <v>693320</v>
      </c>
      <c r="F28" s="704">
        <v>676440</v>
      </c>
      <c r="G28" s="704">
        <v>88449</v>
      </c>
      <c r="H28" s="704">
        <v>5445</v>
      </c>
      <c r="I28" s="704">
        <v>355</v>
      </c>
      <c r="J28" s="704">
        <v>1464009</v>
      </c>
      <c r="K28" s="704">
        <v>123853</v>
      </c>
      <c r="L28" s="704">
        <v>1587862</v>
      </c>
      <c r="M28" s="704">
        <v>1377</v>
      </c>
      <c r="N28" s="704">
        <v>116</v>
      </c>
      <c r="O28" s="705">
        <f t="shared" si="1"/>
        <v>1589355</v>
      </c>
    </row>
    <row r="29" spans="1:19" x14ac:dyDescent="0.35">
      <c r="A29" s="66">
        <f t="shared" si="2"/>
        <v>2023</v>
      </c>
      <c r="B29" s="66">
        <f t="shared" si="3"/>
        <v>10</v>
      </c>
      <c r="C29" s="580">
        <f t="shared" si="0"/>
        <v>45200</v>
      </c>
      <c r="E29" s="703">
        <v>823181</v>
      </c>
      <c r="F29" s="704">
        <v>685198</v>
      </c>
      <c r="G29" s="704">
        <v>84317</v>
      </c>
      <c r="H29" s="704">
        <v>5347</v>
      </c>
      <c r="I29" s="704">
        <v>475</v>
      </c>
      <c r="J29" s="704">
        <v>1598518</v>
      </c>
      <c r="K29" s="704">
        <v>135233</v>
      </c>
      <c r="L29" s="704">
        <v>1733751</v>
      </c>
      <c r="M29" s="704">
        <v>1767</v>
      </c>
      <c r="N29" s="704">
        <v>149</v>
      </c>
      <c r="O29" s="705">
        <f t="shared" si="1"/>
        <v>1735667</v>
      </c>
    </row>
    <row r="30" spans="1:19" x14ac:dyDescent="0.35">
      <c r="A30" s="66">
        <f t="shared" si="2"/>
        <v>2023</v>
      </c>
      <c r="B30" s="66">
        <f t="shared" si="3"/>
        <v>11</v>
      </c>
      <c r="C30" s="580">
        <f t="shared" si="0"/>
        <v>45231</v>
      </c>
      <c r="E30" s="703">
        <v>1054352</v>
      </c>
      <c r="F30" s="704">
        <v>718130</v>
      </c>
      <c r="G30" s="704">
        <v>88368</v>
      </c>
      <c r="H30" s="704">
        <v>5912</v>
      </c>
      <c r="I30" s="704">
        <v>793</v>
      </c>
      <c r="J30" s="704">
        <v>1867555</v>
      </c>
      <c r="K30" s="704">
        <v>157993</v>
      </c>
      <c r="L30" s="704">
        <v>2025548</v>
      </c>
      <c r="M30" s="704">
        <v>1763</v>
      </c>
      <c r="N30" s="704">
        <v>149</v>
      </c>
      <c r="O30" s="705">
        <f t="shared" si="1"/>
        <v>2027460</v>
      </c>
    </row>
    <row r="31" spans="1:19" x14ac:dyDescent="0.35">
      <c r="A31" s="66">
        <f t="shared" si="2"/>
        <v>2023</v>
      </c>
      <c r="B31" s="66">
        <f t="shared" si="3"/>
        <v>12</v>
      </c>
      <c r="C31" s="580">
        <f t="shared" si="0"/>
        <v>45261</v>
      </c>
      <c r="E31" s="703">
        <v>1172982</v>
      </c>
      <c r="F31" s="704">
        <v>750281</v>
      </c>
      <c r="G31" s="704">
        <v>81063</v>
      </c>
      <c r="H31" s="704">
        <v>5508</v>
      </c>
      <c r="I31" s="704">
        <v>852</v>
      </c>
      <c r="J31" s="704">
        <v>2010686</v>
      </c>
      <c r="K31" s="704">
        <v>170101</v>
      </c>
      <c r="L31" s="704">
        <v>2180787</v>
      </c>
      <c r="M31" s="704">
        <v>1649</v>
      </c>
      <c r="N31" s="704">
        <v>140</v>
      </c>
      <c r="O31" s="705">
        <f t="shared" si="1"/>
        <v>2182576</v>
      </c>
    </row>
    <row r="32" spans="1:19" x14ac:dyDescent="0.35">
      <c r="A32" s="66">
        <f t="shared" si="2"/>
        <v>2024</v>
      </c>
      <c r="B32" s="66">
        <f t="shared" si="3"/>
        <v>1</v>
      </c>
      <c r="C32" s="580">
        <f t="shared" si="0"/>
        <v>45292</v>
      </c>
      <c r="E32" s="703">
        <v>1190240</v>
      </c>
      <c r="F32" s="704">
        <v>769742</v>
      </c>
      <c r="G32" s="704">
        <v>78587</v>
      </c>
      <c r="H32" s="704">
        <v>5874</v>
      </c>
      <c r="I32" s="704">
        <v>991</v>
      </c>
      <c r="J32" s="704">
        <v>2045434</v>
      </c>
      <c r="K32" s="704">
        <v>173041</v>
      </c>
      <c r="L32" s="704">
        <v>2218475</v>
      </c>
      <c r="M32" s="704">
        <v>2243</v>
      </c>
      <c r="N32" s="704">
        <v>190</v>
      </c>
      <c r="O32" s="705">
        <f t="shared" si="1"/>
        <v>2220908</v>
      </c>
    </row>
    <row r="33" spans="1:15" x14ac:dyDescent="0.35">
      <c r="A33" s="66">
        <f t="shared" si="2"/>
        <v>2024</v>
      </c>
      <c r="B33" s="66">
        <f t="shared" si="3"/>
        <v>2</v>
      </c>
      <c r="C33" s="580">
        <f t="shared" si="0"/>
        <v>45323</v>
      </c>
      <c r="E33" s="703">
        <v>1043209</v>
      </c>
      <c r="F33" s="704">
        <v>715191</v>
      </c>
      <c r="G33" s="704">
        <v>78391</v>
      </c>
      <c r="H33" s="704">
        <v>5437</v>
      </c>
      <c r="I33" s="704">
        <v>883</v>
      </c>
      <c r="J33" s="704">
        <v>1843111</v>
      </c>
      <c r="K33" s="704">
        <v>155925</v>
      </c>
      <c r="L33" s="704">
        <v>1999036</v>
      </c>
      <c r="M33" s="704">
        <v>2439</v>
      </c>
      <c r="N33" s="704">
        <v>206</v>
      </c>
      <c r="O33" s="705">
        <f t="shared" si="1"/>
        <v>2001681</v>
      </c>
    </row>
    <row r="34" spans="1:15" x14ac:dyDescent="0.35">
      <c r="A34" s="66">
        <f t="shared" si="2"/>
        <v>2024</v>
      </c>
      <c r="B34" s="66">
        <f t="shared" si="3"/>
        <v>3</v>
      </c>
      <c r="C34" s="580">
        <f t="shared" si="0"/>
        <v>45352</v>
      </c>
      <c r="E34" s="703">
        <v>1030308</v>
      </c>
      <c r="F34" s="704">
        <v>749131</v>
      </c>
      <c r="G34" s="704">
        <v>85583</v>
      </c>
      <c r="H34" s="704">
        <v>4992</v>
      </c>
      <c r="I34" s="704">
        <v>779</v>
      </c>
      <c r="J34" s="704">
        <v>1870793</v>
      </c>
      <c r="K34" s="704">
        <v>158267</v>
      </c>
      <c r="L34" s="704">
        <v>2029060</v>
      </c>
      <c r="M34" s="704">
        <v>2263</v>
      </c>
      <c r="N34" s="704">
        <v>191</v>
      </c>
      <c r="O34" s="705">
        <f t="shared" si="1"/>
        <v>2031514</v>
      </c>
    </row>
    <row r="35" spans="1:15" x14ac:dyDescent="0.35">
      <c r="A35" s="66">
        <f t="shared" si="2"/>
        <v>2024</v>
      </c>
      <c r="B35" s="66">
        <f t="shared" si="3"/>
        <v>4</v>
      </c>
      <c r="C35" s="580">
        <f t="shared" si="0"/>
        <v>45383</v>
      </c>
      <c r="E35" s="703">
        <v>919304</v>
      </c>
      <c r="F35" s="704">
        <v>730324</v>
      </c>
      <c r="G35" s="704">
        <v>86326</v>
      </c>
      <c r="H35" s="704">
        <v>5309</v>
      </c>
      <c r="I35" s="704">
        <v>640</v>
      </c>
      <c r="J35" s="704">
        <v>1741903</v>
      </c>
      <c r="K35" s="704">
        <v>147363</v>
      </c>
      <c r="L35" s="704">
        <v>1889266</v>
      </c>
      <c r="M35" s="704">
        <v>2101</v>
      </c>
      <c r="N35" s="704">
        <v>178</v>
      </c>
      <c r="O35" s="705">
        <f t="shared" si="1"/>
        <v>1891545</v>
      </c>
    </row>
    <row r="36" spans="1:15" x14ac:dyDescent="0.35">
      <c r="A36" s="66">
        <f t="shared" si="2"/>
        <v>2024</v>
      </c>
      <c r="B36" s="66">
        <f t="shared" si="3"/>
        <v>5</v>
      </c>
      <c r="C36" s="580">
        <f t="shared" si="0"/>
        <v>45413</v>
      </c>
      <c r="E36" s="703">
        <v>764983</v>
      </c>
      <c r="F36" s="704">
        <v>685445</v>
      </c>
      <c r="G36" s="704">
        <v>81066</v>
      </c>
      <c r="H36" s="704">
        <v>5078</v>
      </c>
      <c r="I36" s="704">
        <v>440</v>
      </c>
      <c r="J36" s="704">
        <v>1537012</v>
      </c>
      <c r="K36" s="704">
        <v>130029</v>
      </c>
      <c r="L36" s="704">
        <v>1667041</v>
      </c>
      <c r="M36" s="704">
        <v>2097</v>
      </c>
      <c r="N36" s="704">
        <v>177</v>
      </c>
      <c r="O36" s="705">
        <f t="shared" si="1"/>
        <v>1669315</v>
      </c>
    </row>
    <row r="37" spans="1:15" x14ac:dyDescent="0.35">
      <c r="A37" s="66">
        <f t="shared" si="2"/>
        <v>2024</v>
      </c>
      <c r="B37" s="66">
        <f t="shared" si="3"/>
        <v>6</v>
      </c>
      <c r="C37" s="580">
        <f t="shared" si="0"/>
        <v>45444</v>
      </c>
      <c r="E37" s="703">
        <v>700906</v>
      </c>
      <c r="F37" s="704">
        <v>702894</v>
      </c>
      <c r="G37" s="704">
        <v>82276</v>
      </c>
      <c r="H37" s="704">
        <v>4929</v>
      </c>
      <c r="I37" s="704">
        <v>317</v>
      </c>
      <c r="J37" s="704">
        <v>1491322</v>
      </c>
      <c r="K37" s="704">
        <v>126164</v>
      </c>
      <c r="L37" s="704">
        <v>1617486</v>
      </c>
      <c r="M37" s="704">
        <v>1727</v>
      </c>
      <c r="N37" s="704">
        <v>146</v>
      </c>
      <c r="O37" s="705">
        <f t="shared" si="1"/>
        <v>1619359</v>
      </c>
    </row>
    <row r="38" spans="1:15" x14ac:dyDescent="0.35">
      <c r="A38" s="66">
        <f t="shared" si="2"/>
        <v>2024</v>
      </c>
      <c r="B38" s="66">
        <f t="shared" si="3"/>
        <v>7</v>
      </c>
      <c r="C38" s="580">
        <f t="shared" si="0"/>
        <v>45474</v>
      </c>
      <c r="E38" s="703">
        <v>725957</v>
      </c>
      <c r="F38" s="704">
        <v>734162</v>
      </c>
      <c r="G38" s="704">
        <v>89626</v>
      </c>
      <c r="H38" s="704">
        <v>4725</v>
      </c>
      <c r="I38" s="704">
        <v>288</v>
      </c>
      <c r="J38" s="704">
        <v>1554758</v>
      </c>
      <c r="K38" s="704">
        <v>131531</v>
      </c>
      <c r="L38" s="704">
        <v>1686289</v>
      </c>
      <c r="M38" s="704">
        <v>2779</v>
      </c>
      <c r="N38" s="704">
        <v>235</v>
      </c>
      <c r="O38" s="705">
        <f t="shared" si="1"/>
        <v>1689303</v>
      </c>
    </row>
    <row r="39" spans="1:15" x14ac:dyDescent="0.35">
      <c r="A39" s="66">
        <f t="shared" si="2"/>
        <v>2024</v>
      </c>
      <c r="B39" s="66">
        <f t="shared" si="3"/>
        <v>8</v>
      </c>
      <c r="C39" s="580">
        <f t="shared" si="0"/>
        <v>45505</v>
      </c>
      <c r="E39" s="703">
        <v>740615</v>
      </c>
      <c r="F39" s="704">
        <v>736604</v>
      </c>
      <c r="G39" s="704">
        <v>90663</v>
      </c>
      <c r="H39" s="704">
        <v>5022</v>
      </c>
      <c r="I39" s="704">
        <v>280</v>
      </c>
      <c r="J39" s="704">
        <v>1573184</v>
      </c>
      <c r="K39" s="704">
        <v>133089</v>
      </c>
      <c r="L39" s="704">
        <v>1706273</v>
      </c>
      <c r="M39" s="704">
        <v>1579</v>
      </c>
      <c r="N39" s="704">
        <v>134</v>
      </c>
      <c r="O39" s="705">
        <f t="shared" si="1"/>
        <v>1707986</v>
      </c>
    </row>
    <row r="40" spans="1:15" x14ac:dyDescent="0.35">
      <c r="A40" s="66">
        <f t="shared" si="2"/>
        <v>2024</v>
      </c>
      <c r="B40" s="66">
        <f t="shared" si="3"/>
        <v>9</v>
      </c>
      <c r="C40" s="580">
        <f t="shared" si="0"/>
        <v>45536</v>
      </c>
      <c r="E40" s="703">
        <v>701435</v>
      </c>
      <c r="F40" s="704">
        <v>696427</v>
      </c>
      <c r="G40" s="704">
        <v>86994</v>
      </c>
      <c r="H40" s="704">
        <v>5265</v>
      </c>
      <c r="I40" s="704">
        <v>355</v>
      </c>
      <c r="J40" s="704">
        <v>1490476</v>
      </c>
      <c r="K40" s="704">
        <v>126092</v>
      </c>
      <c r="L40" s="704">
        <v>1616568</v>
      </c>
      <c r="M40" s="704">
        <v>1377</v>
      </c>
      <c r="N40" s="704">
        <v>116</v>
      </c>
      <c r="O40" s="705">
        <f t="shared" si="1"/>
        <v>1618061</v>
      </c>
    </row>
    <row r="41" spans="1:15" x14ac:dyDescent="0.35">
      <c r="A41" s="66">
        <f t="shared" si="2"/>
        <v>2024</v>
      </c>
      <c r="B41" s="66">
        <f t="shared" si="3"/>
        <v>10</v>
      </c>
      <c r="C41" s="580">
        <f t="shared" si="0"/>
        <v>45566</v>
      </c>
      <c r="E41" s="703">
        <v>828864</v>
      </c>
      <c r="F41" s="704">
        <v>704811</v>
      </c>
      <c r="G41" s="704">
        <v>82885</v>
      </c>
      <c r="H41" s="704">
        <v>5147</v>
      </c>
      <c r="I41" s="704">
        <v>474</v>
      </c>
      <c r="J41" s="704">
        <v>1622181</v>
      </c>
      <c r="K41" s="704">
        <v>137234</v>
      </c>
      <c r="L41" s="704">
        <v>1759415</v>
      </c>
      <c r="M41" s="704">
        <v>1767</v>
      </c>
      <c r="N41" s="704">
        <v>149</v>
      </c>
      <c r="O41" s="705">
        <f t="shared" si="1"/>
        <v>1761331</v>
      </c>
    </row>
    <row r="42" spans="1:15" x14ac:dyDescent="0.35">
      <c r="A42" s="66">
        <f t="shared" si="2"/>
        <v>2024</v>
      </c>
      <c r="B42" s="66">
        <f t="shared" si="3"/>
        <v>11</v>
      </c>
      <c r="C42" s="580">
        <f t="shared" si="0"/>
        <v>45597</v>
      </c>
      <c r="E42" s="703">
        <v>1058724</v>
      </c>
      <c r="F42" s="704">
        <v>732454</v>
      </c>
      <c r="G42" s="704">
        <v>86960</v>
      </c>
      <c r="H42" s="704">
        <v>5697</v>
      </c>
      <c r="I42" s="704">
        <v>792</v>
      </c>
      <c r="J42" s="704">
        <v>1884627</v>
      </c>
      <c r="K42" s="704">
        <v>159437</v>
      </c>
      <c r="L42" s="704">
        <v>2044064</v>
      </c>
      <c r="M42" s="704">
        <v>1763</v>
      </c>
      <c r="N42" s="704">
        <v>149</v>
      </c>
      <c r="O42" s="705">
        <f t="shared" si="1"/>
        <v>2045976</v>
      </c>
    </row>
    <row r="43" spans="1:15" x14ac:dyDescent="0.35">
      <c r="A43" s="66">
        <f t="shared" si="2"/>
        <v>2024</v>
      </c>
      <c r="B43" s="66">
        <f t="shared" si="3"/>
        <v>12</v>
      </c>
      <c r="C43" s="580">
        <f t="shared" si="0"/>
        <v>45627</v>
      </c>
      <c r="E43" s="703">
        <v>1169180</v>
      </c>
      <c r="F43" s="704">
        <v>760105</v>
      </c>
      <c r="G43" s="704">
        <v>79506</v>
      </c>
      <c r="H43" s="704">
        <v>5292</v>
      </c>
      <c r="I43" s="704">
        <v>848</v>
      </c>
      <c r="J43" s="704">
        <v>2014931</v>
      </c>
      <c r="K43" s="704">
        <v>170461</v>
      </c>
      <c r="L43" s="704">
        <v>2185392</v>
      </c>
      <c r="M43" s="704">
        <v>1649</v>
      </c>
      <c r="N43" s="704">
        <v>140</v>
      </c>
      <c r="O43" s="705">
        <f t="shared" si="1"/>
        <v>2187181</v>
      </c>
    </row>
    <row r="44" spans="1:15" x14ac:dyDescent="0.35">
      <c r="A44" s="66">
        <f t="shared" si="2"/>
        <v>2025</v>
      </c>
      <c r="B44" s="66">
        <f t="shared" si="3"/>
        <v>1</v>
      </c>
      <c r="C44" s="580">
        <f t="shared" si="0"/>
        <v>45658</v>
      </c>
      <c r="E44" s="703">
        <v>1177514</v>
      </c>
      <c r="F44" s="704">
        <v>768206</v>
      </c>
      <c r="G44" s="704">
        <v>76012</v>
      </c>
      <c r="H44" s="704">
        <v>5655</v>
      </c>
      <c r="I44" s="704">
        <v>976</v>
      </c>
      <c r="J44" s="704">
        <v>2028363</v>
      </c>
      <c r="K44" s="704">
        <v>171597</v>
      </c>
      <c r="L44" s="704">
        <v>2199960</v>
      </c>
      <c r="M44" s="704">
        <v>2243</v>
      </c>
      <c r="N44" s="704">
        <v>190</v>
      </c>
      <c r="O44" s="705">
        <f t="shared" si="1"/>
        <v>2202393</v>
      </c>
    </row>
    <row r="45" spans="1:15" x14ac:dyDescent="0.35">
      <c r="A45" s="66">
        <f t="shared" si="2"/>
        <v>2025</v>
      </c>
      <c r="B45" s="66">
        <f t="shared" si="3"/>
        <v>2</v>
      </c>
      <c r="C45" s="580">
        <f t="shared" si="0"/>
        <v>45689</v>
      </c>
      <c r="E45" s="703">
        <v>1024302</v>
      </c>
      <c r="F45" s="704">
        <v>710248</v>
      </c>
      <c r="G45" s="704">
        <v>75691</v>
      </c>
      <c r="H45" s="704">
        <v>5262</v>
      </c>
      <c r="I45" s="704">
        <v>863</v>
      </c>
      <c r="J45" s="704">
        <v>1816366</v>
      </c>
      <c r="K45" s="704">
        <v>153662</v>
      </c>
      <c r="L45" s="704">
        <v>1970028</v>
      </c>
      <c r="M45" s="704">
        <v>2355</v>
      </c>
      <c r="N45" s="704">
        <v>199</v>
      </c>
      <c r="O45" s="705">
        <f t="shared" si="1"/>
        <v>1972582</v>
      </c>
    </row>
    <row r="46" spans="1:15" x14ac:dyDescent="0.35">
      <c r="A46" s="66">
        <f t="shared" si="2"/>
        <v>2025</v>
      </c>
      <c r="B46" s="66">
        <f t="shared" si="3"/>
        <v>3</v>
      </c>
      <c r="C46" s="580">
        <f t="shared" si="0"/>
        <v>45717</v>
      </c>
      <c r="E46" s="703">
        <v>1015821</v>
      </c>
      <c r="F46" s="704">
        <v>749033</v>
      </c>
      <c r="G46" s="704">
        <v>83496</v>
      </c>
      <c r="H46" s="704">
        <v>4817</v>
      </c>
      <c r="I46" s="704">
        <v>767</v>
      </c>
      <c r="J46" s="704">
        <v>1853934</v>
      </c>
      <c r="K46" s="704">
        <v>156840</v>
      </c>
      <c r="L46" s="704">
        <v>2010774</v>
      </c>
      <c r="M46" s="704">
        <v>2263</v>
      </c>
      <c r="N46" s="704">
        <v>191</v>
      </c>
      <c r="O46" s="705">
        <f t="shared" si="1"/>
        <v>2013228</v>
      </c>
    </row>
    <row r="47" spans="1:15" x14ac:dyDescent="0.35">
      <c r="A47" s="66">
        <f t="shared" si="2"/>
        <v>2025</v>
      </c>
      <c r="B47" s="66">
        <f t="shared" si="3"/>
        <v>4</v>
      </c>
      <c r="C47" s="580">
        <f t="shared" si="0"/>
        <v>45748</v>
      </c>
      <c r="E47" s="703">
        <v>917409</v>
      </c>
      <c r="F47" s="704">
        <v>735625</v>
      </c>
      <c r="G47" s="704">
        <v>84612</v>
      </c>
      <c r="H47" s="704">
        <v>5152</v>
      </c>
      <c r="I47" s="704">
        <v>635</v>
      </c>
      <c r="J47" s="704">
        <v>1743433</v>
      </c>
      <c r="K47" s="704">
        <v>147492</v>
      </c>
      <c r="L47" s="704">
        <v>1890925</v>
      </c>
      <c r="M47" s="704">
        <v>2101</v>
      </c>
      <c r="N47" s="704">
        <v>178</v>
      </c>
      <c r="O47" s="705">
        <f t="shared" si="1"/>
        <v>1893204</v>
      </c>
    </row>
    <row r="48" spans="1:15" x14ac:dyDescent="0.35">
      <c r="A48" s="66">
        <f t="shared" si="2"/>
        <v>2025</v>
      </c>
      <c r="B48" s="66">
        <f t="shared" si="3"/>
        <v>5</v>
      </c>
      <c r="C48" s="580">
        <f t="shared" si="0"/>
        <v>45778</v>
      </c>
      <c r="E48" s="703">
        <v>770887</v>
      </c>
      <c r="F48" s="704">
        <v>688943</v>
      </c>
      <c r="G48" s="704">
        <v>79391</v>
      </c>
      <c r="H48" s="704">
        <v>4937</v>
      </c>
      <c r="I48" s="704">
        <v>438</v>
      </c>
      <c r="J48" s="704">
        <v>1544596</v>
      </c>
      <c r="K48" s="704">
        <v>130671</v>
      </c>
      <c r="L48" s="704">
        <v>1675267</v>
      </c>
      <c r="M48" s="704">
        <v>2097</v>
      </c>
      <c r="N48" s="704">
        <v>177</v>
      </c>
      <c r="O48" s="705">
        <f t="shared" si="1"/>
        <v>1677541</v>
      </c>
    </row>
    <row r="49" spans="1:15" x14ac:dyDescent="0.35">
      <c r="A49" s="66">
        <f t="shared" si="2"/>
        <v>2025</v>
      </c>
      <c r="B49" s="66">
        <f t="shared" si="3"/>
        <v>6</v>
      </c>
      <c r="C49" s="580">
        <f t="shared" si="0"/>
        <v>45809</v>
      </c>
      <c r="E49" s="703">
        <v>712980</v>
      </c>
      <c r="F49" s="704">
        <v>707254</v>
      </c>
      <c r="G49" s="704">
        <v>80704</v>
      </c>
      <c r="H49" s="704">
        <v>4789</v>
      </c>
      <c r="I49" s="704">
        <v>317</v>
      </c>
      <c r="J49" s="704">
        <v>1506044</v>
      </c>
      <c r="K49" s="704">
        <v>127409</v>
      </c>
      <c r="L49" s="704">
        <v>1633453</v>
      </c>
      <c r="M49" s="704">
        <v>1727</v>
      </c>
      <c r="N49" s="704">
        <v>146</v>
      </c>
      <c r="O49" s="705">
        <f t="shared" ref="O49:O55" si="4">SUM(L49:N49)</f>
        <v>1635326</v>
      </c>
    </row>
    <row r="50" spans="1:15" x14ac:dyDescent="0.35">
      <c r="A50" s="66">
        <f t="shared" si="2"/>
        <v>2025</v>
      </c>
      <c r="B50" s="66">
        <f t="shared" si="3"/>
        <v>7</v>
      </c>
      <c r="C50" s="580">
        <f t="shared" si="0"/>
        <v>45839</v>
      </c>
      <c r="E50" s="703">
        <v>739746</v>
      </c>
      <c r="F50" s="704">
        <v>736937</v>
      </c>
      <c r="G50" s="704">
        <v>87961</v>
      </c>
      <c r="H50" s="704">
        <v>4579</v>
      </c>
      <c r="I50" s="704">
        <v>288</v>
      </c>
      <c r="J50" s="704">
        <v>1569511</v>
      </c>
      <c r="K50" s="704">
        <v>132779</v>
      </c>
      <c r="L50" s="704">
        <v>1702290</v>
      </c>
      <c r="M50" s="704">
        <v>2779</v>
      </c>
      <c r="N50" s="704">
        <v>235</v>
      </c>
      <c r="O50" s="705">
        <f t="shared" si="4"/>
        <v>1705304</v>
      </c>
    </row>
    <row r="51" spans="1:15" x14ac:dyDescent="0.35">
      <c r="A51" s="66">
        <f t="shared" si="2"/>
        <v>2025</v>
      </c>
      <c r="B51" s="66">
        <f t="shared" si="3"/>
        <v>8</v>
      </c>
      <c r="C51" s="580">
        <f t="shared" si="0"/>
        <v>45870</v>
      </c>
      <c r="E51" s="703">
        <v>754498</v>
      </c>
      <c r="F51" s="704">
        <v>738968</v>
      </c>
      <c r="G51" s="704">
        <v>88981</v>
      </c>
      <c r="H51" s="704">
        <v>4875</v>
      </c>
      <c r="I51" s="704">
        <v>280</v>
      </c>
      <c r="J51" s="704">
        <v>1587602</v>
      </c>
      <c r="K51" s="704">
        <v>134309</v>
      </c>
      <c r="L51" s="704">
        <v>1721911</v>
      </c>
      <c r="M51" s="704">
        <v>1579</v>
      </c>
      <c r="N51" s="704">
        <v>134</v>
      </c>
      <c r="O51" s="705">
        <f t="shared" si="4"/>
        <v>1723624</v>
      </c>
    </row>
    <row r="52" spans="1:15" x14ac:dyDescent="0.35">
      <c r="A52" s="66">
        <f t="shared" si="2"/>
        <v>2025</v>
      </c>
      <c r="B52" s="66">
        <f t="shared" si="3"/>
        <v>9</v>
      </c>
      <c r="C52" s="580">
        <f t="shared" si="0"/>
        <v>45901</v>
      </c>
      <c r="E52" s="703">
        <v>711196</v>
      </c>
      <c r="F52" s="704">
        <v>698395</v>
      </c>
      <c r="G52" s="704">
        <v>85417</v>
      </c>
      <c r="H52" s="704">
        <v>5119</v>
      </c>
      <c r="I52" s="704">
        <v>355</v>
      </c>
      <c r="J52" s="704">
        <v>1500482</v>
      </c>
      <c r="K52" s="704">
        <v>126939</v>
      </c>
      <c r="L52" s="704">
        <v>1627421</v>
      </c>
      <c r="M52" s="704">
        <v>1377</v>
      </c>
      <c r="N52" s="704">
        <v>116</v>
      </c>
      <c r="O52" s="705">
        <f t="shared" si="4"/>
        <v>1628914</v>
      </c>
    </row>
    <row r="53" spans="1:15" x14ac:dyDescent="0.35">
      <c r="A53" s="66">
        <f t="shared" si="2"/>
        <v>2025</v>
      </c>
      <c r="B53" s="66">
        <f t="shared" si="3"/>
        <v>10</v>
      </c>
      <c r="C53" s="580">
        <f t="shared" si="0"/>
        <v>45931</v>
      </c>
      <c r="E53" s="703">
        <v>833245</v>
      </c>
      <c r="F53" s="704">
        <v>705564</v>
      </c>
      <c r="G53" s="704">
        <v>81317</v>
      </c>
      <c r="H53" s="704">
        <v>4974</v>
      </c>
      <c r="I53" s="704">
        <v>472</v>
      </c>
      <c r="J53" s="704">
        <v>1625572</v>
      </c>
      <c r="K53" s="704">
        <v>137521</v>
      </c>
      <c r="L53" s="704">
        <v>1763093</v>
      </c>
      <c r="M53" s="704">
        <v>1767</v>
      </c>
      <c r="N53" s="704">
        <v>149</v>
      </c>
      <c r="O53" s="705">
        <f t="shared" si="4"/>
        <v>1765009</v>
      </c>
    </row>
    <row r="54" spans="1:15" x14ac:dyDescent="0.35">
      <c r="A54" s="66">
        <f t="shared" si="2"/>
        <v>2025</v>
      </c>
      <c r="B54" s="66">
        <f t="shared" si="3"/>
        <v>11</v>
      </c>
      <c r="C54" s="580">
        <f t="shared" si="0"/>
        <v>45962</v>
      </c>
      <c r="E54" s="703">
        <v>1058944</v>
      </c>
      <c r="F54" s="704">
        <v>732672</v>
      </c>
      <c r="G54" s="704">
        <v>85401</v>
      </c>
      <c r="H54" s="704">
        <v>5510</v>
      </c>
      <c r="I54" s="704">
        <v>787</v>
      </c>
      <c r="J54" s="704">
        <v>1883314</v>
      </c>
      <c r="K54" s="704">
        <v>159326</v>
      </c>
      <c r="L54" s="704">
        <v>2042640</v>
      </c>
      <c r="M54" s="704">
        <v>1763</v>
      </c>
      <c r="N54" s="704">
        <v>149</v>
      </c>
      <c r="O54" s="705">
        <f t="shared" si="4"/>
        <v>2044552</v>
      </c>
    </row>
    <row r="55" spans="1:15" x14ac:dyDescent="0.35">
      <c r="A55" s="66">
        <f t="shared" si="2"/>
        <v>2025</v>
      </c>
      <c r="B55" s="66">
        <f t="shared" si="3"/>
        <v>12</v>
      </c>
      <c r="C55" s="580">
        <f t="shared" si="0"/>
        <v>45992</v>
      </c>
      <c r="E55" s="703">
        <v>1170369</v>
      </c>
      <c r="F55" s="704">
        <v>760091</v>
      </c>
      <c r="G55" s="704">
        <v>78010</v>
      </c>
      <c r="H55" s="704">
        <v>5101</v>
      </c>
      <c r="I55" s="704">
        <v>847</v>
      </c>
      <c r="J55" s="704">
        <v>2014418</v>
      </c>
      <c r="K55" s="704">
        <v>170417</v>
      </c>
      <c r="L55" s="704">
        <v>2184835</v>
      </c>
      <c r="M55" s="704">
        <v>1649</v>
      </c>
      <c r="N55" s="704">
        <v>140</v>
      </c>
      <c r="O55" s="705">
        <f t="shared" si="4"/>
        <v>2186624</v>
      </c>
    </row>
  </sheetData>
  <mergeCells count="1">
    <mergeCell ref="E4:O4"/>
  </mergeCell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customProperties>
    <customPr name="_pios_i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sheetPr>
  <dimension ref="A1:Y39"/>
  <sheetViews>
    <sheetView zoomScale="80" zoomScaleNormal="80" workbookViewId="0">
      <pane xSplit="1" ySplit="8" topLeftCell="B9" activePane="bottomRight" state="frozen"/>
      <selection activeCell="I24" sqref="I24"/>
      <selection pane="topRight" activeCell="I24" sqref="I24"/>
      <selection pane="bottomLeft" activeCell="I24" sqref="I24"/>
      <selection pane="bottomRight" activeCell="M28" sqref="M28"/>
    </sheetView>
  </sheetViews>
  <sheetFormatPr defaultColWidth="9.1796875" defaultRowHeight="14" x14ac:dyDescent="0.3"/>
  <cols>
    <col min="1" max="1" width="10.54296875" style="583" bestFit="1" customWidth="1"/>
    <col min="2" max="2" width="25.81640625" style="583" bestFit="1" customWidth="1"/>
    <col min="3" max="3" width="13.453125" style="583" bestFit="1" customWidth="1"/>
    <col min="4" max="4" width="13.54296875" style="583" bestFit="1" customWidth="1"/>
    <col min="5" max="5" width="13.453125" style="583" bestFit="1" customWidth="1"/>
    <col min="6" max="6" width="15" style="583" customWidth="1"/>
    <col min="7" max="7" width="12.453125" style="583" bestFit="1" customWidth="1"/>
    <col min="8" max="8" width="13.453125" style="583" bestFit="1" customWidth="1"/>
    <col min="9" max="9" width="13.54296875" style="583" bestFit="1" customWidth="1"/>
    <col min="10" max="10" width="13.453125" style="583" bestFit="1" customWidth="1"/>
    <col min="11" max="13" width="12.453125" style="583" bestFit="1" customWidth="1"/>
    <col min="14" max="14" width="15" style="583" bestFit="1" customWidth="1"/>
    <col min="15" max="15" width="33.453125" style="583" customWidth="1"/>
    <col min="16" max="16384" width="9.1796875" style="583"/>
  </cols>
  <sheetData>
    <row r="1" spans="1:25" ht="14.5" x14ac:dyDescent="0.35">
      <c r="A1" s="916" t="s">
        <v>35</v>
      </c>
      <c r="B1" s="916"/>
      <c r="C1" s="916"/>
      <c r="D1" s="916"/>
      <c r="E1" s="916"/>
      <c r="F1" s="916"/>
      <c r="G1" s="916"/>
      <c r="H1" s="916"/>
      <c r="I1" s="916"/>
      <c r="J1" s="916"/>
      <c r="K1" s="916"/>
      <c r="L1" s="582"/>
      <c r="M1" s="582"/>
      <c r="N1" s="582"/>
      <c r="O1" s="582"/>
    </row>
    <row r="2" spans="1:25" ht="14.5" x14ac:dyDescent="0.35">
      <c r="A2" s="582"/>
      <c r="B2" s="582"/>
      <c r="C2" s="582"/>
      <c r="D2" s="582"/>
      <c r="E2" s="582"/>
      <c r="F2" s="582"/>
      <c r="G2" s="582"/>
      <c r="H2" s="582"/>
      <c r="I2" s="582"/>
      <c r="J2" s="582"/>
      <c r="K2" s="582"/>
      <c r="L2" s="582"/>
      <c r="M2" s="582"/>
      <c r="N2" s="582"/>
      <c r="O2" s="582"/>
    </row>
    <row r="3" spans="1:25" ht="14.5" x14ac:dyDescent="0.35">
      <c r="A3" s="582"/>
      <c r="B3" s="582"/>
      <c r="C3" s="582"/>
      <c r="D3" s="582"/>
      <c r="E3" s="582"/>
      <c r="F3" s="582"/>
      <c r="G3" s="582"/>
      <c r="H3" s="582"/>
      <c r="I3" s="582"/>
      <c r="J3" s="582"/>
      <c r="K3" s="582"/>
      <c r="L3" s="582"/>
      <c r="M3" s="582"/>
      <c r="N3" s="582"/>
      <c r="O3" s="582"/>
    </row>
    <row r="4" spans="1:25" ht="14.5" x14ac:dyDescent="0.35">
      <c r="A4" s="584"/>
      <c r="B4" s="584" t="s">
        <v>36</v>
      </c>
      <c r="C4" s="582"/>
      <c r="D4" s="582"/>
      <c r="E4" s="582"/>
      <c r="F4" s="582"/>
      <c r="G4" s="582"/>
      <c r="H4" s="582"/>
      <c r="I4" s="582"/>
      <c r="J4" s="582"/>
      <c r="K4" s="582"/>
      <c r="L4" s="582"/>
      <c r="M4" s="582"/>
      <c r="N4" s="582"/>
      <c r="O4" s="582"/>
    </row>
    <row r="5" spans="1:25" ht="14.5" x14ac:dyDescent="0.35">
      <c r="A5" s="582"/>
      <c r="B5" s="582"/>
      <c r="C5" s="582"/>
      <c r="D5" s="582"/>
      <c r="E5" s="582"/>
      <c r="F5" s="582"/>
      <c r="G5" s="582"/>
      <c r="H5" s="582"/>
      <c r="I5" s="582"/>
      <c r="J5" s="582"/>
      <c r="K5" s="582"/>
      <c r="L5" s="582"/>
      <c r="M5" s="582"/>
      <c r="N5" s="582"/>
      <c r="O5" s="582"/>
    </row>
    <row r="6" spans="1:25" ht="14.5" x14ac:dyDescent="0.35">
      <c r="A6" s="585"/>
      <c r="B6" s="585" t="s">
        <v>37</v>
      </c>
      <c r="C6" s="586"/>
      <c r="D6" s="586"/>
      <c r="E6" s="586"/>
      <c r="F6" s="586"/>
      <c r="G6" s="586"/>
      <c r="H6" s="586"/>
      <c r="I6" s="586"/>
      <c r="J6" s="586"/>
      <c r="K6" s="586"/>
      <c r="L6" s="586"/>
      <c r="M6" s="586"/>
      <c r="N6" s="587"/>
      <c r="O6" s="582"/>
    </row>
    <row r="7" spans="1:25" ht="14.5" x14ac:dyDescent="0.35">
      <c r="A7" s="588" t="s">
        <v>38</v>
      </c>
      <c r="B7" s="870">
        <v>44562</v>
      </c>
      <c r="C7" s="870">
        <v>44593</v>
      </c>
      <c r="D7" s="870">
        <v>44621</v>
      </c>
      <c r="E7" s="870">
        <v>44652</v>
      </c>
      <c r="F7" s="870">
        <v>44682</v>
      </c>
      <c r="G7" s="870">
        <v>44713</v>
      </c>
      <c r="H7" s="870">
        <v>44743</v>
      </c>
      <c r="I7" s="870">
        <v>44774</v>
      </c>
      <c r="J7" s="870">
        <v>44805</v>
      </c>
      <c r="K7" s="870">
        <v>44835</v>
      </c>
      <c r="L7" s="870">
        <v>44866</v>
      </c>
      <c r="M7" s="870">
        <v>44896</v>
      </c>
      <c r="N7" s="870">
        <v>44927</v>
      </c>
      <c r="O7" s="589"/>
    </row>
    <row r="8" spans="1:25" ht="14.5" x14ac:dyDescent="0.35">
      <c r="A8" s="590"/>
      <c r="B8" s="591"/>
      <c r="C8" s="591"/>
      <c r="D8" s="591"/>
      <c r="E8" s="591"/>
      <c r="F8" s="591"/>
      <c r="G8" s="591"/>
      <c r="H8" s="591"/>
      <c r="I8" s="591"/>
      <c r="J8" s="591"/>
      <c r="K8" s="591"/>
      <c r="L8" s="591"/>
      <c r="M8" s="591"/>
      <c r="N8" s="591"/>
      <c r="O8" s="582"/>
    </row>
    <row r="9" spans="1:25" ht="14.5" x14ac:dyDescent="0.35">
      <c r="A9" s="871">
        <v>46</v>
      </c>
      <c r="B9" s="591">
        <v>22619.52</v>
      </c>
      <c r="C9" s="591">
        <v>41652.61</v>
      </c>
      <c r="D9" s="591">
        <v>3791.18</v>
      </c>
      <c r="E9" s="591">
        <v>26440.63</v>
      </c>
      <c r="F9" s="591">
        <v>22337.46</v>
      </c>
      <c r="G9" s="591">
        <v>25311.02</v>
      </c>
      <c r="H9" s="591">
        <v>27695.800000000003</v>
      </c>
      <c r="I9" s="591">
        <v>34271.199999999997</v>
      </c>
      <c r="J9" s="591">
        <v>32090.129999999997</v>
      </c>
      <c r="K9" s="591">
        <v>26878.35</v>
      </c>
      <c r="L9" s="591">
        <v>36320.76</v>
      </c>
      <c r="M9" s="591">
        <v>3921.2</v>
      </c>
      <c r="N9" s="591">
        <v>21399.05</v>
      </c>
      <c r="O9" s="582"/>
    </row>
    <row r="10" spans="1:25" ht="14.5" x14ac:dyDescent="0.35">
      <c r="A10" s="871">
        <v>49</v>
      </c>
      <c r="B10" s="600">
        <v>157470.48000000001</v>
      </c>
      <c r="C10" s="600">
        <v>191000.08000000002</v>
      </c>
      <c r="D10" s="600">
        <v>98835.700000000012</v>
      </c>
      <c r="E10" s="600">
        <v>140243.41</v>
      </c>
      <c r="F10" s="600">
        <v>167771.71000000002</v>
      </c>
      <c r="G10" s="600">
        <v>223098.49</v>
      </c>
      <c r="H10" s="600">
        <v>191527.80000000002</v>
      </c>
      <c r="I10" s="600">
        <v>205954.72</v>
      </c>
      <c r="J10" s="600">
        <v>211426.91999999998</v>
      </c>
      <c r="K10" s="600">
        <v>194830.78</v>
      </c>
      <c r="L10" s="600">
        <v>244870.33000000002</v>
      </c>
      <c r="M10" s="600">
        <v>157605.94</v>
      </c>
      <c r="N10" s="600">
        <v>207724.81</v>
      </c>
      <c r="O10" s="582"/>
    </row>
    <row r="11" spans="1:25" ht="14.5" x14ac:dyDescent="0.35">
      <c r="A11" s="871">
        <v>449</v>
      </c>
      <c r="B11" s="600">
        <v>146878.47</v>
      </c>
      <c r="C11" s="600">
        <v>143890.19999999998</v>
      </c>
      <c r="D11" s="600">
        <v>134956.87</v>
      </c>
      <c r="E11" s="600">
        <v>148207.12</v>
      </c>
      <c r="F11" s="600">
        <v>75753.849999999991</v>
      </c>
      <c r="G11" s="600">
        <v>232322.75</v>
      </c>
      <c r="H11" s="600">
        <v>195189.65</v>
      </c>
      <c r="I11" s="600">
        <v>201061.13999999998</v>
      </c>
      <c r="J11" s="600">
        <v>203212.31</v>
      </c>
      <c r="K11" s="600">
        <v>191612.66</v>
      </c>
      <c r="L11" s="600">
        <v>194151.84</v>
      </c>
      <c r="M11" s="600">
        <v>190478.63</v>
      </c>
      <c r="N11" s="600">
        <v>192335.56999999998</v>
      </c>
      <c r="O11" s="582"/>
    </row>
    <row r="12" spans="1:25" ht="14.5" x14ac:dyDescent="0.35">
      <c r="A12" s="872">
        <v>459</v>
      </c>
      <c r="B12" s="600">
        <v>26071.16</v>
      </c>
      <c r="C12" s="600">
        <v>27125.39</v>
      </c>
      <c r="D12" s="600">
        <v>24702.06</v>
      </c>
      <c r="E12" s="600">
        <v>27921.65</v>
      </c>
      <c r="F12" s="600">
        <v>26405.119999999999</v>
      </c>
      <c r="G12" s="600">
        <v>35797.629999999997</v>
      </c>
      <c r="H12" s="600">
        <v>35702.32</v>
      </c>
      <c r="I12" s="600">
        <v>37613.71</v>
      </c>
      <c r="J12" s="600">
        <v>38955.03</v>
      </c>
      <c r="K12" s="600">
        <v>37068.9</v>
      </c>
      <c r="L12" s="600">
        <v>36661.360000000001</v>
      </c>
      <c r="M12" s="600">
        <v>34960.06</v>
      </c>
      <c r="N12" s="600">
        <v>33937.79</v>
      </c>
      <c r="O12" s="582"/>
    </row>
    <row r="13" spans="1:25" ht="14.5" x14ac:dyDescent="0.35">
      <c r="A13" s="873" t="s">
        <v>314</v>
      </c>
      <c r="B13" s="600">
        <v>62542.78</v>
      </c>
      <c r="C13" s="600">
        <v>101918.08</v>
      </c>
      <c r="D13" s="600">
        <v>11944.38</v>
      </c>
      <c r="E13" s="600">
        <v>56818.65</v>
      </c>
      <c r="F13" s="600">
        <v>54280.480000000003</v>
      </c>
      <c r="G13" s="600">
        <v>123369.53</v>
      </c>
      <c r="H13" s="600">
        <v>124324.18</v>
      </c>
      <c r="I13" s="600">
        <v>141881.14000000001</v>
      </c>
      <c r="J13" s="600">
        <v>142052.9</v>
      </c>
      <c r="K13" s="600">
        <v>127725.3</v>
      </c>
      <c r="L13" s="600">
        <v>238988.79999999999</v>
      </c>
      <c r="M13" s="600">
        <v>32688.66</v>
      </c>
      <c r="N13" s="600">
        <v>149405.25</v>
      </c>
      <c r="O13" s="582"/>
    </row>
    <row r="14" spans="1:25" ht="14.5" x14ac:dyDescent="0.35">
      <c r="A14" s="592" t="s">
        <v>39</v>
      </c>
      <c r="B14" s="593">
        <f>SUM(B8:B13)</f>
        <v>415582.40999999992</v>
      </c>
      <c r="C14" s="593">
        <f t="shared" ref="C14:N14" si="0">SUM(C8:C13)</f>
        <v>505586.36000000004</v>
      </c>
      <c r="D14" s="593">
        <f t="shared" si="0"/>
        <v>274230.19</v>
      </c>
      <c r="E14" s="593">
        <f t="shared" si="0"/>
        <v>399631.46000000008</v>
      </c>
      <c r="F14" s="593">
        <f t="shared" si="0"/>
        <v>346548.62</v>
      </c>
      <c r="G14" s="593">
        <f t="shared" si="0"/>
        <v>639899.42000000004</v>
      </c>
      <c r="H14" s="593">
        <f t="shared" si="0"/>
        <v>574439.75</v>
      </c>
      <c r="I14" s="593">
        <f t="shared" si="0"/>
        <v>620781.90999999992</v>
      </c>
      <c r="J14" s="593">
        <f t="shared" si="0"/>
        <v>627737.29</v>
      </c>
      <c r="K14" s="593">
        <f t="shared" si="0"/>
        <v>578115.99000000011</v>
      </c>
      <c r="L14" s="593">
        <f t="shared" si="0"/>
        <v>750993.09000000008</v>
      </c>
      <c r="M14" s="593">
        <f t="shared" si="0"/>
        <v>419654.49</v>
      </c>
      <c r="N14" s="593">
        <f t="shared" si="0"/>
        <v>604802.47</v>
      </c>
      <c r="O14" s="582"/>
    </row>
    <row r="15" spans="1:25" ht="14.5" x14ac:dyDescent="0.35">
      <c r="A15" s="582"/>
      <c r="B15" s="594"/>
      <c r="C15" s="186">
        <f>C11+C12</f>
        <v>171015.58999999997</v>
      </c>
      <c r="D15" s="186">
        <f>D11+D12</f>
        <v>159658.93</v>
      </c>
      <c r="E15" s="186">
        <f>E11+E12</f>
        <v>176128.77</v>
      </c>
      <c r="F15" s="582"/>
      <c r="G15" s="582"/>
      <c r="H15" s="582"/>
      <c r="I15" s="582"/>
      <c r="J15" s="582"/>
      <c r="K15" s="582"/>
      <c r="L15" s="582"/>
      <c r="M15" s="582"/>
      <c r="N15" s="582"/>
      <c r="O15" s="582"/>
    </row>
    <row r="16" spans="1:25" ht="14.5" x14ac:dyDescent="0.35">
      <c r="C16" s="595">
        <f>C15*N20</f>
        <v>162655.49288284997</v>
      </c>
      <c r="D16" s="595">
        <f>D15*N20</f>
        <v>151854.00320695</v>
      </c>
      <c r="E16" s="595">
        <f>E15*N20</f>
        <v>167518.71507854998</v>
      </c>
      <c r="F16" s="582"/>
      <c r="G16" s="582"/>
      <c r="H16" s="582"/>
      <c r="I16" s="582"/>
      <c r="J16" s="582"/>
      <c r="K16" s="582"/>
      <c r="L16" s="582"/>
      <c r="M16" s="591"/>
      <c r="N16" s="591"/>
      <c r="O16" s="591"/>
      <c r="P16" s="591"/>
      <c r="Q16" s="591"/>
      <c r="R16" s="591"/>
      <c r="S16" s="591"/>
      <c r="T16" s="591"/>
      <c r="U16" s="591"/>
      <c r="V16" s="591"/>
      <c r="W16" s="591"/>
      <c r="X16" s="591"/>
      <c r="Y16" s="591"/>
    </row>
    <row r="17" spans="1:25" ht="15" thickBot="1" x14ac:dyDescent="0.4">
      <c r="A17" s="582"/>
      <c r="B17" s="582"/>
      <c r="C17" s="582"/>
      <c r="D17" s="582"/>
      <c r="E17" s="582"/>
      <c r="F17" s="582"/>
      <c r="G17" s="582"/>
      <c r="H17" s="582"/>
      <c r="I17" s="582"/>
      <c r="J17" s="582"/>
      <c r="K17" s="582"/>
      <c r="L17" s="582"/>
      <c r="M17" s="600"/>
      <c r="N17" s="600"/>
      <c r="O17" s="600"/>
      <c r="P17" s="600"/>
      <c r="Q17" s="600"/>
      <c r="R17" s="600"/>
      <c r="S17" s="600"/>
      <c r="T17" s="600"/>
      <c r="U17" s="600"/>
      <c r="V17" s="600"/>
      <c r="W17" s="600"/>
      <c r="X17" s="600"/>
      <c r="Y17" s="600"/>
    </row>
    <row r="18" spans="1:25" ht="14.5" x14ac:dyDescent="0.35">
      <c r="A18" s="917" t="s">
        <v>508</v>
      </c>
      <c r="B18" s="917"/>
      <c r="C18" s="917"/>
      <c r="D18" s="917"/>
      <c r="E18" s="917"/>
      <c r="F18" s="594"/>
      <c r="G18" s="594"/>
      <c r="H18" s="582"/>
      <c r="I18" s="582"/>
      <c r="J18" s="582"/>
      <c r="K18" s="582"/>
      <c r="L18" s="582"/>
      <c r="M18" s="600"/>
      <c r="N18" s="624" t="s">
        <v>509</v>
      </c>
      <c r="O18" s="699"/>
      <c r="P18" s="600"/>
      <c r="Q18" s="600"/>
      <c r="R18" s="600"/>
      <c r="S18" s="600"/>
      <c r="T18" s="600"/>
      <c r="U18" s="600"/>
      <c r="V18" s="600"/>
      <c r="W18" s="600"/>
      <c r="X18" s="600"/>
      <c r="Y18" s="600"/>
    </row>
    <row r="19" spans="1:25" ht="15" thickBot="1" x14ac:dyDescent="0.4">
      <c r="A19" s="594"/>
      <c r="B19" s="594"/>
      <c r="C19" s="594"/>
      <c r="D19" s="594"/>
      <c r="E19" s="594"/>
      <c r="F19" s="594"/>
      <c r="G19" s="626" t="s">
        <v>513</v>
      </c>
      <c r="H19" s="582"/>
      <c r="I19" s="582"/>
      <c r="J19" s="582"/>
      <c r="K19" s="582"/>
      <c r="L19" s="582"/>
      <c r="M19" s="600"/>
      <c r="N19" s="700">
        <f>SUM(F11:N12)</f>
        <v>1993220.3200000003</v>
      </c>
      <c r="O19" s="626" t="s">
        <v>40</v>
      </c>
      <c r="P19" s="600"/>
      <c r="Q19" s="600"/>
      <c r="R19" s="600"/>
      <c r="S19" s="600"/>
      <c r="T19" s="600"/>
      <c r="U19" s="600"/>
      <c r="V19" s="600"/>
      <c r="W19" s="600"/>
      <c r="X19" s="600"/>
      <c r="Y19" s="600"/>
    </row>
    <row r="20" spans="1:25" ht="14.5" x14ac:dyDescent="0.35">
      <c r="A20" s="594"/>
      <c r="B20" s="594"/>
      <c r="C20" s="594"/>
      <c r="D20" s="594"/>
      <c r="E20" s="594"/>
      <c r="F20" s="594"/>
      <c r="G20" s="699" t="s">
        <v>41</v>
      </c>
      <c r="H20" s="582"/>
      <c r="I20" s="582"/>
      <c r="J20" s="582"/>
      <c r="K20" s="582"/>
      <c r="L20" s="582"/>
      <c r="M20" s="600"/>
      <c r="N20" s="625">
        <f>'CY Conv Fctr '!E18</f>
        <v>0.95111500000000004</v>
      </c>
      <c r="O20" s="874" t="s">
        <v>514</v>
      </c>
      <c r="P20" s="600"/>
      <c r="Q20" s="600"/>
      <c r="R20" s="600"/>
      <c r="S20" s="600"/>
      <c r="T20" s="600"/>
      <c r="U20" s="600"/>
      <c r="V20" s="600"/>
      <c r="W20" s="600"/>
      <c r="X20" s="600"/>
      <c r="Y20" s="600"/>
    </row>
    <row r="21" spans="1:25" ht="14.5" x14ac:dyDescent="0.35">
      <c r="A21" s="582"/>
      <c r="B21" s="596"/>
      <c r="C21" s="596" t="s">
        <v>42</v>
      </c>
      <c r="D21" s="596"/>
      <c r="E21" s="596"/>
      <c r="F21" s="582"/>
      <c r="G21" s="582"/>
      <c r="H21" s="582"/>
      <c r="I21" s="582"/>
      <c r="J21" s="582"/>
      <c r="K21" s="582"/>
      <c r="L21" s="582"/>
      <c r="M21" s="582"/>
      <c r="N21" s="701">
        <f>N19*N20</f>
        <v>1895781.7446568003</v>
      </c>
      <c r="O21" s="699"/>
    </row>
    <row r="22" spans="1:25" ht="14.5" x14ac:dyDescent="0.35">
      <c r="A22" s="582"/>
      <c r="B22" s="597" t="s">
        <v>38</v>
      </c>
      <c r="C22" s="627" t="s">
        <v>510</v>
      </c>
      <c r="D22" s="627" t="s">
        <v>511</v>
      </c>
      <c r="E22" s="627" t="s">
        <v>512</v>
      </c>
      <c r="F22" s="699"/>
      <c r="G22" s="699"/>
      <c r="H22" s="627" t="str">
        <f>+C22</f>
        <v>Sum of Feb-23</v>
      </c>
      <c r="I22" s="627" t="str">
        <f>+D22</f>
        <v>Sum of Mar-23</v>
      </c>
      <c r="J22" s="627" t="str">
        <f>+E22</f>
        <v>Sum of Apr-23</v>
      </c>
      <c r="K22" s="628" t="s">
        <v>43</v>
      </c>
      <c r="L22" s="582"/>
      <c r="M22" s="582"/>
      <c r="N22" s="582"/>
      <c r="O22" s="582"/>
    </row>
    <row r="23" spans="1:25" ht="14.5" x14ac:dyDescent="0.35">
      <c r="A23" s="582"/>
      <c r="B23" s="599" t="s">
        <v>44</v>
      </c>
      <c r="C23" s="695">
        <v>153509494.85394913</v>
      </c>
      <c r="D23" s="695">
        <v>168633002.0967561</v>
      </c>
      <c r="E23" s="695">
        <v>138985854.09612793</v>
      </c>
      <c r="F23" s="594"/>
      <c r="G23" s="696">
        <v>1.351E-3</v>
      </c>
      <c r="H23" s="698">
        <v>207391.32754768527</v>
      </c>
      <c r="I23" s="698">
        <v>227823.18583271749</v>
      </c>
      <c r="J23" s="698">
        <v>187769.88888386881</v>
      </c>
      <c r="K23" s="186">
        <f>SUM(H23:J23)</f>
        <v>622984.40226427163</v>
      </c>
      <c r="L23" s="582"/>
      <c r="M23" s="582"/>
      <c r="N23" s="582"/>
      <c r="O23" s="582"/>
    </row>
    <row r="24" spans="1:25" ht="14.5" x14ac:dyDescent="0.35">
      <c r="A24" s="582"/>
      <c r="B24" s="599" t="s">
        <v>45</v>
      </c>
      <c r="C24" s="702">
        <v>26042263.364</v>
      </c>
      <c r="D24" s="702">
        <v>25984209.386999998</v>
      </c>
      <c r="E24" s="702">
        <v>22498471.697000001</v>
      </c>
      <c r="F24" s="594"/>
      <c r="G24" s="696">
        <v>1.351E-3</v>
      </c>
      <c r="H24" s="698">
        <v>35183.097804764002</v>
      </c>
      <c r="I24" s="698">
        <v>35104.666881836994</v>
      </c>
      <c r="J24" s="698">
        <v>30395.435262646999</v>
      </c>
      <c r="K24" s="186">
        <f>SUM(H24:J24)</f>
        <v>100683.199949248</v>
      </c>
      <c r="L24" s="582"/>
      <c r="M24" s="582"/>
      <c r="N24" s="582"/>
      <c r="O24" s="582"/>
    </row>
    <row r="25" spans="1:25" ht="14.5" x14ac:dyDescent="0.35">
      <c r="A25" s="582"/>
      <c r="B25" s="592" t="s">
        <v>39</v>
      </c>
      <c r="C25" s="694">
        <f>SUM(C23:C24)</f>
        <v>179551758.21794912</v>
      </c>
      <c r="D25" s="694">
        <f>SUM(D23:D24)</f>
        <v>194617211.4837561</v>
      </c>
      <c r="E25" s="694">
        <f>SUM(E23:E24)</f>
        <v>161484325.79312792</v>
      </c>
      <c r="F25" s="582"/>
      <c r="G25" s="603"/>
      <c r="H25" s="697">
        <f>SUM(H23:H24)</f>
        <v>242574.42535244927</v>
      </c>
      <c r="I25" s="697">
        <f t="shared" ref="I25:J25" si="1">SUM(I23:I24)</f>
        <v>262927.85271455446</v>
      </c>
      <c r="J25" s="697">
        <f t="shared" si="1"/>
        <v>218165.32414651581</v>
      </c>
      <c r="K25" s="697">
        <f>SUM(K23:K24)</f>
        <v>723667.60221351963</v>
      </c>
      <c r="L25" s="582"/>
      <c r="M25" s="582"/>
      <c r="N25" s="582"/>
      <c r="O25" s="582"/>
    </row>
    <row r="26" spans="1:25" ht="14.5" x14ac:dyDescent="0.35">
      <c r="A26" s="582"/>
      <c r="B26" s="582"/>
      <c r="C26" s="582"/>
      <c r="D26" s="582"/>
      <c r="E26" s="582"/>
      <c r="F26" s="582"/>
      <c r="G26" s="604"/>
      <c r="H26" s="875">
        <f>$N$20</f>
        <v>0.95111500000000004</v>
      </c>
      <c r="I26" s="875">
        <f t="shared" ref="I26:K26" si="2">$N$20</f>
        <v>0.95111500000000004</v>
      </c>
      <c r="J26" s="875">
        <f t="shared" si="2"/>
        <v>0.95111500000000004</v>
      </c>
      <c r="K26" s="875">
        <f t="shared" si="2"/>
        <v>0.95111500000000004</v>
      </c>
      <c r="L26" s="582"/>
      <c r="M26" s="582"/>
      <c r="N26" s="582"/>
      <c r="O26" s="582"/>
    </row>
    <row r="27" spans="1:25" ht="14.5" x14ac:dyDescent="0.35">
      <c r="A27" s="582"/>
      <c r="B27" s="582"/>
      <c r="C27" s="582"/>
      <c r="D27" s="582"/>
      <c r="E27" s="582"/>
      <c r="F27" s="582"/>
      <c r="G27" s="582"/>
      <c r="H27" s="605">
        <f>H25*H26</f>
        <v>230716.17456909479</v>
      </c>
      <c r="I27" s="605">
        <f>I25*I26</f>
        <v>250074.62463460347</v>
      </c>
      <c r="J27" s="605">
        <f>J25*J26</f>
        <v>207500.3122756134</v>
      </c>
      <c r="K27" s="605">
        <f>K25*K26</f>
        <v>688291.11147931172</v>
      </c>
      <c r="L27" s="582"/>
      <c r="M27" s="582"/>
      <c r="N27" s="582"/>
      <c r="O27" s="582"/>
    </row>
    <row r="28" spans="1:25" ht="14.5" x14ac:dyDescent="0.35">
      <c r="A28" s="582"/>
      <c r="B28" s="582"/>
      <c r="C28" s="582"/>
      <c r="D28" s="582"/>
      <c r="E28" s="582"/>
      <c r="F28" s="582"/>
      <c r="G28" s="582"/>
      <c r="H28" s="582"/>
      <c r="I28" s="582"/>
      <c r="J28" s="582"/>
      <c r="K28" s="582"/>
      <c r="L28" s="582"/>
      <c r="M28" s="582"/>
      <c r="N28" s="582"/>
      <c r="O28" s="582"/>
    </row>
    <row r="29" spans="1:25" ht="14.5" x14ac:dyDescent="0.35">
      <c r="A29" s="917" t="s">
        <v>348</v>
      </c>
      <c r="B29" s="917"/>
      <c r="C29" s="917"/>
      <c r="D29" s="917"/>
      <c r="E29" s="917"/>
      <c r="F29" s="582"/>
      <c r="G29" s="582"/>
      <c r="H29" s="582"/>
      <c r="I29" s="582"/>
      <c r="J29" s="582"/>
      <c r="K29" s="582"/>
      <c r="L29" s="582"/>
      <c r="M29" s="582"/>
      <c r="N29" s="582"/>
      <c r="O29" s="582"/>
    </row>
    <row r="30" spans="1:25" ht="14.5" x14ac:dyDescent="0.35">
      <c r="A30" s="582"/>
      <c r="B30" s="918"/>
      <c r="C30" s="918"/>
      <c r="D30" s="918"/>
      <c r="E30" s="918"/>
      <c r="F30" s="582"/>
      <c r="G30" s="582"/>
      <c r="H30" s="582"/>
      <c r="I30" s="582"/>
      <c r="J30" s="582"/>
      <c r="K30" s="582"/>
      <c r="L30" s="582"/>
      <c r="M30" s="582"/>
      <c r="N30" s="582"/>
      <c r="O30" s="582"/>
    </row>
    <row r="31" spans="1:25" ht="14.5" x14ac:dyDescent="0.35">
      <c r="A31" s="582"/>
      <c r="B31" s="582"/>
      <c r="C31" s="582"/>
      <c r="D31" s="582"/>
      <c r="E31" s="582"/>
      <c r="F31" s="582"/>
      <c r="G31" s="582"/>
      <c r="H31" s="582"/>
      <c r="I31" s="582"/>
      <c r="J31" s="582"/>
      <c r="K31" s="582"/>
      <c r="L31" s="582"/>
      <c r="M31" s="582"/>
      <c r="N31" s="582"/>
      <c r="O31" s="582"/>
    </row>
    <row r="32" spans="1:25" ht="14.5" x14ac:dyDescent="0.35">
      <c r="A32" s="582"/>
      <c r="B32" s="582"/>
      <c r="C32" s="582"/>
      <c r="D32" s="582"/>
      <c r="E32" s="582"/>
      <c r="F32" s="582"/>
      <c r="G32" s="626" t="s">
        <v>513</v>
      </c>
      <c r="H32" s="582"/>
      <c r="I32" s="582"/>
      <c r="J32" s="582"/>
      <c r="K32" s="582"/>
      <c r="L32" s="582"/>
      <c r="M32" s="582"/>
      <c r="N32" s="582"/>
      <c r="O32" s="582"/>
    </row>
    <row r="33" spans="1:15" ht="14.5" x14ac:dyDescent="0.35">
      <c r="A33" s="582"/>
      <c r="B33" s="596"/>
      <c r="C33" s="596" t="s">
        <v>42</v>
      </c>
      <c r="D33" s="596"/>
      <c r="E33" s="596"/>
      <c r="F33" s="582"/>
      <c r="G33" s="699" t="s">
        <v>41</v>
      </c>
      <c r="H33" s="582"/>
      <c r="I33" s="582"/>
      <c r="J33" s="582"/>
      <c r="K33" s="582"/>
      <c r="L33" s="582"/>
      <c r="M33" s="582"/>
      <c r="N33" s="582"/>
      <c r="O33" s="582"/>
    </row>
    <row r="34" spans="1:15" ht="14.5" x14ac:dyDescent="0.35">
      <c r="A34" s="582"/>
      <c r="B34" s="597" t="s">
        <v>38</v>
      </c>
      <c r="C34" s="598" t="str">
        <f>+C22</f>
        <v>Sum of Feb-23</v>
      </c>
      <c r="D34" s="598" t="str">
        <f>+D22</f>
        <v>Sum of Mar-23</v>
      </c>
      <c r="E34" s="598" t="str">
        <f>+E22</f>
        <v>Sum of Apr-23</v>
      </c>
      <c r="F34" s="594"/>
      <c r="G34" s="594"/>
      <c r="H34" s="598" t="str">
        <f>+H22</f>
        <v>Sum of Feb-23</v>
      </c>
      <c r="I34" s="598" t="str">
        <f>+I22</f>
        <v>Sum of Mar-23</v>
      </c>
      <c r="J34" s="598" t="str">
        <f>+J22</f>
        <v>Sum of Apr-23</v>
      </c>
      <c r="K34" s="590" t="s">
        <v>43</v>
      </c>
      <c r="L34" s="582"/>
      <c r="M34" s="582"/>
      <c r="N34" s="582"/>
      <c r="O34" s="582"/>
    </row>
    <row r="35" spans="1:15" ht="14.5" x14ac:dyDescent="0.35">
      <c r="A35" s="582"/>
      <c r="B35" s="606">
        <v>46</v>
      </c>
      <c r="C35" s="695">
        <v>6048256.8158539804</v>
      </c>
      <c r="D35" s="695">
        <v>7511225.7734321496</v>
      </c>
      <c r="E35" s="695">
        <v>6795702.6530762911</v>
      </c>
      <c r="F35" s="594"/>
      <c r="G35" s="696">
        <v>2.9849999999999998E-3</v>
      </c>
      <c r="H35" s="601">
        <f>+$G35*SUM(C35)</f>
        <v>18054.046595324129</v>
      </c>
      <c r="I35" s="601">
        <f>+$G35*SUM(D35)</f>
        <v>22421.008933694964</v>
      </c>
      <c r="J35" s="601">
        <f t="shared" ref="I35:J37" si="3">+$G35*SUM(E35)</f>
        <v>20285.172419432729</v>
      </c>
      <c r="K35" s="186">
        <f>SUM(H35:J35)</f>
        <v>60760.227948451822</v>
      </c>
      <c r="L35" s="582"/>
      <c r="M35" s="582"/>
      <c r="N35" s="582"/>
      <c r="O35" s="582"/>
    </row>
    <row r="36" spans="1:15" ht="14.5" x14ac:dyDescent="0.35">
      <c r="A36" s="582"/>
      <c r="B36" s="606">
        <v>49</v>
      </c>
      <c r="C36" s="695">
        <v>36099487.39363087</v>
      </c>
      <c r="D36" s="695">
        <v>42003895.455436319</v>
      </c>
      <c r="E36" s="695">
        <v>43935369.22216139</v>
      </c>
      <c r="F36" s="594"/>
      <c r="G36" s="696">
        <v>4.496E-3</v>
      </c>
      <c r="H36" s="601">
        <f>+$G36*SUM(C36)</f>
        <v>162303.2953217644</v>
      </c>
      <c r="I36" s="601">
        <f t="shared" si="3"/>
        <v>188849.51396764169</v>
      </c>
      <c r="J36" s="601">
        <f t="shared" si="3"/>
        <v>197533.42002283761</v>
      </c>
      <c r="K36" s="186">
        <f>SUM(H36:J36)</f>
        <v>548686.22931224364</v>
      </c>
      <c r="L36" s="582"/>
      <c r="M36" s="582"/>
      <c r="N36" s="582"/>
      <c r="O36" s="582"/>
    </row>
    <row r="37" spans="1:15" ht="14.5" x14ac:dyDescent="0.35">
      <c r="A37" s="582"/>
      <c r="B37" s="607" t="s">
        <v>314</v>
      </c>
      <c r="C37" s="695">
        <v>26042263.364</v>
      </c>
      <c r="D37" s="695">
        <v>25984209.386999998</v>
      </c>
      <c r="E37" s="695">
        <v>22498471.697000001</v>
      </c>
      <c r="F37" s="594"/>
      <c r="G37" s="696">
        <v>5.2480000000000001E-3</v>
      </c>
      <c r="H37" s="601">
        <f>+$G37*SUM(C37)</f>
        <v>136669.79813427202</v>
      </c>
      <c r="I37" s="601">
        <f t="shared" si="3"/>
        <v>136365.13086297599</v>
      </c>
      <c r="J37" s="601">
        <f>+$G37*SUM(E37)</f>
        <v>118071.979465856</v>
      </c>
      <c r="K37" s="186">
        <f>SUM(H37:J37)</f>
        <v>391106.90846310399</v>
      </c>
      <c r="L37" s="582"/>
      <c r="M37" s="582"/>
      <c r="N37" s="582"/>
      <c r="O37" s="582"/>
    </row>
    <row r="38" spans="1:15" ht="14.5" x14ac:dyDescent="0.35">
      <c r="A38" s="582"/>
      <c r="B38" s="592" t="s">
        <v>39</v>
      </c>
      <c r="C38" s="694">
        <f>SUM(C35:C37)</f>
        <v>68190007.573484853</v>
      </c>
      <c r="D38" s="694">
        <f>SUM(D35:D37)</f>
        <v>75499330.615868464</v>
      </c>
      <c r="E38" s="694">
        <f>SUM(E35:E37)</f>
        <v>73229543.572237685</v>
      </c>
      <c r="F38" s="582"/>
      <c r="G38" s="604"/>
      <c r="H38" s="602">
        <f>SUM(H35:H37)</f>
        <v>317027.14005136053</v>
      </c>
      <c r="I38" s="602">
        <f>SUM(I35:I37)</f>
        <v>347635.65376431262</v>
      </c>
      <c r="J38" s="602">
        <f>SUM(J35:J37)</f>
        <v>335890.57190812635</v>
      </c>
      <c r="K38" s="602">
        <f>SUM(K35:K37)</f>
        <v>1000553.3657237994</v>
      </c>
      <c r="L38" s="582"/>
      <c r="M38" s="582"/>
      <c r="N38" s="582"/>
      <c r="O38" s="582"/>
    </row>
    <row r="39" spans="1:15" ht="14.5" x14ac:dyDescent="0.35">
      <c r="A39" s="582"/>
      <c r="B39" s="582"/>
      <c r="C39" s="582"/>
      <c r="D39" s="582"/>
      <c r="E39" s="582"/>
      <c r="F39" s="582"/>
      <c r="G39" s="582"/>
      <c r="H39" s="582"/>
      <c r="I39" s="582"/>
      <c r="J39" s="582"/>
      <c r="K39" s="582"/>
      <c r="L39" s="582"/>
      <c r="M39" s="582"/>
      <c r="N39" s="582"/>
      <c r="O39" s="582"/>
    </row>
  </sheetData>
  <mergeCells count="4">
    <mergeCell ref="A1:K1"/>
    <mergeCell ref="A18:E18"/>
    <mergeCell ref="A29:E29"/>
    <mergeCell ref="B30:E30"/>
  </mergeCells>
  <pageMargins left="0.7" right="0.7" top="0.75" bottom="0.75" header="0.3" footer="0.3"/>
  <pageSetup orientation="portrait" r:id="rId1"/>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63" sqref="G63"/>
    </sheetView>
  </sheetViews>
  <sheetFormatPr defaultRowHeight="14.5" x14ac:dyDescent="0.35"/>
  <sheetData/>
  <pageMargins left="0.7" right="0.7" top="0.75" bottom="0.75" header="0.3" footer="0.3"/>
  <customProperties>
    <customPr name="_pios_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B1A0C7"/>
  </sheetPr>
  <dimension ref="B1:I85"/>
  <sheetViews>
    <sheetView workbookViewId="0">
      <pane ySplit="16" topLeftCell="A78" activePane="bottomLeft" state="frozen"/>
      <selection activeCell="D10" sqref="D10"/>
      <selection pane="bottomLeft" activeCell="J13" sqref="J13"/>
    </sheetView>
  </sheetViews>
  <sheetFormatPr defaultColWidth="8.81640625" defaultRowHeight="14.5" x14ac:dyDescent="0.35"/>
  <cols>
    <col min="1" max="2" width="8.81640625" style="182"/>
    <col min="3" max="3" width="43.81640625" style="182" bestFit="1" customWidth="1"/>
    <col min="4" max="4" width="13.453125" style="182" bestFit="1" customWidth="1"/>
    <col min="5" max="5" width="12" style="182" bestFit="1" customWidth="1"/>
    <col min="6" max="7" width="8.81640625" style="182"/>
    <col min="9" max="16384" width="8.81640625" style="182"/>
  </cols>
  <sheetData>
    <row r="1" spans="2:9" x14ac:dyDescent="0.35">
      <c r="B1" s="232" t="s">
        <v>416</v>
      </c>
      <c r="H1" s="182"/>
      <c r="I1"/>
    </row>
    <row r="2" spans="2:9" ht="15" thickBot="1" x14ac:dyDescent="0.4">
      <c r="B2" s="71"/>
      <c r="C2" s="886"/>
      <c r="D2" s="71"/>
      <c r="E2" s="71"/>
      <c r="F2" s="182" t="s">
        <v>324</v>
      </c>
      <c r="I2"/>
    </row>
    <row r="3" spans="2:9" x14ac:dyDescent="0.35">
      <c r="B3" s="230"/>
      <c r="C3" s="2"/>
      <c r="D3" s="233"/>
      <c r="F3" s="182" t="s">
        <v>325</v>
      </c>
      <c r="H3" s="182"/>
      <c r="I3"/>
    </row>
    <row r="4" spans="2:9" x14ac:dyDescent="0.35">
      <c r="B4" s="234" t="s">
        <v>417</v>
      </c>
      <c r="C4" s="63"/>
      <c r="D4" s="235">
        <f>E82</f>
        <v>99157280.910000011</v>
      </c>
      <c r="H4" s="182"/>
      <c r="I4"/>
    </row>
    <row r="5" spans="2:9" x14ac:dyDescent="0.35">
      <c r="B5" s="234" t="s">
        <v>418</v>
      </c>
      <c r="C5" s="63"/>
      <c r="D5" s="236">
        <f>E57</f>
        <v>4750039.7300000004</v>
      </c>
      <c r="H5" s="182"/>
      <c r="I5"/>
    </row>
    <row r="6" spans="2:9" ht="15" thickBot="1" x14ac:dyDescent="0.4">
      <c r="B6" s="234" t="s">
        <v>419</v>
      </c>
      <c r="C6" s="63"/>
      <c r="D6" s="237">
        <f>D4-D5</f>
        <v>94407241.180000007</v>
      </c>
      <c r="H6" s="182"/>
      <c r="I6"/>
    </row>
    <row r="7" spans="2:9" ht="15" thickTop="1" x14ac:dyDescent="0.35">
      <c r="B7" s="234"/>
      <c r="C7" s="63"/>
      <c r="D7" s="235"/>
      <c r="F7" s="71"/>
      <c r="G7" s="71"/>
      <c r="H7" s="182"/>
      <c r="I7"/>
    </row>
    <row r="8" spans="2:9" x14ac:dyDescent="0.35">
      <c r="B8" s="234" t="s">
        <v>251</v>
      </c>
      <c r="C8" s="63"/>
      <c r="D8" s="235"/>
      <c r="F8" s="71"/>
      <c r="G8" s="71"/>
      <c r="H8" s="182"/>
      <c r="I8"/>
    </row>
    <row r="9" spans="2:9" x14ac:dyDescent="0.35">
      <c r="B9" s="238" t="s">
        <v>252</v>
      </c>
      <c r="C9" s="63"/>
      <c r="D9" s="235">
        <f>E58</f>
        <v>2723963.96</v>
      </c>
      <c r="H9" s="182"/>
      <c r="I9"/>
    </row>
    <row r="10" spans="2:9" x14ac:dyDescent="0.35">
      <c r="B10" s="238" t="s">
        <v>253</v>
      </c>
      <c r="C10" s="63"/>
      <c r="D10" s="236">
        <f>D6-D9</f>
        <v>91683277.220000014</v>
      </c>
    </row>
    <row r="11" spans="2:9" ht="15" thickBot="1" x14ac:dyDescent="0.4">
      <c r="B11" s="239" t="s">
        <v>419</v>
      </c>
      <c r="C11" s="63"/>
      <c r="D11" s="237">
        <f>SUM(D9:D10)</f>
        <v>94407241.180000007</v>
      </c>
    </row>
    <row r="12" spans="2:9" ht="15.5" thickTop="1" thickBot="1" x14ac:dyDescent="0.4">
      <c r="B12" s="240"/>
      <c r="C12" s="231"/>
      <c r="D12" s="241"/>
    </row>
    <row r="13" spans="2:9" x14ac:dyDescent="0.35">
      <c r="B13" s="232"/>
      <c r="C13" s="242"/>
      <c r="D13" s="243">
        <f>D11-E84</f>
        <v>0</v>
      </c>
      <c r="E13" s="244" t="s">
        <v>254</v>
      </c>
    </row>
    <row r="15" spans="2:9" ht="15" thickBot="1" x14ac:dyDescent="0.4"/>
    <row r="16" spans="2:9" x14ac:dyDescent="0.35">
      <c r="B16" s="291" t="s">
        <v>225</v>
      </c>
      <c r="C16" s="188" t="s">
        <v>226</v>
      </c>
      <c r="D16" s="188" t="s">
        <v>227</v>
      </c>
      <c r="E16" s="189" t="s">
        <v>479</v>
      </c>
    </row>
    <row r="17" spans="2:5" x14ac:dyDescent="0.35">
      <c r="B17" s="744" t="s">
        <v>146</v>
      </c>
      <c r="C17" s="745" t="s">
        <v>420</v>
      </c>
      <c r="D17" s="741">
        <v>18230023</v>
      </c>
      <c r="E17" s="292">
        <v>998491.89</v>
      </c>
    </row>
    <row r="18" spans="2:5" x14ac:dyDescent="0.35">
      <c r="B18" s="190"/>
      <c r="C18" s="743" t="s">
        <v>421</v>
      </c>
      <c r="D18" s="741">
        <v>18230013</v>
      </c>
      <c r="E18" s="292">
        <v>123755.83000000002</v>
      </c>
    </row>
    <row r="19" spans="2:5" x14ac:dyDescent="0.35">
      <c r="B19" s="190"/>
      <c r="C19" s="743" t="s">
        <v>422</v>
      </c>
      <c r="D19" s="741">
        <v>18230014</v>
      </c>
      <c r="E19" s="292">
        <v>1652761.5200000003</v>
      </c>
    </row>
    <row r="20" spans="2:5" x14ac:dyDescent="0.35">
      <c r="B20" s="744"/>
      <c r="C20" s="745" t="s">
        <v>423</v>
      </c>
      <c r="D20" s="741">
        <v>18230015</v>
      </c>
      <c r="E20" s="292">
        <v>601111.25</v>
      </c>
    </row>
    <row r="21" spans="2:5" x14ac:dyDescent="0.35">
      <c r="B21" s="190"/>
      <c r="C21" s="743" t="s">
        <v>424</v>
      </c>
      <c r="D21" s="741">
        <v>18230071</v>
      </c>
      <c r="E21" s="292">
        <v>165040.69999999998</v>
      </c>
    </row>
    <row r="22" spans="2:5" x14ac:dyDescent="0.35">
      <c r="B22" s="190"/>
      <c r="C22" s="743" t="s">
        <v>425</v>
      </c>
      <c r="D22" s="741">
        <v>18230133</v>
      </c>
      <c r="E22" s="292">
        <v>47317.63</v>
      </c>
    </row>
    <row r="23" spans="2:5" x14ac:dyDescent="0.35">
      <c r="B23" s="744" t="s">
        <v>144</v>
      </c>
      <c r="C23" s="745" t="s">
        <v>115</v>
      </c>
      <c r="D23" s="741">
        <v>18230128</v>
      </c>
      <c r="E23" s="292">
        <v>3646448.9900000007</v>
      </c>
    </row>
    <row r="24" spans="2:5" x14ac:dyDescent="0.35">
      <c r="B24" s="190"/>
      <c r="C24" s="743" t="s">
        <v>426</v>
      </c>
      <c r="D24" s="741">
        <v>18230134</v>
      </c>
      <c r="E24" s="292">
        <v>243127.72</v>
      </c>
    </row>
    <row r="25" spans="2:5" x14ac:dyDescent="0.35">
      <c r="B25" s="190"/>
      <c r="C25" s="743" t="s">
        <v>427</v>
      </c>
      <c r="D25" s="741">
        <v>18230140</v>
      </c>
      <c r="E25" s="292">
        <v>1452.72</v>
      </c>
    </row>
    <row r="26" spans="2:5" x14ac:dyDescent="0.35">
      <c r="B26" s="744"/>
      <c r="C26" s="745" t="s">
        <v>428</v>
      </c>
      <c r="D26" s="741">
        <v>18230400</v>
      </c>
      <c r="E26" s="292">
        <v>57463.41</v>
      </c>
    </row>
    <row r="27" spans="2:5" x14ac:dyDescent="0.35">
      <c r="B27" s="190"/>
      <c r="C27" s="743" t="s">
        <v>429</v>
      </c>
      <c r="D27" s="741">
        <v>18230405</v>
      </c>
      <c r="E27" s="292">
        <v>139153.93</v>
      </c>
    </row>
    <row r="28" spans="2:5" x14ac:dyDescent="0.35">
      <c r="B28" s="190"/>
      <c r="C28" s="743" t="s">
        <v>430</v>
      </c>
      <c r="D28" s="741">
        <v>18230407</v>
      </c>
      <c r="E28" s="292">
        <v>5334529.1999999993</v>
      </c>
    </row>
    <row r="29" spans="2:5" x14ac:dyDescent="0.35">
      <c r="B29" s="744"/>
      <c r="C29" s="745" t="s">
        <v>431</v>
      </c>
      <c r="D29" s="741">
        <v>18230408</v>
      </c>
      <c r="E29" s="292">
        <v>474572.80999999994</v>
      </c>
    </row>
    <row r="30" spans="2:5" x14ac:dyDescent="0.35">
      <c r="B30" s="190"/>
      <c r="C30" s="743" t="s">
        <v>432</v>
      </c>
      <c r="D30" s="741">
        <v>18230411</v>
      </c>
      <c r="E30" s="292">
        <v>3344401.7900000005</v>
      </c>
    </row>
    <row r="31" spans="2:5" x14ac:dyDescent="0.35">
      <c r="B31" s="190"/>
      <c r="C31" s="743" t="s">
        <v>433</v>
      </c>
      <c r="D31" s="741">
        <v>18230413</v>
      </c>
      <c r="E31" s="292">
        <v>161034.83000000002</v>
      </c>
    </row>
    <row r="32" spans="2:5" x14ac:dyDescent="0.35">
      <c r="B32" s="744"/>
      <c r="C32" s="745" t="s">
        <v>434</v>
      </c>
      <c r="D32" s="741">
        <v>18230418</v>
      </c>
      <c r="E32" s="292">
        <v>552934.44999999995</v>
      </c>
    </row>
    <row r="33" spans="2:5" x14ac:dyDescent="0.35">
      <c r="B33" s="190" t="s">
        <v>145</v>
      </c>
      <c r="C33" s="743" t="s">
        <v>435</v>
      </c>
      <c r="D33" s="741">
        <v>18230421</v>
      </c>
      <c r="E33" s="292">
        <v>4276053.1999999993</v>
      </c>
    </row>
    <row r="34" spans="2:5" x14ac:dyDescent="0.35">
      <c r="B34" s="190" t="s">
        <v>146</v>
      </c>
      <c r="C34" s="743" t="s">
        <v>436</v>
      </c>
      <c r="D34" s="741">
        <v>18230434</v>
      </c>
      <c r="E34" s="292">
        <v>548275.3899999999</v>
      </c>
    </row>
    <row r="35" spans="2:5" x14ac:dyDescent="0.35">
      <c r="B35" s="744" t="s">
        <v>146</v>
      </c>
      <c r="C35" s="745" t="s">
        <v>437</v>
      </c>
      <c r="D35" s="741">
        <v>18230435</v>
      </c>
      <c r="E35" s="292">
        <v>3330.97</v>
      </c>
    </row>
    <row r="36" spans="2:5" x14ac:dyDescent="0.35">
      <c r="B36" s="190" t="s">
        <v>146</v>
      </c>
      <c r="C36" s="743" t="s">
        <v>438</v>
      </c>
      <c r="D36" s="741">
        <v>18230440</v>
      </c>
      <c r="E36" s="292">
        <v>1149355.93</v>
      </c>
    </row>
    <row r="37" spans="2:5" x14ac:dyDescent="0.35">
      <c r="B37" s="190" t="s">
        <v>146</v>
      </c>
      <c r="C37" s="743" t="s">
        <v>439</v>
      </c>
      <c r="D37" s="741">
        <v>18230461</v>
      </c>
      <c r="E37" s="292">
        <v>1577453.42</v>
      </c>
    </row>
    <row r="38" spans="2:5" x14ac:dyDescent="0.35">
      <c r="B38" s="744"/>
      <c r="C38" s="745" t="s">
        <v>440</v>
      </c>
      <c r="D38" s="741">
        <v>18230466</v>
      </c>
      <c r="E38" s="292">
        <v>1303856.1399999999</v>
      </c>
    </row>
    <row r="39" spans="2:5" x14ac:dyDescent="0.35">
      <c r="B39" s="190"/>
      <c r="C39" s="743" t="s">
        <v>441</v>
      </c>
      <c r="D39" s="741">
        <v>18230469</v>
      </c>
      <c r="E39" s="292">
        <v>472099.08000000007</v>
      </c>
    </row>
    <row r="40" spans="2:5" x14ac:dyDescent="0.35">
      <c r="B40" s="190" t="s">
        <v>148</v>
      </c>
      <c r="C40" s="743" t="s">
        <v>442</v>
      </c>
      <c r="D40" s="741">
        <v>18230486</v>
      </c>
      <c r="E40" s="292">
        <v>1431622.11</v>
      </c>
    </row>
    <row r="41" spans="2:5" x14ac:dyDescent="0.35">
      <c r="B41" s="744" t="s">
        <v>147</v>
      </c>
      <c r="C41" s="745" t="s">
        <v>443</v>
      </c>
      <c r="D41" s="741">
        <v>18230487</v>
      </c>
      <c r="E41" s="292">
        <v>621295.46</v>
      </c>
    </row>
    <row r="42" spans="2:5" x14ac:dyDescent="0.35">
      <c r="B42" s="190"/>
      <c r="C42" s="743" t="s">
        <v>444</v>
      </c>
      <c r="D42" s="741">
        <v>18230507</v>
      </c>
      <c r="E42" s="292">
        <v>837766.34</v>
      </c>
    </row>
    <row r="43" spans="2:5" x14ac:dyDescent="0.35">
      <c r="B43" s="190"/>
      <c r="C43" s="743" t="s">
        <v>445</v>
      </c>
      <c r="D43" s="741">
        <v>18230508</v>
      </c>
      <c r="E43" s="292">
        <v>750573.3899999999</v>
      </c>
    </row>
    <row r="44" spans="2:5" x14ac:dyDescent="0.35">
      <c r="B44" s="744"/>
      <c r="C44" s="745" t="s">
        <v>446</v>
      </c>
      <c r="D44" s="741">
        <v>18230509</v>
      </c>
      <c r="E44" s="292">
        <v>214664.57</v>
      </c>
    </row>
    <row r="45" spans="2:5" x14ac:dyDescent="0.35">
      <c r="B45" s="190"/>
      <c r="C45" s="743" t="s">
        <v>447</v>
      </c>
      <c r="D45" s="741">
        <v>18230524</v>
      </c>
      <c r="E45" s="292">
        <v>591541.21</v>
      </c>
    </row>
    <row r="46" spans="2:5" x14ac:dyDescent="0.35">
      <c r="B46" s="190" t="s">
        <v>147</v>
      </c>
      <c r="C46" s="743" t="s">
        <v>448</v>
      </c>
      <c r="D46" s="741">
        <v>18230610</v>
      </c>
      <c r="E46" s="292">
        <v>1062064.47</v>
      </c>
    </row>
    <row r="47" spans="2:5" x14ac:dyDescent="0.35">
      <c r="B47" s="744" t="s">
        <v>150</v>
      </c>
      <c r="C47" s="745" t="s">
        <v>449</v>
      </c>
      <c r="D47" s="741">
        <v>18230611</v>
      </c>
      <c r="E47" s="292">
        <v>4686624.8400000008</v>
      </c>
    </row>
    <row r="48" spans="2:5" x14ac:dyDescent="0.35">
      <c r="B48" s="190"/>
      <c r="C48" s="743" t="s">
        <v>450</v>
      </c>
      <c r="D48" s="741">
        <v>18230624</v>
      </c>
      <c r="E48" s="292">
        <v>64162</v>
      </c>
    </row>
    <row r="49" spans="2:5" x14ac:dyDescent="0.35">
      <c r="B49" s="190" t="s">
        <v>146</v>
      </c>
      <c r="C49" s="743" t="s">
        <v>451</v>
      </c>
      <c r="D49" s="741">
        <v>18230626</v>
      </c>
      <c r="E49" s="292">
        <v>705775.27</v>
      </c>
    </row>
    <row r="50" spans="2:5" x14ac:dyDescent="0.35">
      <c r="B50" s="744" t="s">
        <v>146</v>
      </c>
      <c r="C50" s="745" t="s">
        <v>452</v>
      </c>
      <c r="D50" s="741">
        <v>18230627</v>
      </c>
      <c r="E50" s="292">
        <v>1176597.5299999998</v>
      </c>
    </row>
    <row r="51" spans="2:5" x14ac:dyDescent="0.35">
      <c r="B51" s="190" t="s">
        <v>146</v>
      </c>
      <c r="C51" s="743" t="s">
        <v>453</v>
      </c>
      <c r="D51" s="741">
        <v>18230628</v>
      </c>
      <c r="E51" s="292">
        <v>3843297.4600000004</v>
      </c>
    </row>
    <row r="52" spans="2:5" x14ac:dyDescent="0.35">
      <c r="B52" s="190" t="s">
        <v>151</v>
      </c>
      <c r="C52" s="743" t="s">
        <v>454</v>
      </c>
      <c r="D52" s="741">
        <v>18230711</v>
      </c>
      <c r="E52" s="292">
        <v>5448126.9900000002</v>
      </c>
    </row>
    <row r="53" spans="2:5" x14ac:dyDescent="0.35">
      <c r="B53" s="744" t="s">
        <v>152</v>
      </c>
      <c r="C53" s="745" t="s">
        <v>455</v>
      </c>
      <c r="D53" s="741">
        <v>18230714</v>
      </c>
      <c r="E53" s="292">
        <v>2896512.1999999997</v>
      </c>
    </row>
    <row r="54" spans="2:5" x14ac:dyDescent="0.35">
      <c r="B54" s="190" t="s">
        <v>114</v>
      </c>
      <c r="C54" s="743" t="s">
        <v>456</v>
      </c>
      <c r="D54" s="741">
        <v>18230715</v>
      </c>
      <c r="E54" s="292">
        <v>3200318.9299999997</v>
      </c>
    </row>
    <row r="55" spans="2:5" x14ac:dyDescent="0.35">
      <c r="B55" s="190" t="s">
        <v>152</v>
      </c>
      <c r="C55" s="743" t="s">
        <v>457</v>
      </c>
      <c r="D55" s="741">
        <v>18230716</v>
      </c>
      <c r="E55" s="292">
        <v>509446.64999999997</v>
      </c>
    </row>
    <row r="56" spans="2:5" x14ac:dyDescent="0.35">
      <c r="B56" s="744" t="s">
        <v>152</v>
      </c>
      <c r="C56" s="745" t="s">
        <v>458</v>
      </c>
      <c r="D56" s="741">
        <v>18230718</v>
      </c>
      <c r="E56" s="292">
        <v>232898.08000000002</v>
      </c>
    </row>
    <row r="57" spans="2:5" x14ac:dyDescent="0.35">
      <c r="B57" s="749" t="s">
        <v>153</v>
      </c>
      <c r="C57" s="750" t="s">
        <v>215</v>
      </c>
      <c r="D57" s="751">
        <v>18230720</v>
      </c>
      <c r="E57" s="752">
        <v>4750039.7300000004</v>
      </c>
    </row>
    <row r="58" spans="2:5" x14ac:dyDescent="0.35">
      <c r="B58" s="753" t="s">
        <v>153</v>
      </c>
      <c r="C58" s="754" t="s">
        <v>216</v>
      </c>
      <c r="D58" s="742">
        <v>18230721</v>
      </c>
      <c r="E58" s="755">
        <v>2723963.96</v>
      </c>
    </row>
    <row r="59" spans="2:5" x14ac:dyDescent="0.35">
      <c r="B59" s="190" t="s">
        <v>149</v>
      </c>
      <c r="C59" s="743" t="s">
        <v>459</v>
      </c>
      <c r="D59" s="741">
        <v>18230723</v>
      </c>
      <c r="E59" s="292">
        <v>1575204.4</v>
      </c>
    </row>
    <row r="60" spans="2:5" x14ac:dyDescent="0.35">
      <c r="B60" s="190" t="s">
        <v>151</v>
      </c>
      <c r="C60" s="743" t="s">
        <v>460</v>
      </c>
      <c r="D60" s="741">
        <v>18230724</v>
      </c>
      <c r="E60" s="292">
        <v>11481257.83</v>
      </c>
    </row>
    <row r="61" spans="2:5" x14ac:dyDescent="0.35">
      <c r="B61" s="744" t="s">
        <v>154</v>
      </c>
      <c r="C61" s="745" t="s">
        <v>461</v>
      </c>
      <c r="D61" s="741">
        <v>18230730</v>
      </c>
      <c r="E61" s="292">
        <v>233933.38</v>
      </c>
    </row>
    <row r="62" spans="2:5" x14ac:dyDescent="0.35">
      <c r="B62" s="190"/>
      <c r="C62" s="743" t="s">
        <v>462</v>
      </c>
      <c r="D62" s="741">
        <v>18230745</v>
      </c>
      <c r="E62" s="292">
        <v>977319.69</v>
      </c>
    </row>
    <row r="63" spans="2:5" x14ac:dyDescent="0.35">
      <c r="B63" s="190"/>
      <c r="C63" s="743" t="s">
        <v>463</v>
      </c>
      <c r="D63" s="741">
        <v>18230746</v>
      </c>
      <c r="E63" s="292">
        <v>-99065.25999999998</v>
      </c>
    </row>
    <row r="64" spans="2:5" x14ac:dyDescent="0.35">
      <c r="B64" s="744"/>
      <c r="C64" s="745" t="s">
        <v>464</v>
      </c>
      <c r="D64" s="741">
        <v>18230749</v>
      </c>
      <c r="E64" s="292">
        <v>247663.75999999998</v>
      </c>
    </row>
    <row r="65" spans="2:5" x14ac:dyDescent="0.35">
      <c r="B65" s="190"/>
      <c r="C65" s="743" t="s">
        <v>465</v>
      </c>
      <c r="D65" s="741">
        <v>18230750</v>
      </c>
      <c r="E65" s="292">
        <v>162458.5</v>
      </c>
    </row>
    <row r="66" spans="2:5" x14ac:dyDescent="0.35">
      <c r="B66" s="190"/>
      <c r="C66" s="743" t="s">
        <v>466</v>
      </c>
      <c r="D66" s="741">
        <v>18230751</v>
      </c>
      <c r="E66" s="292">
        <v>67647.7</v>
      </c>
    </row>
    <row r="67" spans="2:5" x14ac:dyDescent="0.35">
      <c r="B67" s="744"/>
      <c r="C67" s="745" t="s">
        <v>467</v>
      </c>
      <c r="D67" s="741">
        <v>18230802</v>
      </c>
      <c r="E67" s="292">
        <v>1526342.27</v>
      </c>
    </row>
    <row r="68" spans="2:5" x14ac:dyDescent="0.35">
      <c r="B68" s="190"/>
      <c r="C68" s="743" t="s">
        <v>468</v>
      </c>
      <c r="D68" s="741">
        <v>18230809</v>
      </c>
      <c r="E68" s="292">
        <v>673398.5199999999</v>
      </c>
    </row>
    <row r="69" spans="2:5" x14ac:dyDescent="0.35">
      <c r="B69" s="190"/>
      <c r="C69" s="743" t="s">
        <v>469</v>
      </c>
      <c r="D69" s="741">
        <v>18230810</v>
      </c>
      <c r="E69" s="292">
        <v>500099.98</v>
      </c>
    </row>
    <row r="70" spans="2:5" x14ac:dyDescent="0.35">
      <c r="B70" s="744"/>
      <c r="C70" s="745" t="s">
        <v>470</v>
      </c>
      <c r="D70" s="741">
        <v>18230811</v>
      </c>
      <c r="E70" s="292">
        <v>904421.01</v>
      </c>
    </row>
    <row r="71" spans="2:5" x14ac:dyDescent="0.35">
      <c r="B71" s="190"/>
      <c r="C71" s="743" t="s">
        <v>471</v>
      </c>
      <c r="D71" s="741">
        <v>18231128</v>
      </c>
      <c r="E71" s="292">
        <v>1014.4800000000396</v>
      </c>
    </row>
    <row r="72" spans="2:5" x14ac:dyDescent="0.35">
      <c r="B72" s="190" t="s">
        <v>151</v>
      </c>
      <c r="C72" s="743" t="s">
        <v>472</v>
      </c>
      <c r="D72" s="741">
        <v>18231133</v>
      </c>
      <c r="E72" s="292">
        <v>-42571.71</v>
      </c>
    </row>
    <row r="73" spans="2:5" x14ac:dyDescent="0.35">
      <c r="B73" s="744" t="s">
        <v>152</v>
      </c>
      <c r="C73" s="745" t="s">
        <v>473</v>
      </c>
      <c r="D73" s="741">
        <v>18231134</v>
      </c>
      <c r="E73" s="292">
        <v>7892532.5199999996</v>
      </c>
    </row>
    <row r="74" spans="2:5" x14ac:dyDescent="0.35">
      <c r="B74" s="190"/>
      <c r="C74" s="743" t="s">
        <v>474</v>
      </c>
      <c r="D74" s="741">
        <v>18231137</v>
      </c>
      <c r="E74" s="292">
        <v>1461659.9200000002</v>
      </c>
    </row>
    <row r="75" spans="2:5" x14ac:dyDescent="0.35">
      <c r="B75" s="190"/>
      <c r="C75" s="743" t="s">
        <v>475</v>
      </c>
      <c r="D75" s="741">
        <v>18236102</v>
      </c>
      <c r="E75" s="292">
        <v>307374.74</v>
      </c>
    </row>
    <row r="76" spans="2:5" x14ac:dyDescent="0.35">
      <c r="B76" s="744"/>
      <c r="C76" s="745" t="s">
        <v>476</v>
      </c>
      <c r="D76" s="741">
        <v>18230162</v>
      </c>
      <c r="E76" s="292">
        <v>8344184.5899999999</v>
      </c>
    </row>
    <row r="77" spans="2:5" x14ac:dyDescent="0.35">
      <c r="B77" s="190"/>
      <c r="C77" s="743" t="s">
        <v>477</v>
      </c>
      <c r="D77" s="741">
        <v>18239043</v>
      </c>
      <c r="E77" s="292">
        <v>307772.7</v>
      </c>
    </row>
    <row r="78" spans="2:5" x14ac:dyDescent="0.35">
      <c r="B78" s="190"/>
      <c r="C78" s="743" t="s">
        <v>478</v>
      </c>
      <c r="D78" s="741">
        <v>18230753</v>
      </c>
      <c r="E78" s="292">
        <v>13317.9</v>
      </c>
    </row>
    <row r="79" spans="2:5" x14ac:dyDescent="0.35">
      <c r="B79" s="190"/>
      <c r="C79" s="740"/>
      <c r="D79" s="741"/>
    </row>
    <row r="80" spans="2:5" x14ac:dyDescent="0.35">
      <c r="B80" s="190"/>
      <c r="C80" s="740"/>
      <c r="D80" s="741"/>
    </row>
    <row r="81" spans="2:5" x14ac:dyDescent="0.35">
      <c r="B81" s="746"/>
      <c r="C81" s="747"/>
      <c r="D81" s="748"/>
    </row>
    <row r="82" spans="2:5" ht="15" thickBot="1" x14ac:dyDescent="0.4">
      <c r="E82" s="293">
        <f>SUM(E17:E78)</f>
        <v>99157280.910000011</v>
      </c>
    </row>
    <row r="83" spans="2:5" ht="15" thickTop="1" x14ac:dyDescent="0.35">
      <c r="E83" s="292">
        <f>-E57</f>
        <v>-4750039.7300000004</v>
      </c>
    </row>
    <row r="84" spans="2:5" ht="15" thickBot="1" x14ac:dyDescent="0.4">
      <c r="E84" s="293">
        <f>E82+E83</f>
        <v>94407241.180000007</v>
      </c>
    </row>
    <row r="85" spans="2:5" ht="15" thickTop="1" x14ac:dyDescent="0.35"/>
  </sheetData>
  <pageMargins left="0.7" right="0.7" top="0.75" bottom="0.75" header="0.3" footer="0.3"/>
  <customProperties>
    <customPr name="_pios_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G63" sqref="G63"/>
    </sheetView>
  </sheetViews>
  <sheetFormatPr defaultRowHeight="14.5" x14ac:dyDescent="0.35"/>
  <sheetData/>
  <pageMargins left="0.7" right="0.7" top="0.75" bottom="0.75" header="0.3" footer="0.3"/>
  <customProperties>
    <customPr name="_pios_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B1A0C7"/>
  </sheetPr>
  <dimension ref="A1:J15"/>
  <sheetViews>
    <sheetView workbookViewId="0">
      <selection activeCell="A11" sqref="A11"/>
    </sheetView>
  </sheetViews>
  <sheetFormatPr defaultColWidth="8.81640625" defaultRowHeight="14.5" x14ac:dyDescent="0.35"/>
  <cols>
    <col min="1" max="1" width="69.54296875" style="71" bestFit="1" customWidth="1"/>
    <col min="2" max="4" width="13.54296875" style="71" bestFit="1" customWidth="1"/>
    <col min="5" max="5" width="12.54296875" style="71" bestFit="1" customWidth="1"/>
    <col min="6" max="6" width="11.453125" style="71" bestFit="1" customWidth="1"/>
    <col min="7" max="7" width="12.54296875" style="71" bestFit="1" customWidth="1"/>
    <col min="8" max="8" width="13.453125" style="71" bestFit="1" customWidth="1"/>
    <col min="9" max="10" width="13.54296875" style="71" bestFit="1" customWidth="1"/>
    <col min="11" max="16384" width="8.81640625" style="71"/>
  </cols>
  <sheetData>
    <row r="1" spans="1:10" x14ac:dyDescent="0.35">
      <c r="A1" s="7" t="s">
        <v>141</v>
      </c>
      <c r="B1" s="7"/>
      <c r="C1" s="7"/>
      <c r="D1" s="7"/>
      <c r="E1" s="7"/>
      <c r="F1" s="7"/>
      <c r="G1" s="7"/>
      <c r="H1" s="7"/>
      <c r="I1" s="7"/>
      <c r="J1" s="7"/>
    </row>
    <row r="2" spans="1:10" x14ac:dyDescent="0.35">
      <c r="A2" s="7"/>
      <c r="B2" s="7"/>
      <c r="C2" s="7"/>
      <c r="D2" s="53"/>
      <c r="E2" s="53"/>
      <c r="F2" s="53"/>
      <c r="G2" s="7"/>
      <c r="H2" s="7"/>
      <c r="I2" s="7"/>
      <c r="J2" s="7"/>
    </row>
    <row r="3" spans="1:10" x14ac:dyDescent="0.35">
      <c r="A3" s="7"/>
      <c r="B3" s="7"/>
      <c r="C3" s="7"/>
      <c r="D3" s="7"/>
      <c r="E3" s="7"/>
      <c r="F3" s="7"/>
      <c r="G3" s="7"/>
      <c r="H3" s="7"/>
      <c r="I3" s="7"/>
      <c r="J3" s="7"/>
    </row>
    <row r="4" spans="1:10" x14ac:dyDescent="0.35">
      <c r="A4" s="7"/>
      <c r="B4" s="74" t="s">
        <v>20</v>
      </c>
      <c r="C4" s="75"/>
      <c r="D4" s="76"/>
      <c r="E4" s="74">
        <v>449</v>
      </c>
      <c r="F4" s="75"/>
      <c r="G4" s="76"/>
      <c r="H4" s="74" t="s">
        <v>73</v>
      </c>
      <c r="I4" s="75"/>
      <c r="J4" s="76"/>
    </row>
    <row r="5" spans="1:10" x14ac:dyDescent="0.35">
      <c r="A5" s="7"/>
      <c r="B5" s="77" t="s">
        <v>224</v>
      </c>
      <c r="C5" s="77" t="s">
        <v>142</v>
      </c>
      <c r="D5" s="77" t="s">
        <v>143</v>
      </c>
      <c r="E5" s="77" t="s">
        <v>224</v>
      </c>
      <c r="F5" s="77" t="s">
        <v>142</v>
      </c>
      <c r="G5" s="77" t="s">
        <v>143</v>
      </c>
      <c r="H5" s="77" t="s">
        <v>224</v>
      </c>
      <c r="I5" s="77" t="s">
        <v>142</v>
      </c>
      <c r="J5" s="77" t="s">
        <v>143</v>
      </c>
    </row>
    <row r="6" spans="1:10" x14ac:dyDescent="0.35">
      <c r="A6" s="7" t="s">
        <v>491</v>
      </c>
      <c r="B6" s="1"/>
      <c r="C6" s="78"/>
      <c r="D6" s="79"/>
      <c r="E6" s="1"/>
      <c r="F6" s="78"/>
      <c r="G6" s="79"/>
      <c r="H6" s="1"/>
      <c r="I6" s="78"/>
      <c r="J6" s="79"/>
    </row>
    <row r="7" spans="1:10" x14ac:dyDescent="0.35">
      <c r="A7" s="80" t="s">
        <v>488</v>
      </c>
      <c r="B7" s="573">
        <f>H7-E7</f>
        <v>6048541.8081425894</v>
      </c>
      <c r="C7" s="574">
        <f>I7-F7</f>
        <v>7162619.2919798009</v>
      </c>
      <c r="D7" s="575">
        <f>B7-C7</f>
        <v>-1114077.4838372115</v>
      </c>
      <c r="E7" s="573">
        <f>-'Estimate Used in PY Filing'!D28</f>
        <v>147244.36268341096</v>
      </c>
      <c r="F7" s="573">
        <f>'258 Cons Tbl 20-21'!C16</f>
        <v>162655.49288284997</v>
      </c>
      <c r="G7" s="575">
        <f>E7-F7</f>
        <v>-15411.130199439009</v>
      </c>
      <c r="H7" s="573">
        <f>-'Estimate Used in PY Filing'!E28</f>
        <v>6195786.1708260002</v>
      </c>
      <c r="I7" s="574">
        <f>'Act Sch 120 Collctns Feb-Apr 22'!B5</f>
        <v>7325274.7848626506</v>
      </c>
      <c r="J7" s="575">
        <f>H7-I7</f>
        <v>-1129488.6140366504</v>
      </c>
    </row>
    <row r="8" spans="1:10" x14ac:dyDescent="0.35">
      <c r="A8" s="80" t="s">
        <v>489</v>
      </c>
      <c r="B8" s="576">
        <f t="shared" ref="B8:C9" si="0">H8-E8</f>
        <v>6317241.5741213644</v>
      </c>
      <c r="C8" s="574">
        <f t="shared" si="0"/>
        <v>6734590.7395591</v>
      </c>
      <c r="D8" s="577">
        <f>B8-C8</f>
        <v>-417349.16543773562</v>
      </c>
      <c r="E8" s="576">
        <f>-'Estimate Used in PY Filing'!D30</f>
        <v>150814.61115663548</v>
      </c>
      <c r="F8" s="576">
        <f>'258 Cons Tbl 20-21'!D16</f>
        <v>151854.00320695</v>
      </c>
      <c r="G8" s="577">
        <f>E8-F8</f>
        <v>-1039.39205031452</v>
      </c>
      <c r="H8" s="576">
        <f>-'Estimate Used in PY Filing'!E30</f>
        <v>6468056.1852780003</v>
      </c>
      <c r="I8" s="578">
        <f>'Act Sch 120 Collctns Feb-Apr 22'!C5</f>
        <v>6886444.7427660497</v>
      </c>
      <c r="J8" s="577">
        <f>H8-I8</f>
        <v>-418388.55748804938</v>
      </c>
    </row>
    <row r="9" spans="1:10" x14ac:dyDescent="0.35">
      <c r="A9" s="80" t="s">
        <v>490</v>
      </c>
      <c r="B9" s="576">
        <f t="shared" si="0"/>
        <v>5360682.8579918528</v>
      </c>
      <c r="C9" s="578">
        <f t="shared" si="0"/>
        <v>6715056.6350664496</v>
      </c>
      <c r="D9" s="577">
        <f>B9-C9</f>
        <v>-1354373.7770745968</v>
      </c>
      <c r="E9" s="576">
        <f>-'Estimate Used in PY Filing'!D32</f>
        <v>142800.59603014714</v>
      </c>
      <c r="F9" s="576">
        <f>'258 Cons Tbl 20-21'!E16</f>
        <v>167518.71507854998</v>
      </c>
      <c r="G9" s="577">
        <f>E9-F9</f>
        <v>-24718.119048402848</v>
      </c>
      <c r="H9" s="576">
        <f>-'Estimate Used in PY Filing'!E32</f>
        <v>5503483.4540219996</v>
      </c>
      <c r="I9" s="578">
        <f>'Act Sch 120 Collctns Feb-Apr 22'!D5</f>
        <v>6882575.350145</v>
      </c>
      <c r="J9" s="577">
        <f>H9-I9</f>
        <v>-1379091.8961230004</v>
      </c>
    </row>
    <row r="10" spans="1:10" ht="15" thickBot="1" x14ac:dyDescent="0.4">
      <c r="A10" s="7" t="s">
        <v>533</v>
      </c>
      <c r="B10" s="81">
        <f t="shared" ref="B10:J10" si="1">SUM(B7:B9)</f>
        <v>17726466.240255807</v>
      </c>
      <c r="C10" s="58">
        <f t="shared" si="1"/>
        <v>20612266.66660535</v>
      </c>
      <c r="D10" s="82">
        <f t="shared" si="1"/>
        <v>-2885800.426349544</v>
      </c>
      <c r="E10" s="81">
        <f t="shared" si="1"/>
        <v>440859.56987019361</v>
      </c>
      <c r="F10" s="58">
        <f t="shared" si="1"/>
        <v>482028.21116834995</v>
      </c>
      <c r="G10" s="82">
        <f t="shared" si="1"/>
        <v>-41168.641298156377</v>
      </c>
      <c r="H10" s="81">
        <f t="shared" si="1"/>
        <v>18167325.810125999</v>
      </c>
      <c r="I10" s="58">
        <f t="shared" si="1"/>
        <v>21094294.877773702</v>
      </c>
      <c r="J10" s="82">
        <f t="shared" si="1"/>
        <v>-2926969.0676477002</v>
      </c>
    </row>
    <row r="11" spans="1:10" ht="15" thickTop="1" x14ac:dyDescent="0.35"/>
    <row r="12" spans="1:10" x14ac:dyDescent="0.35">
      <c r="B12" s="66"/>
      <c r="E12" s="66"/>
      <c r="H12" s="66"/>
    </row>
    <row r="15" spans="1:10" x14ac:dyDescent="0.35">
      <c r="A15" s="579" t="s">
        <v>223</v>
      </c>
    </row>
  </sheetData>
  <pageMargins left="0.7" right="0.7" top="0.75" bottom="0.75" header="0.3" footer="0.3"/>
  <customProperties>
    <customPr name="_pios_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39997558519241921"/>
  </sheetPr>
  <dimension ref="A1:E40"/>
  <sheetViews>
    <sheetView workbookViewId="0">
      <pane xSplit="2" ySplit="1" topLeftCell="C2" activePane="bottomRight" state="frozen"/>
      <selection activeCell="G63" sqref="G63"/>
      <selection pane="topRight" activeCell="G63" sqref="G63"/>
      <selection pane="bottomLeft" activeCell="G63" sqref="G63"/>
      <selection pane="bottomRight" activeCell="B2" sqref="B2:E2"/>
    </sheetView>
  </sheetViews>
  <sheetFormatPr defaultColWidth="8.81640625" defaultRowHeight="14.5" x14ac:dyDescent="0.35"/>
  <cols>
    <col min="1" max="1" width="3" style="71" bestFit="1" customWidth="1"/>
    <col min="2" max="2" width="66.1796875" style="71" customWidth="1"/>
    <col min="3" max="3" width="16.81640625" style="71" bestFit="1" customWidth="1"/>
    <col min="4" max="4" width="21.453125" style="71" bestFit="1" customWidth="1"/>
    <col min="5" max="5" width="16.81640625" style="71" bestFit="1" customWidth="1"/>
    <col min="6" max="6" width="14.453125" style="71" bestFit="1" customWidth="1"/>
    <col min="7" max="7" width="13.54296875" style="71" bestFit="1" customWidth="1"/>
    <col min="8" max="8" width="14" style="71" bestFit="1" customWidth="1"/>
    <col min="9" max="9" width="11.54296875" style="71" bestFit="1" customWidth="1"/>
    <col min="10" max="10" width="8.81640625" style="71"/>
    <col min="11" max="11" width="11" style="71" bestFit="1" customWidth="1"/>
    <col min="12" max="12" width="8.81640625" style="71"/>
    <col min="13" max="13" width="12" style="71" bestFit="1" customWidth="1"/>
    <col min="14" max="16384" width="8.81640625" style="71"/>
  </cols>
  <sheetData>
    <row r="1" spans="1:5" x14ac:dyDescent="0.35">
      <c r="A1" s="7"/>
      <c r="B1" s="7"/>
      <c r="C1" s="52" t="s">
        <v>71</v>
      </c>
      <c r="D1" s="52" t="s">
        <v>72</v>
      </c>
      <c r="E1" s="52" t="s">
        <v>73</v>
      </c>
    </row>
    <row r="2" spans="1:5" x14ac:dyDescent="0.35">
      <c r="A2" s="7"/>
      <c r="B2" s="887" t="s">
        <v>515</v>
      </c>
      <c r="C2" s="38"/>
      <c r="D2" s="38"/>
      <c r="E2" s="38"/>
    </row>
    <row r="3" spans="1:5" x14ac:dyDescent="0.35">
      <c r="A3" s="7">
        <v>1</v>
      </c>
      <c r="B3" s="53" t="s">
        <v>386</v>
      </c>
      <c r="C3" s="7"/>
      <c r="D3" s="7"/>
      <c r="E3" s="7"/>
    </row>
    <row r="4" spans="1:5" x14ac:dyDescent="0.35">
      <c r="A4" s="7">
        <v>2</v>
      </c>
      <c r="B4" s="6" t="s">
        <v>387</v>
      </c>
      <c r="C4" s="60">
        <f>C21</f>
        <v>-58253573.659281813</v>
      </c>
      <c r="D4" s="60">
        <f>D21</f>
        <v>-1545606.41071818</v>
      </c>
      <c r="E4" s="60">
        <f>E21</f>
        <v>-59799180.069999993</v>
      </c>
    </row>
    <row r="5" spans="1:5" x14ac:dyDescent="0.35">
      <c r="A5" s="7">
        <v>3</v>
      </c>
      <c r="B5" s="6" t="s">
        <v>388</v>
      </c>
      <c r="C5" s="56">
        <f>C33</f>
        <v>-17726466.240255807</v>
      </c>
      <c r="D5" s="56">
        <f>D33</f>
        <v>-440859.56987019361</v>
      </c>
      <c r="E5" s="56">
        <f>E33</f>
        <v>-18167325.810125999</v>
      </c>
    </row>
    <row r="6" spans="1:5" ht="15" thickBot="1" x14ac:dyDescent="0.4">
      <c r="A6" s="7">
        <v>4</v>
      </c>
      <c r="B6" s="7" t="s">
        <v>74</v>
      </c>
      <c r="C6" s="58">
        <f>SUM(C4:C5)</f>
        <v>-75980039.899537623</v>
      </c>
      <c r="D6" s="58">
        <f>SUM(D4:D5)</f>
        <v>-1986465.9805883737</v>
      </c>
      <c r="E6" s="58">
        <f>SUM(E4:E5)</f>
        <v>-77966505.880125999</v>
      </c>
    </row>
    <row r="7" spans="1:5" ht="15" thickTop="1" x14ac:dyDescent="0.35">
      <c r="A7" s="7">
        <v>5</v>
      </c>
      <c r="B7" s="7"/>
      <c r="C7" s="7"/>
      <c r="D7" s="7"/>
      <c r="E7" s="7"/>
    </row>
    <row r="8" spans="1:5" ht="18" x14ac:dyDescent="0.4">
      <c r="A8" s="7">
        <v>6</v>
      </c>
      <c r="B8" s="226"/>
      <c r="C8" s="7"/>
      <c r="D8" s="7"/>
      <c r="E8" s="7"/>
    </row>
    <row r="9" spans="1:5" x14ac:dyDescent="0.35">
      <c r="A9" s="7">
        <v>7</v>
      </c>
      <c r="B9" s="7"/>
      <c r="C9" s="7"/>
      <c r="D9" s="7"/>
      <c r="E9" s="7"/>
    </row>
    <row r="10" spans="1:5" x14ac:dyDescent="0.35">
      <c r="A10" s="7">
        <v>8</v>
      </c>
      <c r="B10" s="7"/>
      <c r="C10" s="7"/>
      <c r="D10" s="7"/>
      <c r="E10" s="7"/>
    </row>
    <row r="11" spans="1:5" x14ac:dyDescent="0.35">
      <c r="A11" s="7">
        <v>9</v>
      </c>
      <c r="B11" s="54" t="s">
        <v>75</v>
      </c>
      <c r="C11" s="7"/>
      <c r="D11" s="7"/>
      <c r="E11" s="7"/>
    </row>
    <row r="12" spans="1:5" x14ac:dyDescent="0.35">
      <c r="A12" s="7">
        <v>10</v>
      </c>
      <c r="B12" s="55">
        <v>44347</v>
      </c>
      <c r="C12" s="56"/>
      <c r="D12" s="56"/>
      <c r="E12" s="56">
        <v>-5629456.4799999967</v>
      </c>
    </row>
    <row r="13" spans="1:5" x14ac:dyDescent="0.35">
      <c r="A13" s="7">
        <v>11</v>
      </c>
      <c r="B13" s="55">
        <v>44377</v>
      </c>
      <c r="C13" s="56"/>
      <c r="D13" s="56"/>
      <c r="E13" s="56">
        <v>-6243835.4100000011</v>
      </c>
    </row>
    <row r="14" spans="1:5" x14ac:dyDescent="0.35">
      <c r="A14" s="7">
        <v>12</v>
      </c>
      <c r="B14" s="55">
        <v>44408</v>
      </c>
      <c r="C14" s="56"/>
      <c r="D14" s="56"/>
      <c r="E14" s="56">
        <v>-5935017.4899999993</v>
      </c>
    </row>
    <row r="15" spans="1:5" x14ac:dyDescent="0.35">
      <c r="A15" s="7">
        <v>13</v>
      </c>
      <c r="B15" s="55">
        <v>44439</v>
      </c>
      <c r="C15" s="56"/>
      <c r="D15" s="56"/>
      <c r="E15" s="56">
        <v>-6138728.9499999993</v>
      </c>
    </row>
    <row r="16" spans="1:5" x14ac:dyDescent="0.35">
      <c r="A16" s="7">
        <v>14</v>
      </c>
      <c r="B16" s="55">
        <v>44469</v>
      </c>
      <c r="C16" s="56"/>
      <c r="D16" s="56"/>
      <c r="E16" s="56">
        <v>-5505887.2799999993</v>
      </c>
    </row>
    <row r="17" spans="1:5" x14ac:dyDescent="0.35">
      <c r="A17" s="7">
        <v>15</v>
      </c>
      <c r="B17" s="55">
        <v>44500</v>
      </c>
      <c r="C17" s="56"/>
      <c r="D17" s="56"/>
      <c r="E17" s="56">
        <v>-6477179.8300000001</v>
      </c>
    </row>
    <row r="18" spans="1:5" x14ac:dyDescent="0.35">
      <c r="A18" s="7">
        <v>16</v>
      </c>
      <c r="B18" s="55">
        <v>44530</v>
      </c>
      <c r="C18" s="56"/>
      <c r="D18" s="56"/>
      <c r="E18" s="56">
        <v>-6892941.9100000001</v>
      </c>
    </row>
    <row r="19" spans="1:5" x14ac:dyDescent="0.35">
      <c r="A19" s="7">
        <v>17</v>
      </c>
      <c r="B19" s="55">
        <v>44561</v>
      </c>
      <c r="C19" s="56"/>
      <c r="D19" s="56"/>
      <c r="E19" s="56">
        <v>-8378875.8299999991</v>
      </c>
    </row>
    <row r="20" spans="1:5" x14ac:dyDescent="0.35">
      <c r="A20" s="7">
        <v>18</v>
      </c>
      <c r="B20" s="55">
        <v>44592</v>
      </c>
      <c r="C20" s="56"/>
      <c r="D20" s="83"/>
      <c r="E20" s="56">
        <v>-8597256.8900000006</v>
      </c>
    </row>
    <row r="21" spans="1:5" ht="15" thickBot="1" x14ac:dyDescent="0.4">
      <c r="A21" s="7">
        <v>19</v>
      </c>
      <c r="B21" s="57"/>
      <c r="C21" s="58">
        <f>E21-D21</f>
        <v>-58253573.659281813</v>
      </c>
      <c r="D21" s="58">
        <v>-1545606.41071818</v>
      </c>
      <c r="E21" s="58">
        <f>SUM(E12:E20)</f>
        <v>-59799180.069999993</v>
      </c>
    </row>
    <row r="22" spans="1:5" ht="15" thickTop="1" x14ac:dyDescent="0.35">
      <c r="A22" s="7">
        <v>20</v>
      </c>
      <c r="B22" s="54" t="s">
        <v>76</v>
      </c>
      <c r="C22" s="56"/>
      <c r="D22" s="59" t="s">
        <v>77</v>
      </c>
      <c r="E22" s="56"/>
    </row>
    <row r="23" spans="1:5" x14ac:dyDescent="0.35">
      <c r="A23" s="7">
        <v>21</v>
      </c>
      <c r="B23" s="57" t="s">
        <v>527</v>
      </c>
      <c r="C23" s="56"/>
      <c r="D23" s="56"/>
      <c r="E23" s="56"/>
    </row>
    <row r="24" spans="1:5" x14ac:dyDescent="0.35">
      <c r="A24" s="7">
        <v>22</v>
      </c>
      <c r="B24" s="57" t="s">
        <v>528</v>
      </c>
      <c r="C24" s="56"/>
      <c r="D24" s="56"/>
      <c r="E24" s="56"/>
    </row>
    <row r="25" spans="1:5" x14ac:dyDescent="0.35">
      <c r="A25" s="7">
        <v>23</v>
      </c>
      <c r="B25" s="57" t="s">
        <v>389</v>
      </c>
      <c r="C25" s="56"/>
      <c r="D25" s="56"/>
      <c r="E25" s="56"/>
    </row>
    <row r="26" spans="1:5" x14ac:dyDescent="0.35">
      <c r="A26" s="7">
        <v>24</v>
      </c>
      <c r="B26" s="559">
        <v>3.45239925E-3</v>
      </c>
      <c r="C26" s="7"/>
      <c r="D26" s="7"/>
      <c r="E26" s="7"/>
    </row>
    <row r="27" spans="1:5" x14ac:dyDescent="0.35">
      <c r="A27" s="7">
        <v>25</v>
      </c>
      <c r="B27" s="560">
        <v>44255</v>
      </c>
      <c r="C27" s="60"/>
      <c r="D27" s="60"/>
      <c r="E27" s="7"/>
    </row>
    <row r="28" spans="1:5" x14ac:dyDescent="0.35">
      <c r="A28" s="7">
        <v>26</v>
      </c>
      <c r="B28" s="756">
        <v>1794632</v>
      </c>
      <c r="C28" s="56">
        <v>-6048541.8081425894</v>
      </c>
      <c r="D28" s="56">
        <v>-147244.36268341096</v>
      </c>
      <c r="E28" s="60">
        <f>-B28*B$26*1000</f>
        <v>-6195786.1708260002</v>
      </c>
    </row>
    <row r="29" spans="1:5" x14ac:dyDescent="0.35">
      <c r="A29" s="7">
        <v>27</v>
      </c>
      <c r="B29" s="560">
        <v>44286</v>
      </c>
      <c r="C29" s="60"/>
      <c r="D29" s="60"/>
      <c r="E29" s="60"/>
    </row>
    <row r="30" spans="1:5" x14ac:dyDescent="0.35">
      <c r="A30" s="7">
        <v>28</v>
      </c>
      <c r="B30" s="61">
        <v>1873496</v>
      </c>
      <c r="C30" s="56">
        <v>-6317241.5741213644</v>
      </c>
      <c r="D30" s="56">
        <v>-150814.61115663548</v>
      </c>
      <c r="E30" s="56">
        <f>-B30*B$26*1000</f>
        <v>-6468056.1852780003</v>
      </c>
    </row>
    <row r="31" spans="1:5" x14ac:dyDescent="0.35">
      <c r="A31" s="7">
        <v>29</v>
      </c>
      <c r="B31" s="560">
        <v>44316</v>
      </c>
      <c r="C31" s="56"/>
      <c r="D31" s="56"/>
      <c r="E31" s="56"/>
    </row>
    <row r="32" spans="1:5" x14ac:dyDescent="0.35">
      <c r="A32" s="7">
        <v>30</v>
      </c>
      <c r="B32" s="61">
        <v>1594104</v>
      </c>
      <c r="C32" s="56">
        <v>-5360682.8579918528</v>
      </c>
      <c r="D32" s="56">
        <v>-142800.59603014714</v>
      </c>
      <c r="E32" s="56">
        <f>-B32*B$26*1000</f>
        <v>-5503483.4540219996</v>
      </c>
    </row>
    <row r="33" spans="1:5" ht="15" thickBot="1" x14ac:dyDescent="0.4">
      <c r="A33" s="7">
        <v>31</v>
      </c>
      <c r="B33" s="7"/>
      <c r="C33" s="58">
        <f>E33-D33</f>
        <v>-17726466.240255807</v>
      </c>
      <c r="D33" s="58">
        <f>SUM(D28:D32)</f>
        <v>-440859.56987019361</v>
      </c>
      <c r="E33" s="58">
        <f>SUM(E27:E32)</f>
        <v>-18167325.810125999</v>
      </c>
    </row>
    <row r="34" spans="1:5" ht="15" thickTop="1" x14ac:dyDescent="0.35">
      <c r="A34" s="7">
        <v>32</v>
      </c>
      <c r="B34" s="61">
        <f>B28+B30+B32</f>
        <v>5262232</v>
      </c>
      <c r="C34" s="56"/>
      <c r="D34" s="62" t="s">
        <v>77</v>
      </c>
      <c r="E34" s="7"/>
    </row>
    <row r="35" spans="1:5" x14ac:dyDescent="0.35">
      <c r="A35" s="7">
        <v>33</v>
      </c>
      <c r="B35" s="7"/>
      <c r="C35" s="56"/>
      <c r="D35" s="56"/>
      <c r="E35" s="56"/>
    </row>
    <row r="36" spans="1:5" x14ac:dyDescent="0.35">
      <c r="A36" s="7">
        <v>34</v>
      </c>
      <c r="B36" s="7" t="s">
        <v>78</v>
      </c>
    </row>
    <row r="39" spans="1:5" x14ac:dyDescent="0.35">
      <c r="B39" s="51"/>
    </row>
    <row r="40" spans="1:5" x14ac:dyDescent="0.35">
      <c r="B40" s="51"/>
    </row>
  </sheetData>
  <pageMargins left="0.7" right="0.7" top="0.75" bottom="0.75" header="0.3" footer="0.3"/>
  <pageSetup orientation="portrait" r:id="rId1"/>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sheetPr>
  <dimension ref="A1:J61"/>
  <sheetViews>
    <sheetView workbookViewId="0">
      <selection activeCell="F7" sqref="F7"/>
    </sheetView>
  </sheetViews>
  <sheetFormatPr defaultColWidth="9.1796875" defaultRowHeight="12.5" x14ac:dyDescent="0.25"/>
  <cols>
    <col min="1" max="1" width="41.81640625" style="192" customWidth="1"/>
    <col min="2" max="4" width="17" style="192" bestFit="1" customWidth="1"/>
    <col min="5" max="16384" width="9.1796875" style="192"/>
  </cols>
  <sheetData>
    <row r="1" spans="1:7" ht="14.15" customHeight="1" x14ac:dyDescent="0.3">
      <c r="A1" s="191" t="s">
        <v>46</v>
      </c>
      <c r="B1" s="191"/>
      <c r="C1" s="191"/>
      <c r="D1" s="191"/>
    </row>
    <row r="2" spans="1:7" ht="14.15" customHeight="1" x14ac:dyDescent="0.3">
      <c r="A2" s="191" t="s">
        <v>264</v>
      </c>
      <c r="B2" s="191"/>
      <c r="C2" s="191"/>
      <c r="D2" s="191"/>
      <c r="F2" s="883"/>
      <c r="G2" s="883"/>
    </row>
    <row r="3" spans="1:7" ht="14.15" customHeight="1" x14ac:dyDescent="0.3">
      <c r="A3" s="191"/>
      <c r="B3" s="757"/>
      <c r="C3" s="757"/>
      <c r="D3" s="757"/>
    </row>
    <row r="4" spans="1:7" ht="13.4" customHeight="1" x14ac:dyDescent="0.3">
      <c r="A4" s="782" t="s">
        <v>367</v>
      </c>
      <c r="B4" s="781">
        <f>'CY Conv Fctr '!E18</f>
        <v>0.95111500000000004</v>
      </c>
      <c r="C4" s="781">
        <f>+B4</f>
        <v>0.95111500000000004</v>
      </c>
      <c r="D4" s="781">
        <f>+C4</f>
        <v>0.95111500000000004</v>
      </c>
    </row>
    <row r="5" spans="1:7" ht="13.4" customHeight="1" x14ac:dyDescent="0.3">
      <c r="A5" s="256" t="s">
        <v>270</v>
      </c>
      <c r="B5" s="257">
        <f>B33*B4</f>
        <v>7325274.7848626506</v>
      </c>
      <c r="C5" s="257">
        <f>C33*C4</f>
        <v>6886444.7427660497</v>
      </c>
      <c r="D5" s="257">
        <f>D33*D4</f>
        <v>6882575.350145</v>
      </c>
    </row>
    <row r="6" spans="1:7" ht="13.4" customHeight="1" x14ac:dyDescent="0.3">
      <c r="A6" s="193" t="s">
        <v>47</v>
      </c>
      <c r="B6" s="194"/>
      <c r="C6" s="194"/>
      <c r="D6" s="194"/>
    </row>
    <row r="7" spans="1:7" ht="13.4" customHeight="1" x14ac:dyDescent="0.25">
      <c r="A7" s="195"/>
      <c r="B7" s="196" t="s">
        <v>272</v>
      </c>
      <c r="C7" s="196" t="s">
        <v>273</v>
      </c>
      <c r="D7" s="196" t="s">
        <v>274</v>
      </c>
    </row>
    <row r="8" spans="1:7" ht="13.5" customHeight="1" x14ac:dyDescent="0.3">
      <c r="A8" s="197" t="s">
        <v>49</v>
      </c>
      <c r="B8" s="884">
        <v>2022</v>
      </c>
      <c r="C8" s="884">
        <f>+B8</f>
        <v>2022</v>
      </c>
      <c r="D8" s="884">
        <f>+C8</f>
        <v>2022</v>
      </c>
    </row>
    <row r="9" spans="1:7" ht="6.65" customHeight="1" x14ac:dyDescent="0.25">
      <c r="A9" s="198"/>
      <c r="B9" s="199"/>
      <c r="C9" s="199"/>
      <c r="D9" s="199"/>
    </row>
    <row r="10" spans="1:7" ht="13.4" customHeight="1" x14ac:dyDescent="0.25">
      <c r="A10" s="201" t="s">
        <v>50</v>
      </c>
      <c r="B10" s="772">
        <v>132305465.16</v>
      </c>
      <c r="C10" s="772">
        <v>126110743.08</v>
      </c>
      <c r="D10" s="772">
        <v>117897267.51000001</v>
      </c>
    </row>
    <row r="11" spans="1:7" ht="13.4" customHeight="1" x14ac:dyDescent="0.25">
      <c r="A11" s="201" t="s">
        <v>51</v>
      </c>
      <c r="B11" s="773">
        <v>84085448.230000004</v>
      </c>
      <c r="C11" s="773">
        <v>77437905.950000003</v>
      </c>
      <c r="D11" s="773">
        <v>76582401.420000002</v>
      </c>
    </row>
    <row r="12" spans="1:7" ht="13.4" customHeight="1" x14ac:dyDescent="0.25">
      <c r="A12" s="201" t="s">
        <v>52</v>
      </c>
      <c r="B12" s="773">
        <v>9824270.9900000002</v>
      </c>
      <c r="C12" s="773">
        <v>9828290.9199999999</v>
      </c>
      <c r="D12" s="773">
        <v>9015498.8399999999</v>
      </c>
    </row>
    <row r="13" spans="1:7" ht="14.5" customHeight="1" x14ac:dyDescent="0.25">
      <c r="A13" s="201" t="s">
        <v>53</v>
      </c>
      <c r="B13" s="773">
        <v>1613169</v>
      </c>
      <c r="C13" s="773">
        <v>1514512.25</v>
      </c>
      <c r="D13" s="773">
        <v>1638517.32</v>
      </c>
    </row>
    <row r="14" spans="1:7" ht="13.4" customHeight="1" x14ac:dyDescent="0.25">
      <c r="A14" s="201" t="s">
        <v>54</v>
      </c>
      <c r="B14" s="773">
        <v>41507.58</v>
      </c>
      <c r="C14" s="773">
        <v>37677.93</v>
      </c>
      <c r="D14" s="773">
        <v>31462.17</v>
      </c>
    </row>
    <row r="15" spans="1:7" ht="8.5" customHeight="1" x14ac:dyDescent="0.25">
      <c r="A15" s="198"/>
      <c r="B15" s="774"/>
      <c r="C15" s="774"/>
      <c r="D15" s="774"/>
    </row>
    <row r="16" spans="1:7" ht="13.4" customHeight="1" x14ac:dyDescent="0.25">
      <c r="A16" s="202" t="s">
        <v>55</v>
      </c>
      <c r="B16" s="775">
        <f>SUM(B10:B15)</f>
        <v>227869860.96000001</v>
      </c>
      <c r="C16" s="775">
        <f>SUM(C10:C15)</f>
        <v>214929130.13</v>
      </c>
      <c r="D16" s="775">
        <f>SUM(D10:D15)</f>
        <v>205165147.25999999</v>
      </c>
    </row>
    <row r="17" spans="1:10" ht="13.4" customHeight="1" x14ac:dyDescent="0.25">
      <c r="A17" s="201" t="s">
        <v>56</v>
      </c>
      <c r="B17" s="773">
        <v>1744336.58</v>
      </c>
      <c r="C17" s="773">
        <v>1737104.73</v>
      </c>
      <c r="D17" s="773">
        <v>1713515.92</v>
      </c>
    </row>
    <row r="18" spans="1:10" ht="12.75" customHeight="1" x14ac:dyDescent="0.25">
      <c r="A18" s="201" t="s">
        <v>57</v>
      </c>
      <c r="B18" s="773">
        <v>5860741.3099999996</v>
      </c>
      <c r="C18" s="773">
        <v>5104194.76</v>
      </c>
      <c r="D18" s="773">
        <v>7854544.2999999998</v>
      </c>
    </row>
    <row r="19" spans="1:10" ht="6" customHeight="1" x14ac:dyDescent="0.25">
      <c r="A19" s="200"/>
      <c r="B19" s="776"/>
      <c r="C19" s="776"/>
      <c r="D19" s="776"/>
    </row>
    <row r="20" spans="1:10" ht="13.4" customHeight="1" x14ac:dyDescent="0.25">
      <c r="A20" s="203" t="s">
        <v>58</v>
      </c>
      <c r="B20" s="773">
        <f>SUM(B16:B18)</f>
        <v>235474938.85000002</v>
      </c>
      <c r="C20" s="773">
        <f>SUM(C16:C18)</f>
        <v>221770429.61999997</v>
      </c>
      <c r="D20" s="773">
        <f>SUM(D16:D18)</f>
        <v>214733207.47999999</v>
      </c>
    </row>
    <row r="21" spans="1:10" ht="6.65" customHeight="1" x14ac:dyDescent="0.25">
      <c r="A21" s="204"/>
      <c r="B21" s="777"/>
      <c r="C21" s="777"/>
      <c r="D21" s="777"/>
    </row>
    <row r="22" spans="1:10" ht="13.4" customHeight="1" x14ac:dyDescent="0.25">
      <c r="A22" s="201" t="s">
        <v>59</v>
      </c>
      <c r="B22" s="773">
        <v>5190299.76</v>
      </c>
      <c r="C22" s="773">
        <v>4952902.6500000004</v>
      </c>
      <c r="D22" s="773">
        <v>3704161.45</v>
      </c>
    </row>
    <row r="23" spans="1:10" ht="13.4" customHeight="1" x14ac:dyDescent="0.25">
      <c r="A23" s="201" t="s">
        <v>60</v>
      </c>
      <c r="B23" s="773">
        <v>1988128.28</v>
      </c>
      <c r="C23" s="773">
        <v>1946630.1</v>
      </c>
      <c r="D23" s="773">
        <v>1905435.69</v>
      </c>
    </row>
    <row r="24" spans="1:10" ht="13.4" customHeight="1" x14ac:dyDescent="0.25">
      <c r="A24" s="201" t="s">
        <v>61</v>
      </c>
      <c r="B24" s="773">
        <v>-1592290.07</v>
      </c>
      <c r="C24" s="773">
        <v>1867824.84</v>
      </c>
      <c r="D24" s="773">
        <v>-11864781.539999999</v>
      </c>
    </row>
    <row r="25" spans="1:10" ht="13.4" customHeight="1" x14ac:dyDescent="0.25">
      <c r="A25" s="201" t="s">
        <v>62</v>
      </c>
      <c r="B25" s="775">
        <v>1496652.21</v>
      </c>
      <c r="C25" s="775">
        <v>2245505.6800000002</v>
      </c>
      <c r="D25" s="775">
        <v>1316235.94</v>
      </c>
    </row>
    <row r="26" spans="1:10" ht="12.75" customHeight="1" x14ac:dyDescent="0.25">
      <c r="A26" s="201" t="s">
        <v>63</v>
      </c>
      <c r="B26" s="775">
        <f>SUM(B22:B25)</f>
        <v>7082790.1799999997</v>
      </c>
      <c r="C26" s="775">
        <f>SUM(C22:C25)</f>
        <v>11012863.27</v>
      </c>
      <c r="D26" s="775">
        <f>SUM(D22:D25)</f>
        <v>-4938948.459999999</v>
      </c>
    </row>
    <row r="27" spans="1:10" ht="6.65" customHeight="1" x14ac:dyDescent="0.25">
      <c r="A27" s="204"/>
      <c r="B27" s="778"/>
      <c r="C27" s="778"/>
      <c r="D27" s="778"/>
    </row>
    <row r="28" spans="1:10" ht="14.15" customHeight="1" thickBot="1" x14ac:dyDescent="0.3">
      <c r="A28" s="205" t="s">
        <v>64</v>
      </c>
      <c r="B28" s="779">
        <f>+B26+B20</f>
        <v>242557729.03000003</v>
      </c>
      <c r="C28" s="779">
        <f>+C26+C20</f>
        <v>232783292.88999999</v>
      </c>
      <c r="D28" s="779">
        <f>+D26+D20</f>
        <v>209794259.01999998</v>
      </c>
    </row>
    <row r="29" spans="1:10" ht="4.4000000000000004" customHeight="1" thickTop="1" x14ac:dyDescent="0.25">
      <c r="A29" s="206"/>
      <c r="B29" s="778"/>
      <c r="C29" s="778"/>
      <c r="D29" s="778"/>
    </row>
    <row r="30" spans="1:10" ht="12.75" customHeight="1" x14ac:dyDescent="0.25">
      <c r="A30" s="200"/>
      <c r="B30" s="780"/>
      <c r="C30" s="780"/>
      <c r="D30" s="780"/>
    </row>
    <row r="31" spans="1:10" x14ac:dyDescent="0.25">
      <c r="A31" s="206" t="s">
        <v>480</v>
      </c>
      <c r="B31" s="772">
        <v>9170194.6500000004</v>
      </c>
      <c r="C31" s="772">
        <v>8790898.1899999995</v>
      </c>
      <c r="D31" s="772">
        <v>8161485.9800000004</v>
      </c>
      <c r="J31" s="758"/>
    </row>
    <row r="32" spans="1:10" x14ac:dyDescent="0.25">
      <c r="A32" s="206" t="s">
        <v>65</v>
      </c>
      <c r="B32" s="773">
        <v>-7701399.5499999998</v>
      </c>
      <c r="C32" s="773">
        <v>-7350315.4299999997</v>
      </c>
      <c r="D32" s="773">
        <v>-6944181.6500000004</v>
      </c>
      <c r="J32" s="758"/>
    </row>
    <row r="33" spans="1:10" x14ac:dyDescent="0.25">
      <c r="A33" s="206" t="s">
        <v>66</v>
      </c>
      <c r="B33" s="773">
        <v>7701776.1100000003</v>
      </c>
      <c r="C33" s="773">
        <v>7240391.2699999996</v>
      </c>
      <c r="D33" s="773">
        <v>7236323</v>
      </c>
      <c r="J33" s="758"/>
    </row>
    <row r="34" spans="1:10" ht="13.4" customHeight="1" x14ac:dyDescent="0.25">
      <c r="A34" s="206" t="s">
        <v>481</v>
      </c>
      <c r="B34" s="773">
        <v>-2701994.88</v>
      </c>
      <c r="C34" s="773">
        <v>-2530566.09</v>
      </c>
      <c r="D34" s="773">
        <v>-2520279.08</v>
      </c>
      <c r="J34" s="758"/>
    </row>
    <row r="35" spans="1:10" ht="13.4" customHeight="1" x14ac:dyDescent="0.25">
      <c r="A35" s="206" t="s">
        <v>482</v>
      </c>
      <c r="B35" s="773">
        <v>4169835.13</v>
      </c>
      <c r="C35" s="773">
        <v>3916424.38</v>
      </c>
      <c r="D35" s="773">
        <v>3904410.07</v>
      </c>
      <c r="J35" s="758"/>
    </row>
    <row r="36" spans="1:10" ht="13.4" customHeight="1" x14ac:dyDescent="0.25">
      <c r="A36" s="206" t="s">
        <v>483</v>
      </c>
      <c r="B36" s="773">
        <v>6391797.6500000004</v>
      </c>
      <c r="C36" s="773">
        <v>6018193.71</v>
      </c>
      <c r="D36" s="773">
        <v>5986335.9699999997</v>
      </c>
      <c r="J36" s="758"/>
    </row>
    <row r="37" spans="1:10" ht="13.4" customHeight="1" x14ac:dyDescent="0.25">
      <c r="A37" s="206" t="s">
        <v>67</v>
      </c>
      <c r="B37" s="773">
        <v>2499102.35</v>
      </c>
      <c r="C37" s="773">
        <v>2368450.39</v>
      </c>
      <c r="D37" s="773">
        <v>2342108.6</v>
      </c>
      <c r="J37" s="758"/>
    </row>
    <row r="38" spans="1:10" ht="13.4" customHeight="1" x14ac:dyDescent="0.25">
      <c r="A38" s="206" t="s">
        <v>68</v>
      </c>
      <c r="B38" s="773">
        <v>0</v>
      </c>
      <c r="C38" s="773">
        <v>0</v>
      </c>
      <c r="D38" s="773">
        <v>0</v>
      </c>
      <c r="J38" s="758"/>
    </row>
    <row r="39" spans="1:10" ht="13.4" customHeight="1" x14ac:dyDescent="0.25">
      <c r="A39" s="206" t="s">
        <v>484</v>
      </c>
      <c r="B39" s="773">
        <v>-43223.66</v>
      </c>
      <c r="C39" s="773">
        <v>-38522.53</v>
      </c>
      <c r="D39" s="773">
        <v>-37983.99</v>
      </c>
      <c r="J39" s="758"/>
    </row>
    <row r="40" spans="1:10" ht="13.4" customHeight="1" x14ac:dyDescent="0.25">
      <c r="A40" s="206" t="s">
        <v>69</v>
      </c>
      <c r="B40" s="773">
        <v>5426210.6100000003</v>
      </c>
      <c r="C40" s="773">
        <v>5145100.5599999996</v>
      </c>
      <c r="D40" s="773">
        <v>5066941.28</v>
      </c>
      <c r="J40" s="758"/>
    </row>
    <row r="41" spans="1:10" x14ac:dyDescent="0.25">
      <c r="A41" s="206" t="s">
        <v>485</v>
      </c>
      <c r="B41" s="773">
        <v>0</v>
      </c>
      <c r="C41" s="773">
        <v>0</v>
      </c>
      <c r="D41" s="773">
        <v>0</v>
      </c>
      <c r="J41" s="758"/>
    </row>
    <row r="42" spans="1:10" x14ac:dyDescent="0.25">
      <c r="A42" s="207" t="s">
        <v>486</v>
      </c>
      <c r="B42" s="773">
        <v>1522673.61</v>
      </c>
      <c r="C42" s="773">
        <v>1439759.48</v>
      </c>
      <c r="D42" s="773">
        <v>1421633.7</v>
      </c>
      <c r="J42" s="758"/>
    </row>
    <row r="43" spans="1:10" ht="12.75" customHeight="1" x14ac:dyDescent="0.25">
      <c r="A43" s="759" t="s">
        <v>487</v>
      </c>
      <c r="B43" s="773">
        <v>-1525723.11</v>
      </c>
      <c r="C43" s="773">
        <v>-1444480.43</v>
      </c>
      <c r="D43" s="773">
        <v>-1421069.97</v>
      </c>
      <c r="J43" s="758"/>
    </row>
    <row r="44" spans="1:10" ht="12.75" customHeight="1" x14ac:dyDescent="0.25">
      <c r="A44" s="195"/>
      <c r="J44" s="758"/>
    </row>
    <row r="45" spans="1:10" x14ac:dyDescent="0.25">
      <c r="A45" s="194"/>
      <c r="B45" s="764" t="s">
        <v>48</v>
      </c>
      <c r="C45" s="764" t="s">
        <v>48</v>
      </c>
      <c r="D45" s="764" t="s">
        <v>48</v>
      </c>
    </row>
    <row r="46" spans="1:10" ht="13" x14ac:dyDescent="0.3">
      <c r="A46" s="760" t="s">
        <v>70</v>
      </c>
      <c r="B46" s="765">
        <v>2022</v>
      </c>
      <c r="C46" s="765">
        <v>2022</v>
      </c>
      <c r="D46" s="765">
        <v>2022</v>
      </c>
    </row>
    <row r="47" spans="1:10" ht="15" customHeight="1" x14ac:dyDescent="0.25">
      <c r="A47" s="761"/>
      <c r="B47" s="766"/>
      <c r="C47" s="766"/>
      <c r="D47" s="766"/>
    </row>
    <row r="48" spans="1:10" ht="12.75" customHeight="1" x14ac:dyDescent="0.25">
      <c r="A48" s="758" t="s">
        <v>50</v>
      </c>
      <c r="B48" s="767">
        <v>1111816669.74</v>
      </c>
      <c r="C48" s="767">
        <v>1056936391.77</v>
      </c>
      <c r="D48" s="767">
        <v>996028081.85000002</v>
      </c>
    </row>
    <row r="49" spans="1:4" x14ac:dyDescent="0.25">
      <c r="A49" s="758" t="s">
        <v>51</v>
      </c>
      <c r="B49" s="767">
        <v>732324190.76999998</v>
      </c>
      <c r="C49" s="767">
        <v>659984851.40999997</v>
      </c>
      <c r="D49" s="767">
        <v>714965485.23000002</v>
      </c>
    </row>
    <row r="50" spans="1:4" ht="12.75" customHeight="1" x14ac:dyDescent="0.25">
      <c r="A50" s="758" t="s">
        <v>52</v>
      </c>
      <c r="B50" s="767">
        <v>90011889.810000002</v>
      </c>
      <c r="C50" s="767">
        <v>90618411.969999999</v>
      </c>
      <c r="D50" s="767">
        <v>92787434.819999993</v>
      </c>
    </row>
    <row r="51" spans="1:4" x14ac:dyDescent="0.25">
      <c r="A51" s="758" t="s">
        <v>53</v>
      </c>
      <c r="B51" s="767">
        <v>5897194.2400000002</v>
      </c>
      <c r="C51" s="767">
        <v>5870813.4800000004</v>
      </c>
      <c r="D51" s="767">
        <v>6229952.4199999999</v>
      </c>
    </row>
    <row r="52" spans="1:4" x14ac:dyDescent="0.25">
      <c r="A52" s="758" t="s">
        <v>54</v>
      </c>
      <c r="B52" s="767">
        <v>824850</v>
      </c>
      <c r="C52" s="767">
        <v>793640</v>
      </c>
      <c r="D52" s="767">
        <v>638080</v>
      </c>
    </row>
    <row r="53" spans="1:4" ht="6" customHeight="1" x14ac:dyDescent="0.25">
      <c r="A53" s="761"/>
      <c r="B53" s="768"/>
      <c r="C53" s="768">
        <v>0</v>
      </c>
      <c r="D53" s="768"/>
    </row>
    <row r="54" spans="1:4" ht="12.75" customHeight="1" x14ac:dyDescent="0.25">
      <c r="A54" s="762" t="s">
        <v>55</v>
      </c>
      <c r="B54" s="769">
        <f>SUM(B48:B53)</f>
        <v>1940874794.5599999</v>
      </c>
      <c r="C54" s="769">
        <f>SUM(C48:C53)</f>
        <v>1814204108.6299999</v>
      </c>
      <c r="D54" s="769">
        <f>SUM(D48:D53)</f>
        <v>1810649034.3199999</v>
      </c>
    </row>
    <row r="55" spans="1:4" ht="12.75" customHeight="1" x14ac:dyDescent="0.25">
      <c r="A55" s="758" t="s">
        <v>56</v>
      </c>
      <c r="B55" s="767">
        <v>173266216.13999999</v>
      </c>
      <c r="C55" s="767">
        <v>192376730.40000001</v>
      </c>
      <c r="D55" s="767">
        <v>238963453.25999999</v>
      </c>
    </row>
    <row r="56" spans="1:4" x14ac:dyDescent="0.25">
      <c r="A56" s="758" t="s">
        <v>57</v>
      </c>
      <c r="B56" s="767">
        <v>164534391</v>
      </c>
      <c r="C56" s="767">
        <v>160215716</v>
      </c>
      <c r="D56" s="767">
        <v>129066823</v>
      </c>
    </row>
    <row r="57" spans="1:4" ht="6" customHeight="1" x14ac:dyDescent="0.25">
      <c r="A57" s="763"/>
      <c r="B57" s="770"/>
      <c r="C57" s="770">
        <v>0</v>
      </c>
      <c r="D57" s="770"/>
    </row>
    <row r="58" spans="1:4" ht="13" thickBot="1" x14ac:dyDescent="0.3">
      <c r="A58" s="762" t="s">
        <v>218</v>
      </c>
      <c r="B58" s="771">
        <f>SUM(B54:B56)</f>
        <v>2278675401.6999998</v>
      </c>
      <c r="C58" s="771">
        <f>SUM(C54:C56)</f>
        <v>2166796555.0299997</v>
      </c>
      <c r="D58" s="771">
        <f>SUM(D54:D56)</f>
        <v>2178679310.5799999</v>
      </c>
    </row>
    <row r="59" spans="1:4" ht="12.75" customHeight="1" thickTop="1" thickBot="1" x14ac:dyDescent="0.3">
      <c r="A59" s="194"/>
      <c r="B59" s="608"/>
      <c r="C59" s="608"/>
      <c r="D59" s="608"/>
    </row>
    <row r="60" spans="1:4" ht="13" thickTop="1" x14ac:dyDescent="0.25">
      <c r="A60" s="919"/>
      <c r="B60" s="919"/>
    </row>
    <row r="61" spans="1:4" ht="12.75" customHeight="1" x14ac:dyDescent="0.25">
      <c r="A61" s="919" t="s">
        <v>219</v>
      </c>
      <c r="B61" s="919"/>
    </row>
  </sheetData>
  <mergeCells count="2">
    <mergeCell ref="A60:B60"/>
    <mergeCell ref="A61:B61"/>
  </mergeCells>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39997558519241921"/>
  </sheetPr>
  <dimension ref="A1:F31"/>
  <sheetViews>
    <sheetView workbookViewId="0">
      <pane ySplit="5" topLeftCell="A18" activePane="bottomLeft" state="frozen"/>
      <selection activeCell="C19" sqref="C19"/>
      <selection pane="bottomLeft" activeCell="C26" sqref="C26"/>
    </sheetView>
  </sheetViews>
  <sheetFormatPr defaultColWidth="9.1796875" defaultRowHeight="14.5" x14ac:dyDescent="0.35"/>
  <cols>
    <col min="1" max="1" width="44.453125" style="84" bestFit="1" customWidth="1"/>
    <col min="2" max="2" width="13.54296875" style="84" bestFit="1" customWidth="1"/>
    <col min="3" max="3" width="14.453125" style="84" bestFit="1" customWidth="1"/>
    <col min="4" max="4" width="12" style="84" bestFit="1" customWidth="1"/>
    <col min="5" max="5" width="12.54296875" style="84" bestFit="1" customWidth="1"/>
    <col min="6" max="6" width="13.7265625" style="84" bestFit="1" customWidth="1"/>
    <col min="7" max="16384" width="9.1796875" style="84"/>
  </cols>
  <sheetData>
    <row r="1" spans="1:6" x14ac:dyDescent="0.35">
      <c r="A1" s="247" t="s">
        <v>250</v>
      </c>
      <c r="B1" s="247"/>
      <c r="C1" s="248"/>
    </row>
    <row r="2" spans="1:6" x14ac:dyDescent="0.35">
      <c r="A2" s="247" t="s">
        <v>155</v>
      </c>
      <c r="B2" s="247"/>
      <c r="C2" s="248"/>
      <c r="F2" s="43"/>
    </row>
    <row r="3" spans="1:6" x14ac:dyDescent="0.35">
      <c r="A3" s="247" t="s">
        <v>499</v>
      </c>
      <c r="B3" s="247"/>
      <c r="C3" s="248"/>
    </row>
    <row r="4" spans="1:6" x14ac:dyDescent="0.35">
      <c r="A4" s="225"/>
      <c r="B4" s="247"/>
      <c r="C4" s="248"/>
    </row>
    <row r="5" spans="1:6" x14ac:dyDescent="0.35">
      <c r="A5" s="249" t="s">
        <v>2</v>
      </c>
      <c r="B5" s="250" t="s">
        <v>16</v>
      </c>
      <c r="C5" s="250"/>
    </row>
    <row r="7" spans="1:6" x14ac:dyDescent="0.35">
      <c r="A7" s="84" t="s">
        <v>156</v>
      </c>
      <c r="C7" s="186">
        <f>'PY Rev Req Non-449 (UE-220137)'!E12</f>
        <v>100619985.49219336</v>
      </c>
      <c r="E7" s="86"/>
      <c r="F7" s="879"/>
    </row>
    <row r="8" spans="1:6" x14ac:dyDescent="0.35">
      <c r="A8" s="84" t="s">
        <v>157</v>
      </c>
      <c r="E8" s="86"/>
      <c r="F8" s="86"/>
    </row>
    <row r="9" spans="1:6" x14ac:dyDescent="0.35">
      <c r="A9" s="87" t="s">
        <v>296</v>
      </c>
      <c r="B9" s="187">
        <f>'CY True-Up'!F10+'CY True-Up'!F23</f>
        <v>-5910796.9200446382</v>
      </c>
      <c r="E9" s="880"/>
      <c r="F9" s="86"/>
    </row>
    <row r="10" spans="1:6" x14ac:dyDescent="0.35">
      <c r="A10" s="87" t="s">
        <v>297</v>
      </c>
      <c r="B10" s="187">
        <f>'PY True-up '!F10+'PY True-up '!F23</f>
        <v>-2862006.136087779</v>
      </c>
      <c r="D10" s="568"/>
      <c r="E10" s="880"/>
      <c r="F10" s="86"/>
    </row>
    <row r="11" spans="1:6" x14ac:dyDescent="0.35">
      <c r="A11" s="87" t="s">
        <v>302</v>
      </c>
      <c r="B11" s="187"/>
      <c r="C11" s="89">
        <f>B9-B10</f>
        <v>-3048790.7839568593</v>
      </c>
      <c r="D11" s="568"/>
      <c r="E11" s="880"/>
      <c r="F11" s="88"/>
    </row>
    <row r="12" spans="1:6" x14ac:dyDescent="0.35">
      <c r="A12" s="84" t="s">
        <v>158</v>
      </c>
      <c r="D12" s="568"/>
      <c r="E12" s="86"/>
      <c r="F12" s="86"/>
    </row>
    <row r="13" spans="1:6" x14ac:dyDescent="0.35">
      <c r="A13" s="87" t="s">
        <v>298</v>
      </c>
      <c r="B13" s="89">
        <f>'CY Rev Req Non-449'!C8</f>
        <v>121557883.55955744</v>
      </c>
      <c r="D13" s="568"/>
      <c r="E13" s="88"/>
      <c r="F13" s="86"/>
    </row>
    <row r="14" spans="1:6" x14ac:dyDescent="0.35">
      <c r="A14" s="87" t="s">
        <v>299</v>
      </c>
      <c r="B14" s="89">
        <f>'PY Rev Req Non-449 (UE-220137)'!C8</f>
        <v>119809113.29389761</v>
      </c>
      <c r="D14" s="568"/>
      <c r="E14" s="88"/>
      <c r="F14" s="86"/>
    </row>
    <row r="15" spans="1:6" x14ac:dyDescent="0.35">
      <c r="A15" s="87" t="s">
        <v>302</v>
      </c>
      <c r="B15" s="89"/>
      <c r="C15" s="89">
        <f>B13-B14</f>
        <v>1748770.265659824</v>
      </c>
      <c r="D15" s="568"/>
      <c r="E15" s="88"/>
      <c r="F15" s="88"/>
    </row>
    <row r="16" spans="1:6" x14ac:dyDescent="0.35">
      <c r="A16" s="569" t="s">
        <v>159</v>
      </c>
      <c r="B16" s="89"/>
      <c r="E16" s="88"/>
      <c r="F16" s="86"/>
    </row>
    <row r="17" spans="1:6" x14ac:dyDescent="0.35">
      <c r="A17" s="87" t="s">
        <v>300</v>
      </c>
      <c r="B17" s="187">
        <f>'CY True-Up'!F15</f>
        <v>-25401872.113897599</v>
      </c>
      <c r="E17" s="880"/>
      <c r="F17" s="86"/>
    </row>
    <row r="18" spans="1:6" x14ac:dyDescent="0.35">
      <c r="A18" s="87" t="s">
        <v>301</v>
      </c>
      <c r="B18" s="187">
        <f>'PY True-up '!F15</f>
        <v>-21245929.656402349</v>
      </c>
      <c r="E18" s="880"/>
      <c r="F18" s="86"/>
    </row>
    <row r="19" spans="1:6" x14ac:dyDescent="0.35">
      <c r="A19" s="87" t="s">
        <v>302</v>
      </c>
      <c r="B19" s="187"/>
      <c r="C19" s="89">
        <f>B17-B18</f>
        <v>-4155942.4574952498</v>
      </c>
      <c r="E19" s="880"/>
      <c r="F19" s="88"/>
    </row>
    <row r="20" spans="1:6" x14ac:dyDescent="0.35">
      <c r="A20" s="87"/>
      <c r="B20" s="187"/>
      <c r="C20" s="89"/>
      <c r="E20" s="880"/>
      <c r="F20" s="88"/>
    </row>
    <row r="21" spans="1:6" x14ac:dyDescent="0.35">
      <c r="A21" s="569" t="s">
        <v>162</v>
      </c>
      <c r="B21" s="187">
        <f>('CY Rev Req Non-449'!E12-'CY Rev Req Non-449'!C12)-('PY Rev Req Non-449 (UE-220137)'!E12-'PY Rev Req Non-449 (UE-220137)'!C12)</f>
        <v>-203845.27015526593</v>
      </c>
      <c r="C21" s="89">
        <f>B21</f>
        <v>-203845.27015526593</v>
      </c>
      <c r="E21" s="880"/>
      <c r="F21" s="88"/>
    </row>
    <row r="22" spans="1:6" x14ac:dyDescent="0.35">
      <c r="A22" s="87"/>
      <c r="B22" s="187"/>
      <c r="C22" s="90"/>
      <c r="E22" s="880"/>
      <c r="F22" s="88"/>
    </row>
    <row r="23" spans="1:6" x14ac:dyDescent="0.35">
      <c r="A23" s="569" t="s">
        <v>160</v>
      </c>
      <c r="B23" s="187"/>
      <c r="C23" s="89">
        <f>SUM(C11:C22)</f>
        <v>-5659808.245947551</v>
      </c>
      <c r="E23" s="880"/>
      <c r="F23" s="88"/>
    </row>
    <row r="24" spans="1:6" x14ac:dyDescent="0.35">
      <c r="C24" s="85"/>
      <c r="E24" s="86"/>
      <c r="F24" s="86"/>
    </row>
    <row r="25" spans="1:6" ht="15" thickBot="1" x14ac:dyDescent="0.4">
      <c r="A25" s="569" t="s">
        <v>161</v>
      </c>
      <c r="C25" s="91">
        <f>C7+C23</f>
        <v>94960177.246245801</v>
      </c>
      <c r="E25" s="86"/>
      <c r="F25" s="881"/>
    </row>
    <row r="26" spans="1:6" ht="15" thickTop="1" x14ac:dyDescent="0.35">
      <c r="C26" s="570">
        <f>'CY Rev Req Non-449'!E12-C25</f>
        <v>0</v>
      </c>
      <c r="E26" s="86"/>
      <c r="F26" s="86"/>
    </row>
    <row r="29" spans="1:6" x14ac:dyDescent="0.35">
      <c r="B29" s="89"/>
      <c r="C29" s="43"/>
    </row>
    <row r="31" spans="1:6" x14ac:dyDescent="0.35">
      <c r="B31" s="89"/>
    </row>
  </sheetData>
  <pageMargins left="0.7" right="0.7" top="0.75" bottom="0.75" header="0.3" footer="0.3"/>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F44"/>
  <sheetViews>
    <sheetView workbookViewId="0">
      <pane ySplit="5" topLeftCell="A6" activePane="bottomLeft" state="frozen"/>
      <selection activeCell="B34" sqref="B34:F35"/>
      <selection pane="bottomLeft" activeCell="C20" sqref="C20"/>
    </sheetView>
  </sheetViews>
  <sheetFormatPr defaultColWidth="9.1796875" defaultRowHeight="12.5" x14ac:dyDescent="0.25"/>
  <cols>
    <col min="1" max="1" width="4" style="7" bestFit="1" customWidth="1"/>
    <col min="2" max="2" width="50.1796875" style="7" customWidth="1"/>
    <col min="3" max="3" width="45.453125" style="7" bestFit="1" customWidth="1"/>
    <col min="4" max="4" width="17" style="7" bestFit="1" customWidth="1"/>
    <col min="5" max="5" width="15.453125" style="7" bestFit="1" customWidth="1"/>
    <col min="6" max="6" width="13.453125" style="7" bestFit="1" customWidth="1"/>
    <col min="7" max="16384" width="9.1796875" style="7"/>
  </cols>
  <sheetData>
    <row r="1" spans="1:6" ht="13" x14ac:dyDescent="0.3">
      <c r="A1" s="53" t="s">
        <v>375</v>
      </c>
      <c r="C1" s="564"/>
    </row>
    <row r="2" spans="1:6" ht="13.5" thickBot="1" x14ac:dyDescent="0.35">
      <c r="A2" s="53" t="s">
        <v>0</v>
      </c>
    </row>
    <row r="3" spans="1:6" ht="13.5" thickBot="1" x14ac:dyDescent="0.35">
      <c r="B3" s="888" t="s">
        <v>393</v>
      </c>
      <c r="C3" s="889"/>
      <c r="D3" s="889"/>
      <c r="E3" s="889"/>
      <c r="F3" s="890"/>
    </row>
    <row r="4" spans="1:6" ht="13.5" thickBot="1" x14ac:dyDescent="0.35">
      <c r="A4" s="53"/>
      <c r="F4" s="565" t="s">
        <v>5</v>
      </c>
    </row>
    <row r="5" spans="1:6" ht="13" x14ac:dyDescent="0.3">
      <c r="A5" s="101"/>
      <c r="D5" s="4"/>
      <c r="E5" s="4"/>
      <c r="F5" s="5" t="s">
        <v>265</v>
      </c>
    </row>
    <row r="6" spans="1:6" ht="13" x14ac:dyDescent="0.3">
      <c r="A6" s="3" t="s">
        <v>2</v>
      </c>
      <c r="B6" s="3"/>
      <c r="C6" s="3"/>
      <c r="D6" s="52" t="s">
        <v>3</v>
      </c>
      <c r="E6" s="52" t="s">
        <v>4</v>
      </c>
      <c r="F6" s="52" t="s">
        <v>266</v>
      </c>
    </row>
    <row r="7" spans="1:6" x14ac:dyDescent="0.25">
      <c r="D7" s="651" t="s">
        <v>6</v>
      </c>
      <c r="E7" s="651" t="s">
        <v>7</v>
      </c>
      <c r="F7" s="651" t="s">
        <v>8</v>
      </c>
    </row>
    <row r="8" spans="1:6" ht="13" x14ac:dyDescent="0.3">
      <c r="A8" s="7">
        <v>1</v>
      </c>
      <c r="B8" s="53" t="s">
        <v>376</v>
      </c>
      <c r="C8" s="53"/>
      <c r="D8" s="651"/>
      <c r="E8" s="651"/>
      <c r="F8" s="651"/>
    </row>
    <row r="9" spans="1:6" ht="13" x14ac:dyDescent="0.3">
      <c r="A9" s="7">
        <v>2</v>
      </c>
      <c r="B9" s="53"/>
      <c r="C9" s="53"/>
      <c r="D9" s="651"/>
      <c r="E9" s="651"/>
      <c r="F9" s="651"/>
    </row>
    <row r="10" spans="1:6" x14ac:dyDescent="0.25">
      <c r="A10" s="7">
        <v>3</v>
      </c>
      <c r="B10" s="7" t="s">
        <v>9</v>
      </c>
      <c r="C10" s="7" t="s">
        <v>377</v>
      </c>
      <c r="D10" s="23">
        <v>-75162843.337880969</v>
      </c>
      <c r="E10" s="23">
        <v>-76039718.641930699</v>
      </c>
      <c r="F10" s="93">
        <f>E10-D10</f>
        <v>-876875.3040497303</v>
      </c>
    </row>
    <row r="11" spans="1:6" x14ac:dyDescent="0.25">
      <c r="A11" s="7">
        <v>4</v>
      </c>
      <c r="D11" s="50"/>
      <c r="E11" s="50"/>
      <c r="F11" s="94"/>
    </row>
    <row r="12" spans="1:6" x14ac:dyDescent="0.25">
      <c r="A12" s="7">
        <v>5</v>
      </c>
      <c r="B12" s="7" t="s">
        <v>10</v>
      </c>
      <c r="D12" s="47"/>
      <c r="E12" s="47"/>
      <c r="F12" s="95"/>
    </row>
    <row r="13" spans="1:6" x14ac:dyDescent="0.25">
      <c r="A13" s="7">
        <v>6</v>
      </c>
      <c r="B13" s="6" t="s">
        <v>380</v>
      </c>
      <c r="D13" s="567">
        <v>97776931.660861611</v>
      </c>
      <c r="E13" s="567">
        <v>77348850.039999992</v>
      </c>
      <c r="F13" s="96">
        <f>E13-D13</f>
        <v>-20428081.62086162</v>
      </c>
    </row>
    <row r="14" spans="1:6" x14ac:dyDescent="0.25">
      <c r="A14" s="7">
        <v>7</v>
      </c>
      <c r="B14" s="6" t="s">
        <v>381</v>
      </c>
      <c r="D14" s="56">
        <v>2815939.5855407305</v>
      </c>
      <c r="E14" s="567">
        <v>1998091.55</v>
      </c>
      <c r="F14" s="96">
        <f>E14-D14</f>
        <v>-817848.03554073046</v>
      </c>
    </row>
    <row r="15" spans="1:6" x14ac:dyDescent="0.25">
      <c r="A15" s="7">
        <v>8</v>
      </c>
      <c r="B15" s="6" t="s">
        <v>11</v>
      </c>
      <c r="D15" s="78">
        <v>100592871.24640234</v>
      </c>
      <c r="E15" s="78">
        <v>79346941.589999989</v>
      </c>
      <c r="F15" s="78">
        <f>SUM(F13:F14)</f>
        <v>-21245929.656402349</v>
      </c>
    </row>
    <row r="16" spans="1:6" x14ac:dyDescent="0.25">
      <c r="A16" s="7">
        <v>9</v>
      </c>
      <c r="D16" s="92">
        <v>19216242.047495276</v>
      </c>
      <c r="E16" s="92">
        <v>0</v>
      </c>
      <c r="F16" s="97"/>
    </row>
    <row r="17" spans="1:6" x14ac:dyDescent="0.25">
      <c r="A17" s="7">
        <v>10</v>
      </c>
      <c r="B17" s="7" t="s">
        <v>376</v>
      </c>
      <c r="D17" s="96"/>
      <c r="E17" s="96"/>
      <c r="F17" s="92">
        <f>F10+F15</f>
        <v>-22122804.96045208</v>
      </c>
    </row>
    <row r="18" spans="1:6" x14ac:dyDescent="0.25">
      <c r="A18" s="7">
        <v>11</v>
      </c>
      <c r="D18" s="96"/>
      <c r="E18" s="96"/>
      <c r="F18" s="96"/>
    </row>
    <row r="19" spans="1:6" ht="13" x14ac:dyDescent="0.3">
      <c r="A19" s="7">
        <v>12</v>
      </c>
      <c r="B19" s="53" t="s">
        <v>382</v>
      </c>
      <c r="C19" s="53"/>
      <c r="D19" s="96"/>
      <c r="E19" s="96"/>
      <c r="F19" s="96"/>
    </row>
    <row r="20" spans="1:6" ht="13" x14ac:dyDescent="0.3">
      <c r="A20" s="7">
        <v>13</v>
      </c>
      <c r="B20" s="53"/>
      <c r="C20" s="53"/>
      <c r="D20" s="4"/>
      <c r="E20" s="4"/>
      <c r="F20" s="5" t="s">
        <v>1</v>
      </c>
    </row>
    <row r="21" spans="1:6" ht="13" x14ac:dyDescent="0.3">
      <c r="A21" s="7">
        <v>14</v>
      </c>
      <c r="B21" s="7" t="s">
        <v>222</v>
      </c>
      <c r="D21" s="52" t="s">
        <v>3</v>
      </c>
      <c r="E21" s="52" t="s">
        <v>4</v>
      </c>
      <c r="F21" s="52" t="s">
        <v>5</v>
      </c>
    </row>
    <row r="22" spans="1:6" x14ac:dyDescent="0.25">
      <c r="A22" s="7">
        <v>15</v>
      </c>
      <c r="B22" s="6" t="s">
        <v>378</v>
      </c>
      <c r="C22" s="6"/>
    </row>
    <row r="23" spans="1:6" x14ac:dyDescent="0.25">
      <c r="A23" s="7">
        <v>16</v>
      </c>
      <c r="B23" s="6" t="s">
        <v>379</v>
      </c>
      <c r="C23" s="6"/>
      <c r="D23" s="567">
        <v>-21831633.082258601</v>
      </c>
      <c r="E23" s="567">
        <v>-23816763.914296649</v>
      </c>
      <c r="F23" s="92">
        <f>E23-D23</f>
        <v>-1985130.8320380487</v>
      </c>
    </row>
    <row r="24" spans="1:6" x14ac:dyDescent="0.25">
      <c r="A24" s="7">
        <v>17</v>
      </c>
      <c r="B24" s="6"/>
      <c r="C24" s="6"/>
      <c r="D24" s="56"/>
      <c r="E24" s="56"/>
      <c r="F24" s="92"/>
    </row>
    <row r="25" spans="1:6" x14ac:dyDescent="0.25">
      <c r="A25" s="7">
        <v>18</v>
      </c>
      <c r="B25" s="6"/>
      <c r="C25" s="6"/>
      <c r="D25" s="56"/>
      <c r="E25" s="56"/>
      <c r="F25" s="92"/>
    </row>
    <row r="26" spans="1:6" x14ac:dyDescent="0.25">
      <c r="A26" s="7">
        <v>19</v>
      </c>
      <c r="D26" s="96"/>
      <c r="E26" s="96"/>
      <c r="F26" s="97"/>
    </row>
    <row r="27" spans="1:6" ht="13" thickBot="1" x14ac:dyDescent="0.3">
      <c r="A27" s="7">
        <v>20</v>
      </c>
      <c r="B27" s="7" t="s">
        <v>12</v>
      </c>
      <c r="D27" s="98"/>
      <c r="E27" s="96"/>
      <c r="F27" s="99">
        <f>SUM(F17:F26)</f>
        <v>-24107935.792490128</v>
      </c>
    </row>
    <row r="28" spans="1:6" ht="13" thickTop="1" x14ac:dyDescent="0.25"/>
    <row r="29" spans="1:6" x14ac:dyDescent="0.25">
      <c r="F29" s="96"/>
    </row>
    <row r="34" spans="4:5" x14ac:dyDescent="0.25">
      <c r="E34" s="56"/>
    </row>
    <row r="44" spans="4:5" x14ac:dyDescent="0.25">
      <c r="D44" s="7" t="s">
        <v>13</v>
      </c>
    </row>
  </sheetData>
  <mergeCells count="1">
    <mergeCell ref="B3:F3"/>
  </mergeCells>
  <pageMargins left="0.7" right="0.7" top="0.75" bottom="0.75" header="0.3" footer="0.3"/>
  <pageSetup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1" sqref="J21"/>
    </sheetView>
  </sheetViews>
  <sheetFormatPr defaultRowHeight="14.5" x14ac:dyDescent="0.35"/>
  <sheetData/>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B1A0C7"/>
  </sheetPr>
  <dimension ref="A1:K19"/>
  <sheetViews>
    <sheetView workbookViewId="0">
      <selection activeCell="E12" sqref="E12"/>
    </sheetView>
  </sheetViews>
  <sheetFormatPr defaultColWidth="9.1796875" defaultRowHeight="12.5" x14ac:dyDescent="0.25"/>
  <cols>
    <col min="1" max="1" width="4.54296875" style="7" bestFit="1" customWidth="1"/>
    <col min="2" max="2" width="66.54296875" style="7" bestFit="1" customWidth="1"/>
    <col min="3" max="3" width="14.54296875" style="7" bestFit="1" customWidth="1"/>
    <col min="4" max="4" width="10.81640625" style="7" bestFit="1" customWidth="1"/>
    <col min="5" max="5" width="14.453125" style="7" bestFit="1" customWidth="1"/>
    <col min="6" max="6" width="2.453125" style="7" customWidth="1"/>
    <col min="7" max="7" width="3.54296875" style="7" customWidth="1"/>
    <col min="8" max="8" width="13.1796875" style="7" bestFit="1" customWidth="1"/>
    <col min="9" max="9" width="9.453125" style="7" bestFit="1" customWidth="1"/>
    <col min="10" max="10" width="13.54296875" style="7" bestFit="1" customWidth="1"/>
    <col min="11" max="11" width="13.453125" style="7" bestFit="1" customWidth="1"/>
    <col min="12" max="16384" width="9.1796875" style="7"/>
  </cols>
  <sheetData>
    <row r="1" spans="1:11" x14ac:dyDescent="0.25">
      <c r="A1" s="38" t="s">
        <v>30</v>
      </c>
      <c r="B1" s="38"/>
      <c r="C1" s="38"/>
      <c r="D1" s="38"/>
      <c r="E1" s="38"/>
    </row>
    <row r="2" spans="1:11" x14ac:dyDescent="0.25">
      <c r="A2" s="38" t="s">
        <v>31</v>
      </c>
      <c r="B2" s="38"/>
      <c r="C2" s="38"/>
      <c r="D2" s="38"/>
      <c r="E2" s="38"/>
    </row>
    <row r="3" spans="1:11" x14ac:dyDescent="0.25">
      <c r="A3" s="39" t="s">
        <v>401</v>
      </c>
      <c r="B3" s="38"/>
      <c r="C3" s="38"/>
      <c r="D3" s="38"/>
      <c r="E3" s="38"/>
    </row>
    <row r="4" spans="1:11" x14ac:dyDescent="0.25">
      <c r="A4" s="891"/>
      <c r="B4" s="891"/>
      <c r="C4" s="891"/>
      <c r="D4" s="891"/>
      <c r="E4" s="891"/>
    </row>
    <row r="5" spans="1:11" x14ac:dyDescent="0.25">
      <c r="A5" s="222"/>
      <c r="B5" s="222"/>
      <c r="C5" s="100"/>
      <c r="D5" s="100"/>
      <c r="E5" s="100"/>
    </row>
    <row r="6" spans="1:11" s="41" customFormat="1" ht="25" x14ac:dyDescent="0.25">
      <c r="A6" s="40" t="s">
        <v>17</v>
      </c>
      <c r="B6" s="40" t="s">
        <v>2</v>
      </c>
      <c r="C6" s="40" t="s">
        <v>32</v>
      </c>
      <c r="D6" s="40" t="s">
        <v>33</v>
      </c>
      <c r="E6" s="40" t="s">
        <v>16</v>
      </c>
      <c r="H6" s="7"/>
      <c r="I6" s="7"/>
      <c r="J6" s="7"/>
    </row>
    <row r="7" spans="1:11" x14ac:dyDescent="0.25">
      <c r="A7" s="42"/>
      <c r="B7" s="42"/>
      <c r="C7" s="42"/>
      <c r="D7" s="38"/>
    </row>
    <row r="8" spans="1:11" x14ac:dyDescent="0.25">
      <c r="A8" s="42">
        <v>1</v>
      </c>
      <c r="B8" s="17" t="s">
        <v>402</v>
      </c>
      <c r="C8" s="50">
        <f>'CY Rev Remove 449'!F11</f>
        <v>121557883.55955744</v>
      </c>
      <c r="D8" s="43">
        <f>'CY Conv Fctr '!K18</f>
        <v>0.95034799999999997</v>
      </c>
      <c r="E8" s="50">
        <f>+C8/D8</f>
        <v>127908811.88739014</v>
      </c>
      <c r="H8" s="613"/>
      <c r="I8" s="614"/>
      <c r="J8" s="613"/>
      <c r="K8" s="47"/>
    </row>
    <row r="9" spans="1:11" x14ac:dyDescent="0.25">
      <c r="A9" s="42"/>
      <c r="B9" s="17"/>
      <c r="C9" s="50"/>
      <c r="D9" s="43"/>
      <c r="H9" s="613"/>
      <c r="I9" s="614"/>
      <c r="J9" s="615"/>
    </row>
    <row r="10" spans="1:11" x14ac:dyDescent="0.25">
      <c r="A10" s="42">
        <v>2</v>
      </c>
      <c r="B10" s="17" t="s">
        <v>263</v>
      </c>
      <c r="C10" s="50">
        <f>'CY Rev Remove 449'!F13</f>
        <v>-31312669.033942237</v>
      </c>
      <c r="D10" s="43">
        <f>+$D$8</f>
        <v>0.95034799999999997</v>
      </c>
      <c r="E10" s="50">
        <f>+C10/D10</f>
        <v>-32948634.641144335</v>
      </c>
      <c r="H10" s="613"/>
      <c r="I10" s="614"/>
      <c r="J10" s="613"/>
      <c r="K10" s="47"/>
    </row>
    <row r="11" spans="1:11" x14ac:dyDescent="0.25">
      <c r="A11" s="42"/>
      <c r="B11" s="42"/>
      <c r="C11" s="44"/>
      <c r="D11" s="43"/>
      <c r="E11" s="45"/>
      <c r="H11" s="615"/>
      <c r="I11" s="614"/>
      <c r="J11" s="615"/>
    </row>
    <row r="12" spans="1:11" ht="13" thickBot="1" x14ac:dyDescent="0.3">
      <c r="A12" s="42">
        <v>3</v>
      </c>
      <c r="B12" s="19" t="s">
        <v>34</v>
      </c>
      <c r="C12" s="46">
        <f>SUM(C8:C11)</f>
        <v>90245214.5256152</v>
      </c>
      <c r="D12" s="43"/>
      <c r="E12" s="46">
        <f>SUM(E8:E11)</f>
        <v>94960177.246245801</v>
      </c>
      <c r="H12" s="613"/>
      <c r="I12" s="614"/>
      <c r="J12" s="613"/>
      <c r="K12" s="47"/>
    </row>
    <row r="13" spans="1:11" ht="13" thickTop="1" x14ac:dyDescent="0.25">
      <c r="A13" s="42"/>
      <c r="B13" s="42"/>
      <c r="C13" s="42"/>
      <c r="D13" s="43"/>
      <c r="E13" s="47"/>
      <c r="H13" s="47"/>
      <c r="J13" s="47"/>
      <c r="K13" s="47"/>
    </row>
    <row r="14" spans="1:11" ht="14.5" x14ac:dyDescent="0.35">
      <c r="B14" s="224"/>
      <c r="C14" s="49"/>
      <c r="D14" s="184"/>
      <c r="E14" s="287"/>
    </row>
    <row r="15" spans="1:11" x14ac:dyDescent="0.25">
      <c r="C15" s="47"/>
      <c r="F15" s="222"/>
    </row>
    <row r="19" spans="8:10" x14ac:dyDescent="0.25">
      <c r="H19" s="47"/>
      <c r="J19" s="47"/>
    </row>
  </sheetData>
  <mergeCells count="1">
    <mergeCell ref="A4:E4"/>
  </mergeCells>
  <pageMargins left="0.7" right="0.7" top="0.75" bottom="0.75" header="0.3" footer="0.3"/>
  <pageSetup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B1A0C7"/>
  </sheetPr>
  <dimension ref="A1:K41"/>
  <sheetViews>
    <sheetView topLeftCell="A16" workbookViewId="0">
      <selection activeCell="C18" sqref="C18"/>
    </sheetView>
  </sheetViews>
  <sheetFormatPr defaultColWidth="9.1796875" defaultRowHeight="12.5" x14ac:dyDescent="0.25"/>
  <cols>
    <col min="1" max="1" width="8.453125" style="7" bestFit="1" customWidth="1"/>
    <col min="2" max="2" width="8" style="294" bestFit="1" customWidth="1"/>
    <col min="3" max="3" width="58.1796875" style="7" customWidth="1"/>
    <col min="4" max="4" width="13.54296875" style="7" bestFit="1" customWidth="1"/>
    <col min="5" max="5" width="12.1796875" style="7" bestFit="1" customWidth="1"/>
    <col min="6" max="6" width="13.54296875" style="7" bestFit="1" customWidth="1"/>
    <col min="7" max="7" width="9.1796875" style="7"/>
    <col min="8" max="8" width="50" style="7" bestFit="1" customWidth="1"/>
    <col min="9" max="9" width="12.1796875" style="7" bestFit="1" customWidth="1"/>
    <col min="10" max="10" width="13.54296875" style="7" bestFit="1" customWidth="1"/>
    <col min="11" max="11" width="13.453125" style="7" bestFit="1" customWidth="1"/>
    <col min="12" max="16384" width="9.1796875" style="7"/>
  </cols>
  <sheetData>
    <row r="1" spans="1:11" x14ac:dyDescent="0.25">
      <c r="A1" s="893" t="s">
        <v>14</v>
      </c>
      <c r="B1" s="893"/>
      <c r="C1" s="893"/>
      <c r="D1" s="893"/>
      <c r="E1" s="893"/>
      <c r="F1" s="893"/>
    </row>
    <row r="2" spans="1:11" x14ac:dyDescent="0.25">
      <c r="A2" s="893" t="s">
        <v>15</v>
      </c>
      <c r="B2" s="893"/>
      <c r="C2" s="893"/>
      <c r="D2" s="893"/>
      <c r="E2" s="893"/>
      <c r="F2" s="893"/>
    </row>
    <row r="3" spans="1:11" x14ac:dyDescent="0.25">
      <c r="A3" s="893" t="s">
        <v>16</v>
      </c>
      <c r="B3" s="893"/>
      <c r="C3" s="893"/>
      <c r="D3" s="893"/>
      <c r="E3" s="893"/>
      <c r="F3" s="893"/>
    </row>
    <row r="4" spans="1:11" x14ac:dyDescent="0.25">
      <c r="A4" s="893" t="s">
        <v>401</v>
      </c>
      <c r="B4" s="893"/>
      <c r="C4" s="893"/>
      <c r="D4" s="893"/>
      <c r="E4" s="893"/>
      <c r="F4" s="893"/>
    </row>
    <row r="5" spans="1:11" x14ac:dyDescent="0.25">
      <c r="A5" s="100"/>
      <c r="B5" s="38"/>
      <c r="C5" s="38"/>
      <c r="D5" s="38"/>
      <c r="E5" s="38"/>
      <c r="F5" s="38"/>
    </row>
    <row r="6" spans="1:11" x14ac:dyDescent="0.25">
      <c r="A6" s="42" t="s">
        <v>17</v>
      </c>
      <c r="B6" s="42"/>
      <c r="C6" s="42" t="s">
        <v>2</v>
      </c>
      <c r="D6" s="42" t="s">
        <v>18</v>
      </c>
      <c r="E6" s="38" t="s">
        <v>19</v>
      </c>
      <c r="F6" s="42" t="s">
        <v>20</v>
      </c>
    </row>
    <row r="7" spans="1:11" x14ac:dyDescent="0.25">
      <c r="A7" s="42"/>
      <c r="B7" s="42"/>
      <c r="C7" s="42"/>
      <c r="D7" s="42" t="s">
        <v>6</v>
      </c>
      <c r="E7" s="38" t="s">
        <v>7</v>
      </c>
      <c r="F7" s="42" t="s">
        <v>21</v>
      </c>
    </row>
    <row r="8" spans="1:11" ht="13" thickBot="1" x14ac:dyDescent="0.3">
      <c r="A8" s="42"/>
      <c r="B8" s="42"/>
      <c r="C8" s="42"/>
      <c r="D8" s="42"/>
      <c r="E8" s="38"/>
      <c r="F8" s="42"/>
      <c r="J8" s="41"/>
    </row>
    <row r="9" spans="1:11" ht="13" x14ac:dyDescent="0.3">
      <c r="A9" s="8"/>
      <c r="B9" s="9"/>
      <c r="C9" s="10" t="s">
        <v>22</v>
      </c>
      <c r="D9" s="9"/>
      <c r="E9" s="11"/>
      <c r="F9" s="12"/>
    </row>
    <row r="10" spans="1:11" x14ac:dyDescent="0.25">
      <c r="A10" s="13"/>
      <c r="B10" s="42"/>
      <c r="C10" s="42"/>
      <c r="D10" s="42"/>
      <c r="E10" s="14"/>
      <c r="F10" s="15"/>
    </row>
    <row r="11" spans="1:11" x14ac:dyDescent="0.25">
      <c r="A11" s="16">
        <v>1</v>
      </c>
      <c r="B11" s="42"/>
      <c r="C11" s="17" t="s">
        <v>496</v>
      </c>
      <c r="D11" s="50">
        <f>'2023 Budget '!N79</f>
        <v>122793213.45817296</v>
      </c>
      <c r="E11" s="50">
        <f>'2023 Budget '!N80</f>
        <v>-1235329.8986155314</v>
      </c>
      <c r="F11" s="33">
        <f>+D11+E11</f>
        <v>121557883.55955744</v>
      </c>
    </row>
    <row r="12" spans="1:11" x14ac:dyDescent="0.25">
      <c r="A12" s="16"/>
      <c r="B12" s="42"/>
      <c r="C12" s="17"/>
      <c r="D12" s="50"/>
      <c r="E12" s="14"/>
      <c r="F12" s="15"/>
    </row>
    <row r="13" spans="1:11" x14ac:dyDescent="0.25">
      <c r="A13" s="16">
        <v>2</v>
      </c>
      <c r="B13" s="18"/>
      <c r="C13" s="19" t="s">
        <v>497</v>
      </c>
      <c r="D13" s="92">
        <f>SUM(E13:F13)</f>
        <v>-31312669.033942237</v>
      </c>
      <c r="E13" s="20" t="s">
        <v>23</v>
      </c>
      <c r="F13" s="21">
        <f>'CY True-Up'!F27</f>
        <v>-31312669.033942237</v>
      </c>
      <c r="H13" s="56"/>
      <c r="I13" s="56"/>
      <c r="J13" s="56"/>
      <c r="K13" s="47"/>
    </row>
    <row r="14" spans="1:11" ht="12.75" customHeight="1" x14ac:dyDescent="0.25">
      <c r="A14" s="16"/>
      <c r="B14" s="42"/>
      <c r="C14" s="48"/>
      <c r="D14" s="45"/>
      <c r="E14" s="45"/>
      <c r="F14" s="22"/>
    </row>
    <row r="15" spans="1:11" x14ac:dyDescent="0.25">
      <c r="A15" s="16">
        <v>3</v>
      </c>
      <c r="B15" s="18" t="s">
        <v>24</v>
      </c>
      <c r="C15" s="19" t="s">
        <v>25</v>
      </c>
      <c r="D15" s="23">
        <f>SUM(D13,D11)</f>
        <v>91480544.424230725</v>
      </c>
      <c r="E15" s="23">
        <f>SUM(E13,E11)</f>
        <v>-1235329.8986155314</v>
      </c>
      <c r="F15" s="24">
        <f>SUM(F11:F14)</f>
        <v>90245214.5256152</v>
      </c>
      <c r="H15" s="47"/>
      <c r="I15" s="47"/>
      <c r="J15" s="47"/>
      <c r="K15" s="47"/>
    </row>
    <row r="16" spans="1:11" x14ac:dyDescent="0.25">
      <c r="A16" s="16"/>
      <c r="B16" s="18"/>
      <c r="C16" s="19"/>
      <c r="D16" s="50"/>
      <c r="E16" s="50"/>
      <c r="F16" s="33"/>
      <c r="H16" s="47"/>
      <c r="I16" s="47"/>
      <c r="J16" s="47"/>
    </row>
    <row r="17" spans="1:11" ht="13" thickBot="1" x14ac:dyDescent="0.3">
      <c r="A17" s="25"/>
      <c r="B17" s="26"/>
      <c r="C17" s="27"/>
      <c r="D17" s="27"/>
      <c r="E17" s="27"/>
      <c r="F17" s="28"/>
    </row>
    <row r="18" spans="1:11" x14ac:dyDescent="0.25">
      <c r="A18" s="42"/>
    </row>
    <row r="19" spans="1:11" ht="13" thickBot="1" x14ac:dyDescent="0.3">
      <c r="A19" s="42"/>
    </row>
    <row r="20" spans="1:11" ht="13" x14ac:dyDescent="0.3">
      <c r="A20" s="29"/>
      <c r="B20" s="9"/>
      <c r="C20" s="10" t="s">
        <v>16</v>
      </c>
      <c r="D20" s="30"/>
      <c r="E20" s="30"/>
      <c r="F20" s="12"/>
    </row>
    <row r="21" spans="1:11" x14ac:dyDescent="0.25">
      <c r="A21" s="16"/>
      <c r="B21" s="42"/>
      <c r="C21" s="48"/>
      <c r="D21" s="48"/>
      <c r="E21" s="48"/>
      <c r="F21" s="15"/>
    </row>
    <row r="22" spans="1:11" x14ac:dyDescent="0.25">
      <c r="A22" s="16">
        <v>4</v>
      </c>
      <c r="B22" s="42"/>
      <c r="C22" s="48" t="s">
        <v>503</v>
      </c>
      <c r="D22" s="571">
        <f>'CY Conv Fctr '!K18</f>
        <v>0.95034799999999997</v>
      </c>
      <c r="E22" s="571">
        <f>D22</f>
        <v>0.95034799999999997</v>
      </c>
      <c r="F22" s="572">
        <f>E22</f>
        <v>0.95034799999999997</v>
      </c>
      <c r="H22" s="612"/>
      <c r="I22" s="612"/>
      <c r="J22" s="612"/>
    </row>
    <row r="23" spans="1:11" x14ac:dyDescent="0.25">
      <c r="A23" s="16"/>
      <c r="B23" s="42"/>
      <c r="C23" s="48"/>
      <c r="D23" s="48"/>
      <c r="E23" s="48"/>
      <c r="F23" s="15"/>
    </row>
    <row r="24" spans="1:11" x14ac:dyDescent="0.25">
      <c r="A24" s="16">
        <v>5</v>
      </c>
      <c r="B24" s="18" t="s">
        <v>26</v>
      </c>
      <c r="C24" s="17" t="s">
        <v>504</v>
      </c>
      <c r="D24" s="50">
        <f>D11/D22</f>
        <v>129208682.98578307</v>
      </c>
      <c r="E24" s="50">
        <f>+E11/E22</f>
        <v>-1299871.0983929376</v>
      </c>
      <c r="F24" s="33">
        <f>D24+E24</f>
        <v>127908811.88739014</v>
      </c>
      <c r="H24" s="47"/>
      <c r="I24" s="47"/>
      <c r="J24" s="47"/>
      <c r="K24" s="47"/>
    </row>
    <row r="25" spans="1:11" x14ac:dyDescent="0.25">
      <c r="A25" s="16"/>
      <c r="B25" s="18"/>
      <c r="C25" s="19"/>
      <c r="D25" s="31"/>
      <c r="E25" s="31"/>
      <c r="F25" s="21"/>
      <c r="H25" s="56"/>
      <c r="I25" s="56"/>
      <c r="J25" s="56"/>
    </row>
    <row r="26" spans="1:11" x14ac:dyDescent="0.25">
      <c r="A26" s="16">
        <v>6</v>
      </c>
      <c r="B26" s="18" t="s">
        <v>27</v>
      </c>
      <c r="C26" s="19" t="s">
        <v>374</v>
      </c>
      <c r="D26" s="92">
        <f>D13/D22</f>
        <v>-32948634.641144335</v>
      </c>
      <c r="E26" s="20" t="s">
        <v>23</v>
      </c>
      <c r="F26" s="21">
        <f>F13/F22</f>
        <v>-32948634.641144335</v>
      </c>
      <c r="H26" s="56"/>
      <c r="I26" s="56"/>
      <c r="J26" s="56"/>
      <c r="K26" s="47"/>
    </row>
    <row r="27" spans="1:11" ht="14.5" x14ac:dyDescent="0.35">
      <c r="A27" s="16"/>
      <c r="B27" s="18"/>
      <c r="C27" s="19"/>
      <c r="D27" s="227"/>
      <c r="E27" s="228"/>
      <c r="F27" s="229"/>
      <c r="H27" s="56"/>
      <c r="I27" s="56"/>
      <c r="J27" s="56"/>
    </row>
    <row r="28" spans="1:11" x14ac:dyDescent="0.25">
      <c r="A28" s="16">
        <v>7</v>
      </c>
      <c r="B28" s="18" t="s">
        <v>28</v>
      </c>
      <c r="C28" s="19" t="s">
        <v>29</v>
      </c>
      <c r="D28" s="23">
        <f>SUM(D24:D27)</f>
        <v>96260048.344638735</v>
      </c>
      <c r="E28" s="23">
        <f>SUM(E24:E27)</f>
        <v>-1299871.0983929376</v>
      </c>
      <c r="F28" s="24">
        <f>SUM(F24:F27)</f>
        <v>94960177.246245801</v>
      </c>
      <c r="H28" s="47"/>
      <c r="I28" s="47"/>
      <c r="J28" s="47"/>
      <c r="K28" s="47"/>
    </row>
    <row r="29" spans="1:11" x14ac:dyDescent="0.25">
      <c r="A29" s="16"/>
      <c r="B29" s="18"/>
      <c r="C29" s="32"/>
      <c r="D29" s="50"/>
      <c r="E29" s="50"/>
      <c r="F29" s="33"/>
    </row>
    <row r="30" spans="1:11" ht="13" thickBot="1" x14ac:dyDescent="0.3">
      <c r="A30" s="34"/>
      <c r="B30" s="35"/>
      <c r="C30" s="35"/>
      <c r="D30" s="35"/>
      <c r="E30" s="35"/>
      <c r="F30" s="36"/>
    </row>
    <row r="31" spans="1:11" x14ac:dyDescent="0.25">
      <c r="A31" s="37"/>
      <c r="B31" s="37"/>
      <c r="C31" s="37"/>
      <c r="D31" s="37"/>
      <c r="E31" s="37"/>
      <c r="F31" s="37"/>
    </row>
    <row r="32" spans="1:11" x14ac:dyDescent="0.25">
      <c r="A32" s="37"/>
    </row>
    <row r="33" spans="1:6" ht="14.5" x14ac:dyDescent="0.35">
      <c r="A33" s="37"/>
      <c r="B33" s="223"/>
      <c r="C33" s="223"/>
      <c r="D33" s="223"/>
      <c r="E33" s="223"/>
      <c r="F33" s="223"/>
    </row>
    <row r="34" spans="1:6" ht="43.5" customHeight="1" x14ac:dyDescent="0.25">
      <c r="A34" s="37"/>
      <c r="B34" s="894" t="s">
        <v>518</v>
      </c>
      <c r="C34" s="894"/>
      <c r="D34" s="894"/>
      <c r="E34" s="894"/>
      <c r="F34" s="894"/>
    </row>
    <row r="35" spans="1:6" ht="37.5" customHeight="1" x14ac:dyDescent="0.25">
      <c r="A35" s="37"/>
      <c r="B35" s="894"/>
      <c r="C35" s="894"/>
      <c r="D35" s="894"/>
      <c r="E35" s="894"/>
      <c r="F35" s="894"/>
    </row>
    <row r="37" spans="1:6" ht="15" customHeight="1" x14ac:dyDescent="0.25">
      <c r="B37" s="892" t="s">
        <v>516</v>
      </c>
      <c r="C37" s="892"/>
      <c r="D37" s="892"/>
      <c r="E37" s="892"/>
      <c r="F37" s="892"/>
    </row>
    <row r="38" spans="1:6" x14ac:dyDescent="0.25">
      <c r="B38" s="892"/>
      <c r="C38" s="892"/>
      <c r="D38" s="892"/>
      <c r="E38" s="892"/>
      <c r="F38" s="892"/>
    </row>
    <row r="41" spans="1:6" x14ac:dyDescent="0.25">
      <c r="D41" s="47"/>
    </row>
  </sheetData>
  <mergeCells count="6">
    <mergeCell ref="B37:F38"/>
    <mergeCell ref="A1:F1"/>
    <mergeCell ref="A2:F2"/>
    <mergeCell ref="A3:F3"/>
    <mergeCell ref="A4:F4"/>
    <mergeCell ref="B34:F35"/>
  </mergeCell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A9694"/>
  </sheetPr>
  <dimension ref="A1:N96"/>
  <sheetViews>
    <sheetView zoomScaleNormal="100" workbookViewId="0">
      <pane xSplit="1" ySplit="4" topLeftCell="H81" activePane="bottomRight" state="frozen"/>
      <selection pane="topRight" activeCell="B1" sqref="B1"/>
      <selection pane="bottomLeft" activeCell="A5" sqref="A5"/>
      <selection pane="bottomRight" activeCell="M82" sqref="M82"/>
    </sheetView>
  </sheetViews>
  <sheetFormatPr defaultColWidth="9.1796875" defaultRowHeight="12.5" x14ac:dyDescent="0.25"/>
  <cols>
    <col min="1" max="1" width="4.81640625" style="295" customWidth="1"/>
    <col min="2" max="2" width="12.54296875" style="296" customWidth="1"/>
    <col min="3" max="3" width="6.453125" style="295" customWidth="1"/>
    <col min="4" max="4" width="6.1796875" style="295" customWidth="1"/>
    <col min="5" max="5" width="35" style="295" customWidth="1"/>
    <col min="6" max="6" width="16.453125" style="295" customWidth="1"/>
    <col min="7" max="7" width="18.54296875" style="295" customWidth="1"/>
    <col min="8" max="8" width="19.1796875" style="295" customWidth="1"/>
    <col min="9" max="9" width="16.81640625" style="295" customWidth="1"/>
    <col min="10" max="10" width="19.54296875" style="295" customWidth="1"/>
    <col min="11" max="13" width="9.1796875" style="295"/>
    <col min="14" max="14" width="13.54296875" style="295" bestFit="1" customWidth="1"/>
    <col min="15" max="16384" width="9.1796875" style="295"/>
  </cols>
  <sheetData>
    <row r="1" spans="1:11" s="528" customFormat="1" ht="33.65" customHeight="1" x14ac:dyDescent="0.35">
      <c r="B1" s="529"/>
      <c r="F1" s="896" t="s">
        <v>500</v>
      </c>
      <c r="G1" s="896"/>
      <c r="H1" s="896"/>
      <c r="I1" s="900" t="s">
        <v>517</v>
      </c>
      <c r="J1" s="901"/>
    </row>
    <row r="2" spans="1:11" ht="42" customHeight="1" thickBot="1" x14ac:dyDescent="0.4">
      <c r="D2" s="527"/>
      <c r="E2" s="526" t="s">
        <v>228</v>
      </c>
      <c r="H2" s="525"/>
      <c r="I2" s="902"/>
      <c r="J2" s="903"/>
    </row>
    <row r="3" spans="1:11" ht="17.25" customHeight="1" thickBot="1" x14ac:dyDescent="0.4">
      <c r="B3" s="524"/>
      <c r="C3" s="897">
        <v>44599</v>
      </c>
      <c r="D3" s="897"/>
      <c r="E3" s="897"/>
      <c r="F3" s="523"/>
      <c r="G3" s="522"/>
      <c r="H3" s="521"/>
      <c r="I3" s="520"/>
      <c r="J3" s="520"/>
    </row>
    <row r="4" spans="1:11" ht="61" x14ac:dyDescent="0.35">
      <c r="A4" s="325"/>
      <c r="B4" s="789" t="s">
        <v>163</v>
      </c>
      <c r="C4" s="790" t="s">
        <v>164</v>
      </c>
      <c r="D4" s="791"/>
      <c r="E4" s="789"/>
      <c r="F4" s="516" t="s">
        <v>165</v>
      </c>
      <c r="G4" s="516" t="s">
        <v>166</v>
      </c>
      <c r="H4" s="516" t="s">
        <v>167</v>
      </c>
      <c r="I4" s="516" t="s">
        <v>211</v>
      </c>
      <c r="J4" s="792" t="s">
        <v>229</v>
      </c>
    </row>
    <row r="5" spans="1:11" ht="16" thickBot="1" x14ac:dyDescent="0.3">
      <c r="A5" s="325"/>
      <c r="B5" s="514"/>
      <c r="C5" s="513" t="s">
        <v>230</v>
      </c>
      <c r="D5" s="512"/>
      <c r="E5" s="512"/>
      <c r="F5" s="511"/>
      <c r="G5" s="511"/>
      <c r="H5" s="511"/>
      <c r="I5" s="511"/>
      <c r="J5" s="510"/>
    </row>
    <row r="6" spans="1:11" ht="15.5" x14ac:dyDescent="0.35">
      <c r="A6" s="325"/>
      <c r="B6" s="509"/>
      <c r="C6" s="508" t="s">
        <v>168</v>
      </c>
      <c r="D6" s="508"/>
      <c r="E6" s="508"/>
      <c r="F6" s="506"/>
      <c r="G6" s="507"/>
      <c r="H6" s="506"/>
      <c r="I6" s="506"/>
      <c r="J6" s="505"/>
    </row>
    <row r="7" spans="1:11" ht="14.5" x14ac:dyDescent="0.35">
      <c r="A7" s="325"/>
      <c r="B7" s="105">
        <v>201</v>
      </c>
      <c r="C7" s="106" t="s">
        <v>169</v>
      </c>
      <c r="D7" s="107"/>
      <c r="E7" s="108"/>
      <c r="F7" s="490">
        <v>1999.3201999999999</v>
      </c>
      <c r="G7" s="793">
        <v>8079753.1575000007</v>
      </c>
      <c r="H7" s="490">
        <v>19470.830000000002</v>
      </c>
      <c r="I7" s="656">
        <v>1265185.6514999999</v>
      </c>
      <c r="J7" s="616">
        <f>G7+I7</f>
        <v>9344938.8090000004</v>
      </c>
    </row>
    <row r="8" spans="1:11" ht="14.5" x14ac:dyDescent="0.35">
      <c r="A8" s="325"/>
      <c r="B8" s="109">
        <v>214</v>
      </c>
      <c r="C8" s="110" t="s">
        <v>352</v>
      </c>
      <c r="D8" s="111"/>
      <c r="E8" s="112"/>
      <c r="F8" s="503">
        <v>74813.491620000001</v>
      </c>
      <c r="G8" s="634">
        <v>19208867.765000001</v>
      </c>
      <c r="H8" s="470">
        <v>2739139.0395</v>
      </c>
      <c r="I8" s="634">
        <v>11331927.149999999</v>
      </c>
      <c r="J8" s="617">
        <f t="shared" ref="J8" si="0">SUM(J9:J18)</f>
        <v>30540794.914999999</v>
      </c>
    </row>
    <row r="9" spans="1:11" s="493" customFormat="1" ht="13" x14ac:dyDescent="0.3">
      <c r="A9" s="502"/>
      <c r="B9" s="113"/>
      <c r="C9" s="114"/>
      <c r="D9" s="115" t="s">
        <v>170</v>
      </c>
      <c r="E9" s="116"/>
      <c r="F9" s="497">
        <v>633.05739999999992</v>
      </c>
      <c r="G9" s="794">
        <v>738328.245</v>
      </c>
      <c r="H9" s="496">
        <v>0</v>
      </c>
      <c r="I9" s="794">
        <v>0</v>
      </c>
      <c r="J9" s="618">
        <f t="shared" ref="J9:J22" si="1">G9+I9</f>
        <v>738328.245</v>
      </c>
      <c r="K9" s="494"/>
    </row>
    <row r="10" spans="1:11" s="493" customFormat="1" ht="13" x14ac:dyDescent="0.3">
      <c r="A10" s="502"/>
      <c r="B10" s="113"/>
      <c r="C10" s="114"/>
      <c r="D10" s="115" t="s">
        <v>171</v>
      </c>
      <c r="E10" s="116"/>
      <c r="F10" s="497">
        <v>9290.9259999999995</v>
      </c>
      <c r="G10" s="794">
        <v>5114068.9649999999</v>
      </c>
      <c r="H10" s="496">
        <v>623632.1</v>
      </c>
      <c r="I10" s="794">
        <v>4626222.2649999997</v>
      </c>
      <c r="J10" s="618">
        <f t="shared" si="1"/>
        <v>9740291.2300000004</v>
      </c>
      <c r="K10" s="494"/>
    </row>
    <row r="11" spans="1:11" s="493" customFormat="1" ht="13" x14ac:dyDescent="0.3">
      <c r="A11" s="502"/>
      <c r="B11" s="113"/>
      <c r="C11" s="114"/>
      <c r="D11" s="115" t="s">
        <v>172</v>
      </c>
      <c r="E11" s="116"/>
      <c r="F11" s="497">
        <v>1448.9932999999996</v>
      </c>
      <c r="G11" s="794">
        <v>1232073.7749999999</v>
      </c>
      <c r="H11" s="496">
        <v>65269.4</v>
      </c>
      <c r="I11" s="794">
        <v>544805.92500000005</v>
      </c>
      <c r="J11" s="618">
        <f t="shared" si="1"/>
        <v>1776879.7</v>
      </c>
      <c r="K11" s="494"/>
    </row>
    <row r="12" spans="1:11" s="493" customFormat="1" ht="13" x14ac:dyDescent="0.3">
      <c r="A12" s="502"/>
      <c r="B12" s="113"/>
      <c r="C12" s="114"/>
      <c r="D12" s="115" t="s">
        <v>173</v>
      </c>
      <c r="E12" s="116"/>
      <c r="F12" s="497">
        <v>0</v>
      </c>
      <c r="G12" s="794">
        <v>0</v>
      </c>
      <c r="H12" s="496">
        <v>0</v>
      </c>
      <c r="I12" s="794">
        <v>0</v>
      </c>
      <c r="J12" s="618">
        <f t="shared" si="1"/>
        <v>0</v>
      </c>
      <c r="K12" s="494"/>
    </row>
    <row r="13" spans="1:11" s="493" customFormat="1" ht="13" x14ac:dyDescent="0.3">
      <c r="A13" s="502"/>
      <c r="B13" s="113"/>
      <c r="C13" s="114"/>
      <c r="D13" s="115" t="s">
        <v>174</v>
      </c>
      <c r="E13" s="116"/>
      <c r="F13" s="497">
        <v>828.09</v>
      </c>
      <c r="G13" s="794">
        <v>912070.93500000006</v>
      </c>
      <c r="H13" s="496">
        <v>6108</v>
      </c>
      <c r="I13" s="794">
        <v>0</v>
      </c>
      <c r="J13" s="618">
        <f t="shared" si="1"/>
        <v>912070.93500000006</v>
      </c>
      <c r="K13" s="494"/>
    </row>
    <row r="14" spans="1:11" s="493" customFormat="1" ht="13" x14ac:dyDescent="0.3">
      <c r="A14" s="502"/>
      <c r="B14" s="113"/>
      <c r="C14" s="114"/>
      <c r="D14" s="115" t="s">
        <v>315</v>
      </c>
      <c r="E14" s="116"/>
      <c r="F14" s="497">
        <v>762.29</v>
      </c>
      <c r="G14" s="794">
        <v>1071596.2</v>
      </c>
      <c r="H14" s="496">
        <v>253301.7</v>
      </c>
      <c r="I14" s="794">
        <v>1885925.625</v>
      </c>
      <c r="J14" s="618">
        <f t="shared" si="1"/>
        <v>2957521.8250000002</v>
      </c>
      <c r="K14" s="494"/>
    </row>
    <row r="15" spans="1:11" s="493" customFormat="1" ht="13" x14ac:dyDescent="0.3">
      <c r="A15" s="502"/>
      <c r="B15" s="113"/>
      <c r="C15" s="114"/>
      <c r="D15" s="115" t="s">
        <v>370</v>
      </c>
      <c r="E15" s="116"/>
      <c r="F15" s="497">
        <v>0</v>
      </c>
      <c r="G15" s="794">
        <v>0</v>
      </c>
      <c r="H15" s="496">
        <v>0</v>
      </c>
      <c r="I15" s="794">
        <v>0</v>
      </c>
      <c r="J15" s="618">
        <f t="shared" si="1"/>
        <v>0</v>
      </c>
      <c r="K15" s="494"/>
    </row>
    <row r="16" spans="1:11" s="493" customFormat="1" ht="13" x14ac:dyDescent="0.3">
      <c r="A16" s="502"/>
      <c r="B16" s="113"/>
      <c r="C16" s="114"/>
      <c r="D16" s="115" t="s">
        <v>177</v>
      </c>
      <c r="E16" s="116"/>
      <c r="F16" s="497">
        <v>1334.6949199999995</v>
      </c>
      <c r="G16" s="794">
        <v>1295885.7</v>
      </c>
      <c r="H16" s="496">
        <v>251737.83950000006</v>
      </c>
      <c r="I16" s="794">
        <v>2679766.1399999997</v>
      </c>
      <c r="J16" s="618">
        <f t="shared" si="1"/>
        <v>3975651.84</v>
      </c>
      <c r="K16" s="494"/>
    </row>
    <row r="17" spans="1:11" s="493" customFormat="1" ht="13" x14ac:dyDescent="0.3">
      <c r="A17" s="502"/>
      <c r="B17" s="113"/>
      <c r="C17" s="114"/>
      <c r="D17" s="115" t="s">
        <v>178</v>
      </c>
      <c r="E17" s="116"/>
      <c r="F17" s="497">
        <v>46739.22</v>
      </c>
      <c r="G17" s="795">
        <v>2084682.8800000001</v>
      </c>
      <c r="H17" s="796">
        <v>1539090</v>
      </c>
      <c r="I17" s="795">
        <v>1595207.1949999998</v>
      </c>
      <c r="J17" s="618">
        <f t="shared" si="1"/>
        <v>3679890.0750000002</v>
      </c>
      <c r="K17" s="494"/>
    </row>
    <row r="18" spans="1:11" s="493" customFormat="1" ht="14.5" x14ac:dyDescent="0.35">
      <c r="A18" s="502"/>
      <c r="B18" s="113"/>
      <c r="C18" s="117"/>
      <c r="D18" s="115" t="s">
        <v>371</v>
      </c>
      <c r="E18" s="108"/>
      <c r="F18" s="497">
        <v>13776.22</v>
      </c>
      <c r="G18" s="797">
        <v>6760161.0649999995</v>
      </c>
      <c r="H18" s="796">
        <v>0</v>
      </c>
      <c r="I18" s="798">
        <v>0</v>
      </c>
      <c r="J18" s="618">
        <f t="shared" si="1"/>
        <v>6760161.0649999995</v>
      </c>
      <c r="K18" s="494"/>
    </row>
    <row r="19" spans="1:11" ht="14.5" x14ac:dyDescent="0.35">
      <c r="A19" s="325"/>
      <c r="B19" s="109">
        <v>215</v>
      </c>
      <c r="C19" s="117" t="s">
        <v>232</v>
      </c>
      <c r="D19" s="107"/>
      <c r="E19" s="108"/>
      <c r="F19" s="490">
        <v>360.27600000000001</v>
      </c>
      <c r="G19" s="793">
        <v>418070.00750000001</v>
      </c>
      <c r="H19" s="490">
        <v>6801.8</v>
      </c>
      <c r="I19" s="656">
        <v>80754.489999999991</v>
      </c>
      <c r="J19" s="617">
        <f t="shared" si="1"/>
        <v>498824.4975</v>
      </c>
    </row>
    <row r="20" spans="1:11" ht="14.5" x14ac:dyDescent="0.35">
      <c r="A20" s="325"/>
      <c r="B20" s="109" t="s">
        <v>316</v>
      </c>
      <c r="C20" s="117" t="s">
        <v>317</v>
      </c>
      <c r="D20" s="107"/>
      <c r="E20" s="108"/>
      <c r="F20" s="490">
        <v>0</v>
      </c>
      <c r="G20" s="793">
        <v>86192.55</v>
      </c>
      <c r="H20" s="490">
        <v>0</v>
      </c>
      <c r="I20" s="634">
        <v>78983.925000000003</v>
      </c>
      <c r="J20" s="617">
        <f t="shared" si="1"/>
        <v>165176.47500000001</v>
      </c>
    </row>
    <row r="21" spans="1:11" ht="14.5" x14ac:dyDescent="0.35">
      <c r="A21" s="325"/>
      <c r="B21" s="109">
        <v>217</v>
      </c>
      <c r="C21" s="110" t="s">
        <v>233</v>
      </c>
      <c r="D21" s="118"/>
      <c r="E21" s="119"/>
      <c r="F21" s="470">
        <v>9105.3477200000016</v>
      </c>
      <c r="G21" s="799">
        <v>9598797.4230000004</v>
      </c>
      <c r="H21" s="470">
        <v>37525.380000000005</v>
      </c>
      <c r="I21" s="634">
        <v>630814.277</v>
      </c>
      <c r="J21" s="617">
        <f t="shared" si="1"/>
        <v>10229611.700000001</v>
      </c>
    </row>
    <row r="22" spans="1:11" ht="14.5" x14ac:dyDescent="0.35">
      <c r="A22" s="325"/>
      <c r="B22" s="213">
        <v>218</v>
      </c>
      <c r="C22" s="214" t="s">
        <v>234</v>
      </c>
      <c r="D22" s="69"/>
      <c r="E22" s="69"/>
      <c r="F22" s="658">
        <v>4000</v>
      </c>
      <c r="G22" s="800">
        <v>2146821.9950000001</v>
      </c>
      <c r="H22" s="486">
        <v>15000</v>
      </c>
      <c r="I22" s="660">
        <v>149536.54999999999</v>
      </c>
      <c r="J22" s="619">
        <f t="shared" si="1"/>
        <v>2296358.5449999999</v>
      </c>
    </row>
    <row r="23" spans="1:11" ht="14.5" x14ac:dyDescent="0.35">
      <c r="A23" s="325"/>
      <c r="B23" s="120"/>
      <c r="C23" s="121" t="s">
        <v>179</v>
      </c>
      <c r="D23" s="121"/>
      <c r="E23" s="121"/>
      <c r="F23" s="465">
        <f>F7+F8+SUM(F19:F22)</f>
        <v>90278.435540000006</v>
      </c>
      <c r="G23" s="464">
        <f>G7+G8+SUM(G19:G22)</f>
        <v>39538502.898000002</v>
      </c>
      <c r="H23" s="432">
        <f>H7+H8+SUM(H19:H22)</f>
        <v>2817937.0495000002</v>
      </c>
      <c r="I23" s="464">
        <f>I7+I8+SUM(I19:I22)</f>
        <v>13537202.043499999</v>
      </c>
      <c r="J23" s="620">
        <f>J7+J8+SUM(J19:J22)</f>
        <v>53075704.941500001</v>
      </c>
    </row>
    <row r="24" spans="1:11" ht="13" x14ac:dyDescent="0.3">
      <c r="A24" s="325"/>
      <c r="B24" s="323"/>
      <c r="C24" s="455"/>
      <c r="D24" s="319"/>
      <c r="E24" s="319"/>
      <c r="F24" s="661"/>
      <c r="G24" s="453"/>
      <c r="H24" s="454"/>
      <c r="I24" s="453"/>
      <c r="J24" s="452"/>
    </row>
    <row r="25" spans="1:11" ht="15.5" x14ac:dyDescent="0.35">
      <c r="A25" s="325"/>
      <c r="B25" s="485"/>
      <c r="C25" s="484" t="s">
        <v>180</v>
      </c>
      <c r="D25" s="484"/>
      <c r="E25" s="484"/>
      <c r="F25" s="483"/>
      <c r="G25" s="483"/>
      <c r="H25" s="483"/>
      <c r="I25" s="483"/>
      <c r="J25" s="482"/>
    </row>
    <row r="26" spans="1:11" ht="14.5" x14ac:dyDescent="0.35">
      <c r="A26" s="325"/>
      <c r="B26" s="105">
        <v>250</v>
      </c>
      <c r="C26" s="107" t="s">
        <v>181</v>
      </c>
      <c r="D26" s="107"/>
      <c r="E26" s="108"/>
      <c r="F26" s="474">
        <v>67050</v>
      </c>
      <c r="G26" s="632">
        <v>27179818.172400001</v>
      </c>
      <c r="H26" s="474">
        <v>507000</v>
      </c>
      <c r="I26" s="632">
        <v>2693974.7086</v>
      </c>
      <c r="J26" s="621">
        <f>G26+I26</f>
        <v>29873792.881000001</v>
      </c>
    </row>
    <row r="27" spans="1:11" ht="14.5" x14ac:dyDescent="0.35">
      <c r="A27" s="325"/>
      <c r="B27" s="109">
        <v>251</v>
      </c>
      <c r="C27" s="118" t="s">
        <v>182</v>
      </c>
      <c r="D27" s="118"/>
      <c r="E27" s="119"/>
      <c r="F27" s="479">
        <v>17500</v>
      </c>
      <c r="G27" s="633">
        <v>7015395.9500000002</v>
      </c>
      <c r="H27" s="479">
        <v>90000</v>
      </c>
      <c r="I27" s="633">
        <v>319918.09000000003</v>
      </c>
      <c r="J27" s="662">
        <f>G27+I27</f>
        <v>7335314.04</v>
      </c>
    </row>
    <row r="28" spans="1:11" ht="14.5" x14ac:dyDescent="0.35">
      <c r="A28" s="325"/>
      <c r="B28" s="109">
        <v>253</v>
      </c>
      <c r="C28" s="118" t="s">
        <v>235</v>
      </c>
      <c r="D28" s="118"/>
      <c r="E28" s="119"/>
      <c r="F28" s="479">
        <v>16000</v>
      </c>
      <c r="G28" s="633">
        <v>2734046.9750000001</v>
      </c>
      <c r="H28" s="479">
        <v>401500</v>
      </c>
      <c r="I28" s="633">
        <v>866419.07500000007</v>
      </c>
      <c r="J28" s="662">
        <f t="shared" ref="J28:J33" si="2">G28+I28</f>
        <v>3600466.0500000003</v>
      </c>
    </row>
    <row r="29" spans="1:11" ht="14.5" x14ac:dyDescent="0.35">
      <c r="A29" s="325"/>
      <c r="B29" s="109" t="s">
        <v>153</v>
      </c>
      <c r="C29" s="118" t="s">
        <v>236</v>
      </c>
      <c r="D29" s="118"/>
      <c r="E29" s="119"/>
      <c r="F29" s="479">
        <v>1866.2859999999998</v>
      </c>
      <c r="G29" s="633">
        <v>1654075.6042329725</v>
      </c>
      <c r="H29" s="479">
        <v>0</v>
      </c>
      <c r="I29" s="634">
        <v>0</v>
      </c>
      <c r="J29" s="662">
        <f>G29+I29</f>
        <v>1654075.6042329725</v>
      </c>
    </row>
    <row r="30" spans="1:11" s="867" customFormat="1" ht="14.5" x14ac:dyDescent="0.35">
      <c r="A30" s="866"/>
      <c r="B30" s="801" t="s">
        <v>153</v>
      </c>
      <c r="C30" s="110"/>
      <c r="D30" s="215" t="s">
        <v>237</v>
      </c>
      <c r="E30" s="71"/>
      <c r="F30" s="478">
        <v>1632.0139999999999</v>
      </c>
      <c r="G30" s="635">
        <v>1235329.8986155314</v>
      </c>
      <c r="H30" s="474">
        <v>0</v>
      </c>
      <c r="I30" s="632">
        <v>0</v>
      </c>
      <c r="J30" s="662">
        <f t="shared" si="2"/>
        <v>1235329.8986155314</v>
      </c>
    </row>
    <row r="31" spans="1:11" ht="14.5" x14ac:dyDescent="0.35">
      <c r="A31" s="325"/>
      <c r="B31" s="801" t="s">
        <v>153</v>
      </c>
      <c r="C31" s="118"/>
      <c r="D31" s="215" t="s">
        <v>238</v>
      </c>
      <c r="E31" s="119"/>
      <c r="F31" s="475">
        <v>234.27199999999999</v>
      </c>
      <c r="G31" s="635">
        <v>418745.70561744116</v>
      </c>
      <c r="H31" s="474">
        <v>0</v>
      </c>
      <c r="I31" s="632">
        <v>0</v>
      </c>
      <c r="J31" s="662">
        <f t="shared" si="2"/>
        <v>418745.70561744116</v>
      </c>
    </row>
    <row r="32" spans="1:11" ht="14.5" x14ac:dyDescent="0.35">
      <c r="A32" s="325"/>
      <c r="B32" s="802" t="s">
        <v>183</v>
      </c>
      <c r="C32" s="125" t="s">
        <v>116</v>
      </c>
      <c r="D32" s="126"/>
      <c r="E32" s="119"/>
      <c r="F32" s="440">
        <v>0</v>
      </c>
      <c r="G32" s="127">
        <v>0</v>
      </c>
      <c r="H32" s="470">
        <v>0</v>
      </c>
      <c r="I32" s="127">
        <v>0</v>
      </c>
      <c r="J32" s="673">
        <f t="shared" si="2"/>
        <v>0</v>
      </c>
    </row>
    <row r="33" spans="1:11" ht="14.5" x14ac:dyDescent="0.35">
      <c r="A33" s="325"/>
      <c r="B33" s="803">
        <v>262</v>
      </c>
      <c r="C33" s="128" t="s">
        <v>184</v>
      </c>
      <c r="D33" s="128"/>
      <c r="E33" s="129"/>
      <c r="F33" s="466">
        <v>37990.3704</v>
      </c>
      <c r="G33" s="636">
        <v>15385760.375000002</v>
      </c>
      <c r="H33" s="466">
        <v>576802</v>
      </c>
      <c r="I33" s="636">
        <v>3298198.1725000003</v>
      </c>
      <c r="J33" s="662">
        <f t="shared" si="2"/>
        <v>18683958.547500003</v>
      </c>
    </row>
    <row r="34" spans="1:11" ht="14.5" x14ac:dyDescent="0.35">
      <c r="A34" s="325"/>
      <c r="B34" s="120"/>
      <c r="C34" s="121" t="s">
        <v>185</v>
      </c>
      <c r="D34" s="121"/>
      <c r="E34" s="121"/>
      <c r="F34" s="465">
        <f>SUM(F26:F29)+SUM(F32:F33)</f>
        <v>140406.65639999998</v>
      </c>
      <c r="G34" s="122">
        <f>SUM(G26:G29)+SUM(G32:G33)</f>
        <v>53969097.076632977</v>
      </c>
      <c r="H34" s="465">
        <f>SUM(H26:H33)</f>
        <v>1575302</v>
      </c>
      <c r="I34" s="122">
        <f>SUM(I26:I33)</f>
        <v>7178510.0460999999</v>
      </c>
      <c r="J34" s="124">
        <f>G34+I34</f>
        <v>61147607.122732975</v>
      </c>
    </row>
    <row r="35" spans="1:11" ht="13" x14ac:dyDescent="0.3">
      <c r="A35" s="325"/>
      <c r="B35" s="323"/>
      <c r="C35" s="455"/>
      <c r="D35" s="319"/>
      <c r="E35" s="319"/>
      <c r="F35" s="661"/>
      <c r="G35" s="453"/>
      <c r="H35" s="454"/>
      <c r="I35" s="453"/>
      <c r="J35" s="452"/>
    </row>
    <row r="36" spans="1:11" ht="15.5" x14ac:dyDescent="0.35">
      <c r="A36" s="325"/>
      <c r="B36" s="804"/>
      <c r="C36" s="805" t="s">
        <v>239</v>
      </c>
      <c r="D36" s="805"/>
      <c r="E36" s="805"/>
      <c r="F36" s="460"/>
      <c r="G36" s="460"/>
      <c r="H36" s="460"/>
      <c r="I36" s="460"/>
      <c r="J36" s="459"/>
      <c r="K36" s="410"/>
    </row>
    <row r="37" spans="1:11" ht="14.5" x14ac:dyDescent="0.35">
      <c r="A37" s="325"/>
      <c r="B37" s="806">
        <v>249</v>
      </c>
      <c r="C37" s="807" t="s">
        <v>50</v>
      </c>
      <c r="D37" s="808"/>
      <c r="E37" s="809"/>
      <c r="F37" s="458">
        <v>359.45</v>
      </c>
      <c r="G37" s="637">
        <v>1961259.85</v>
      </c>
      <c r="H37" s="445">
        <v>0</v>
      </c>
      <c r="I37" s="130">
        <v>871983.55</v>
      </c>
      <c r="J37" s="623">
        <f t="shared" ref="J37:J39" si="3">G37+I37</f>
        <v>2833243.4000000004</v>
      </c>
      <c r="K37" s="410"/>
    </row>
    <row r="38" spans="1:11" ht="14.5" x14ac:dyDescent="0.35">
      <c r="A38" s="325"/>
      <c r="B38" s="810">
        <v>249</v>
      </c>
      <c r="C38" s="811" t="s">
        <v>330</v>
      </c>
      <c r="D38" s="131"/>
      <c r="E38" s="131"/>
      <c r="F38" s="456">
        <v>0</v>
      </c>
      <c r="G38" s="638">
        <v>0</v>
      </c>
      <c r="H38" s="434">
        <v>0</v>
      </c>
      <c r="I38" s="132">
        <v>0</v>
      </c>
      <c r="J38" s="639">
        <f t="shared" si="3"/>
        <v>0</v>
      </c>
      <c r="K38" s="410"/>
    </row>
    <row r="39" spans="1:11" ht="14.5" x14ac:dyDescent="0.35">
      <c r="A39" s="325"/>
      <c r="B39" s="120"/>
      <c r="C39" s="121" t="s">
        <v>186</v>
      </c>
      <c r="D39" s="121"/>
      <c r="E39" s="121"/>
      <c r="F39" s="432">
        <f>SUM(F37:F38)</f>
        <v>359.45</v>
      </c>
      <c r="G39" s="133">
        <f>SUM(G37:G38)</f>
        <v>1961259.85</v>
      </c>
      <c r="H39" s="432">
        <f>SUM(H37:H38)</f>
        <v>0</v>
      </c>
      <c r="I39" s="133">
        <f>SUM(I37:I38)</f>
        <v>871983.55</v>
      </c>
      <c r="J39" s="620">
        <f t="shared" si="3"/>
        <v>2833243.4000000004</v>
      </c>
      <c r="K39" s="410"/>
    </row>
    <row r="40" spans="1:11" ht="14.5" x14ac:dyDescent="0.35">
      <c r="A40" s="325"/>
      <c r="B40" s="104"/>
      <c r="C40" s="123"/>
      <c r="D40" s="63"/>
      <c r="E40" s="63"/>
      <c r="F40" s="661"/>
      <c r="G40" s="453"/>
      <c r="H40" s="454"/>
      <c r="I40" s="453"/>
      <c r="J40" s="452"/>
      <c r="K40" s="410"/>
    </row>
    <row r="41" spans="1:11" ht="15.5" x14ac:dyDescent="0.35">
      <c r="A41" s="325"/>
      <c r="B41" s="812"/>
      <c r="C41" s="813" t="s">
        <v>187</v>
      </c>
      <c r="D41" s="813"/>
      <c r="E41" s="813"/>
      <c r="F41" s="449"/>
      <c r="G41" s="449"/>
      <c r="H41" s="449"/>
      <c r="I41" s="449"/>
      <c r="J41" s="448"/>
    </row>
    <row r="42" spans="1:11" ht="15" x14ac:dyDescent="0.4">
      <c r="A42" s="325"/>
      <c r="B42" s="806" t="s">
        <v>145</v>
      </c>
      <c r="C42" s="134" t="s">
        <v>240</v>
      </c>
      <c r="D42" s="134"/>
      <c r="E42" s="134"/>
      <c r="F42" s="446">
        <v>14628.41335072881</v>
      </c>
      <c r="G42" s="637">
        <v>4916640</v>
      </c>
      <c r="H42" s="445">
        <v>0</v>
      </c>
      <c r="I42" s="135">
        <v>0</v>
      </c>
      <c r="J42" s="623">
        <f t="shared" ref="J42:J46" si="4">G42+I42</f>
        <v>4916640</v>
      </c>
    </row>
    <row r="43" spans="1:11" ht="14.5" x14ac:dyDescent="0.35">
      <c r="A43" s="325"/>
      <c r="B43" s="109"/>
      <c r="C43" s="814" t="s">
        <v>212</v>
      </c>
      <c r="D43" s="118"/>
      <c r="E43" s="119"/>
      <c r="F43" s="440">
        <v>0</v>
      </c>
      <c r="G43" s="640">
        <v>0</v>
      </c>
      <c r="H43" s="440">
        <v>0</v>
      </c>
      <c r="I43" s="136">
        <v>1590236</v>
      </c>
      <c r="J43" s="662">
        <f t="shared" si="4"/>
        <v>1590236</v>
      </c>
    </row>
    <row r="44" spans="1:11" ht="14.5" x14ac:dyDescent="0.35">
      <c r="A44" s="325"/>
      <c r="B44" s="109">
        <v>219</v>
      </c>
      <c r="C44" s="814" t="s">
        <v>318</v>
      </c>
      <c r="D44" s="118"/>
      <c r="E44" s="119"/>
      <c r="F44" s="440">
        <v>0</v>
      </c>
      <c r="G44" s="640">
        <v>663641.36250000005</v>
      </c>
      <c r="H44" s="440">
        <v>0</v>
      </c>
      <c r="I44" s="136">
        <v>302632.01250000001</v>
      </c>
      <c r="J44" s="662">
        <f t="shared" si="4"/>
        <v>966273.375</v>
      </c>
    </row>
    <row r="45" spans="1:11" ht="15" x14ac:dyDescent="0.4">
      <c r="A45" s="325"/>
      <c r="B45" s="810" t="s">
        <v>241</v>
      </c>
      <c r="C45" s="137" t="s">
        <v>188</v>
      </c>
      <c r="D45" s="138"/>
      <c r="E45" s="139"/>
      <c r="F45" s="434">
        <v>6000</v>
      </c>
      <c r="G45" s="132">
        <v>0</v>
      </c>
      <c r="H45" s="434">
        <v>0</v>
      </c>
      <c r="I45" s="140">
        <v>0</v>
      </c>
      <c r="J45" s="639">
        <f t="shared" si="4"/>
        <v>0</v>
      </c>
    </row>
    <row r="46" spans="1:11" ht="14.5" x14ac:dyDescent="0.35">
      <c r="A46" s="325"/>
      <c r="B46" s="120"/>
      <c r="C46" s="121" t="s">
        <v>189</v>
      </c>
      <c r="D46" s="121"/>
      <c r="E46" s="121"/>
      <c r="F46" s="432">
        <f>SUM(F42:F45)</f>
        <v>20628.41335072881</v>
      </c>
      <c r="G46" s="141">
        <f>SUM(G42:G45)</f>
        <v>5580281.3624999998</v>
      </c>
      <c r="H46" s="432">
        <f>SUM(H42:H45)</f>
        <v>0</v>
      </c>
      <c r="I46" s="141">
        <f>SUM(I42:I45)</f>
        <v>1892868.0125</v>
      </c>
      <c r="J46" s="620">
        <f t="shared" si="4"/>
        <v>7473149.375</v>
      </c>
    </row>
    <row r="47" spans="1:11" ht="14.5" x14ac:dyDescent="0.35">
      <c r="A47" s="325"/>
      <c r="B47" s="104"/>
      <c r="C47" s="63"/>
      <c r="D47" s="63"/>
      <c r="E47" s="63"/>
      <c r="F47" s="661"/>
      <c r="G47" s="389"/>
      <c r="H47" s="390"/>
      <c r="I47" s="389"/>
      <c r="J47" s="431"/>
    </row>
    <row r="48" spans="1:11" ht="15.5" x14ac:dyDescent="0.35">
      <c r="A48" s="325"/>
      <c r="B48" s="815"/>
      <c r="C48" s="816" t="s">
        <v>190</v>
      </c>
      <c r="D48" s="816"/>
      <c r="E48" s="816"/>
      <c r="F48" s="428"/>
      <c r="G48" s="428"/>
      <c r="H48" s="428"/>
      <c r="I48" s="428"/>
      <c r="J48" s="427"/>
    </row>
    <row r="49" spans="1:11" s="402" customFormat="1" ht="14.5" x14ac:dyDescent="0.35">
      <c r="A49" s="407"/>
      <c r="B49" s="817"/>
      <c r="C49" s="818" t="s">
        <v>197</v>
      </c>
      <c r="D49" s="153"/>
      <c r="E49" s="148"/>
      <c r="F49" s="404"/>
      <c r="G49" s="836">
        <v>1058134.02</v>
      </c>
      <c r="H49" s="146"/>
      <c r="I49" s="836">
        <v>158111.97999999998</v>
      </c>
      <c r="J49" s="617">
        <f t="shared" ref="J49:J61" si="5">G49+I49</f>
        <v>1216246</v>
      </c>
      <c r="K49" s="403"/>
    </row>
    <row r="50" spans="1:11" s="409" customFormat="1" ht="14.5" x14ac:dyDescent="0.35">
      <c r="A50" s="413"/>
      <c r="B50" s="151"/>
      <c r="C50" s="818" t="s">
        <v>195</v>
      </c>
      <c r="D50" s="111"/>
      <c r="E50" s="154"/>
      <c r="F50" s="411"/>
      <c r="G50" s="127">
        <v>1063196.0125</v>
      </c>
      <c r="H50" s="146"/>
      <c r="I50" s="127">
        <v>158299.93</v>
      </c>
      <c r="J50" s="617">
        <f t="shared" si="5"/>
        <v>1221495.9424999999</v>
      </c>
      <c r="K50" s="410"/>
    </row>
    <row r="51" spans="1:11" ht="14.5" x14ac:dyDescent="0.35">
      <c r="A51" s="325"/>
      <c r="B51" s="819"/>
      <c r="C51" s="820" t="s">
        <v>206</v>
      </c>
      <c r="D51" s="110"/>
      <c r="E51" s="164"/>
      <c r="F51" s="373"/>
      <c r="G51" s="836">
        <v>731637.09899999993</v>
      </c>
      <c r="H51" s="837"/>
      <c r="I51" s="836">
        <v>109275.651</v>
      </c>
      <c r="J51" s="617">
        <f t="shared" si="5"/>
        <v>840912.74999999988</v>
      </c>
    </row>
    <row r="52" spans="1:11" s="409" customFormat="1" ht="14.5" x14ac:dyDescent="0.35">
      <c r="A52" s="413"/>
      <c r="B52" s="151"/>
      <c r="C52" s="818" t="s">
        <v>196</v>
      </c>
      <c r="D52" s="111"/>
      <c r="E52" s="154"/>
      <c r="F52" s="411"/>
      <c r="G52" s="127">
        <v>1134297.3</v>
      </c>
      <c r="H52" s="146"/>
      <c r="I52" s="127">
        <v>169612.7</v>
      </c>
      <c r="J52" s="617">
        <f t="shared" si="5"/>
        <v>1303910</v>
      </c>
      <c r="K52" s="410"/>
    </row>
    <row r="53" spans="1:11" s="409" customFormat="1" ht="14.5" x14ac:dyDescent="0.35">
      <c r="A53" s="413"/>
      <c r="B53" s="821"/>
      <c r="C53" s="155" t="s">
        <v>319</v>
      </c>
      <c r="D53" s="155"/>
      <c r="E53" s="216"/>
      <c r="F53" s="377"/>
      <c r="G53" s="127">
        <v>121800</v>
      </c>
      <c r="H53" s="146"/>
      <c r="I53" s="127">
        <v>18200</v>
      </c>
      <c r="J53" s="617">
        <f t="shared" si="5"/>
        <v>140000</v>
      </c>
      <c r="K53" s="410"/>
    </row>
    <row r="54" spans="1:11" s="409" customFormat="1" ht="14.5" x14ac:dyDescent="0.35">
      <c r="A54" s="413"/>
      <c r="B54" s="822"/>
      <c r="C54" s="823" t="s">
        <v>320</v>
      </c>
      <c r="D54" s="156"/>
      <c r="E54" s="112"/>
      <c r="F54" s="417"/>
      <c r="G54" s="838">
        <v>68529.929999999993</v>
      </c>
      <c r="H54" s="157"/>
      <c r="I54" s="838">
        <v>54967.31</v>
      </c>
      <c r="J54" s="617">
        <f t="shared" si="5"/>
        <v>123497.23999999999</v>
      </c>
      <c r="K54" s="410"/>
    </row>
    <row r="55" spans="1:11" s="402" customFormat="1" ht="14.5" x14ac:dyDescent="0.35">
      <c r="A55" s="407"/>
      <c r="B55" s="817"/>
      <c r="C55" s="155" t="s">
        <v>194</v>
      </c>
      <c r="D55" s="824"/>
      <c r="E55" s="148"/>
      <c r="F55" s="404"/>
      <c r="G55" s="127">
        <v>837425.9</v>
      </c>
      <c r="H55" s="127"/>
      <c r="I55" s="127">
        <v>209356.47500000001</v>
      </c>
      <c r="J55" s="617">
        <f t="shared" si="5"/>
        <v>1046782.375</v>
      </c>
      <c r="K55" s="403"/>
    </row>
    <row r="56" spans="1:11" s="393" customFormat="1" ht="14.5" x14ac:dyDescent="0.35">
      <c r="A56" s="398"/>
      <c r="B56" s="825"/>
      <c r="C56" s="155" t="s">
        <v>191</v>
      </c>
      <c r="D56" s="150"/>
      <c r="E56" s="149"/>
      <c r="F56" s="395"/>
      <c r="G56" s="127">
        <v>1573473.0149999999</v>
      </c>
      <c r="H56" s="127"/>
      <c r="I56" s="127">
        <v>225072.48499999999</v>
      </c>
      <c r="J56" s="617">
        <f t="shared" si="5"/>
        <v>1798545.5</v>
      </c>
      <c r="K56" s="394"/>
    </row>
    <row r="57" spans="1:11" s="409" customFormat="1" ht="14.5" x14ac:dyDescent="0.35">
      <c r="A57" s="413"/>
      <c r="B57" s="151"/>
      <c r="C57" s="155" t="s">
        <v>198</v>
      </c>
      <c r="D57" s="155"/>
      <c r="E57" s="155"/>
      <c r="F57" s="411"/>
      <c r="G57" s="127">
        <v>1312047.6675400001</v>
      </c>
      <c r="H57" s="146"/>
      <c r="I57" s="127">
        <v>201030.42373399998</v>
      </c>
      <c r="J57" s="617">
        <f t="shared" si="5"/>
        <v>1513078.091274</v>
      </c>
      <c r="K57" s="410"/>
    </row>
    <row r="58" spans="1:11" s="402" customFormat="1" ht="14.5" x14ac:dyDescent="0.35">
      <c r="A58" s="407"/>
      <c r="B58" s="817"/>
      <c r="C58" s="155" t="s">
        <v>321</v>
      </c>
      <c r="D58" s="826"/>
      <c r="E58" s="152"/>
      <c r="F58" s="404"/>
      <c r="G58" s="127">
        <v>1999415.0899999999</v>
      </c>
      <c r="H58" s="127"/>
      <c r="I58" s="127">
        <v>615743.27500000002</v>
      </c>
      <c r="J58" s="617">
        <f t="shared" si="5"/>
        <v>2615158.3649999998</v>
      </c>
      <c r="K58" s="403"/>
    </row>
    <row r="59" spans="1:11" s="402" customFormat="1" ht="14.5" x14ac:dyDescent="0.35">
      <c r="A59" s="407"/>
      <c r="B59" s="817"/>
      <c r="C59" s="155" t="s">
        <v>193</v>
      </c>
      <c r="D59" s="153"/>
      <c r="E59" s="152"/>
      <c r="F59" s="404"/>
      <c r="G59" s="127">
        <v>1506062.29</v>
      </c>
      <c r="H59" s="127"/>
      <c r="I59" s="127">
        <v>226385.495</v>
      </c>
      <c r="J59" s="617">
        <f t="shared" si="5"/>
        <v>1732447.7850000001</v>
      </c>
      <c r="K59" s="403"/>
    </row>
    <row r="60" spans="1:11" s="393" customFormat="1" ht="14.5" x14ac:dyDescent="0.35">
      <c r="A60" s="398"/>
      <c r="B60" s="825"/>
      <c r="C60" s="818" t="s">
        <v>192</v>
      </c>
      <c r="D60" s="827"/>
      <c r="E60" s="148"/>
      <c r="F60" s="395"/>
      <c r="G60" s="127">
        <v>976835.92500000005</v>
      </c>
      <c r="H60" s="127"/>
      <c r="I60" s="127">
        <v>202192.02499999999</v>
      </c>
      <c r="J60" s="617">
        <f t="shared" si="5"/>
        <v>1179027.95</v>
      </c>
      <c r="K60" s="394"/>
    </row>
    <row r="61" spans="1:11" ht="14.5" x14ac:dyDescent="0.35">
      <c r="A61" s="325"/>
      <c r="B61" s="120"/>
      <c r="C61" s="121" t="s">
        <v>199</v>
      </c>
      <c r="D61" s="121"/>
      <c r="E61" s="121"/>
      <c r="F61" s="361"/>
      <c r="G61" s="133">
        <f>SUM(G49:G60)</f>
        <v>12382854.24904</v>
      </c>
      <c r="H61" s="158"/>
      <c r="I61" s="133">
        <f>SUM(I49:I60)</f>
        <v>2348247.7497339998</v>
      </c>
      <c r="J61" s="674">
        <f t="shared" si="5"/>
        <v>14731101.998774</v>
      </c>
    </row>
    <row r="62" spans="1:11" ht="14.5" x14ac:dyDescent="0.35">
      <c r="A62" s="325"/>
      <c r="B62" s="104"/>
      <c r="C62" s="63"/>
      <c r="D62" s="72"/>
      <c r="E62" s="63"/>
      <c r="F62" s="390"/>
      <c r="G62" s="389"/>
      <c r="H62" s="390"/>
      <c r="I62" s="389"/>
      <c r="J62" s="360"/>
    </row>
    <row r="63" spans="1:11" ht="15.5" x14ac:dyDescent="0.35">
      <c r="A63" s="325"/>
      <c r="B63" s="159"/>
      <c r="C63" s="160" t="s">
        <v>200</v>
      </c>
      <c r="D63" s="160"/>
      <c r="E63" s="160"/>
      <c r="F63" s="386"/>
      <c r="G63" s="386"/>
      <c r="H63" s="386"/>
      <c r="I63" s="386"/>
      <c r="J63" s="385"/>
    </row>
    <row r="64" spans="1:11" ht="14.5" x14ac:dyDescent="0.35">
      <c r="A64" s="325"/>
      <c r="B64" s="105"/>
      <c r="C64" s="161" t="s">
        <v>201</v>
      </c>
      <c r="D64" s="161"/>
      <c r="E64" s="161"/>
      <c r="F64" s="382"/>
      <c r="G64" s="839">
        <v>492006.16499999998</v>
      </c>
      <c r="H64" s="840"/>
      <c r="I64" s="839">
        <v>70376.09</v>
      </c>
      <c r="J64" s="621">
        <f t="shared" ref="J64:J69" si="6">G64+I64</f>
        <v>562382.255</v>
      </c>
    </row>
    <row r="65" spans="1:14" ht="15" x14ac:dyDescent="0.4">
      <c r="A65" s="325"/>
      <c r="B65" s="109"/>
      <c r="C65" s="162" t="s">
        <v>202</v>
      </c>
      <c r="D65" s="162"/>
      <c r="E65" s="162"/>
      <c r="F65" s="379"/>
      <c r="G65" s="127">
        <v>561395.77500000014</v>
      </c>
      <c r="H65" s="146"/>
      <c r="I65" s="839">
        <v>83886.725000000006</v>
      </c>
      <c r="J65" s="621">
        <f t="shared" si="6"/>
        <v>645282.50000000012</v>
      </c>
    </row>
    <row r="66" spans="1:14" ht="15" x14ac:dyDescent="0.4">
      <c r="A66" s="325"/>
      <c r="B66" s="109"/>
      <c r="C66" s="162" t="s">
        <v>203</v>
      </c>
      <c r="D66" s="162"/>
      <c r="E66" s="162"/>
      <c r="F66" s="379"/>
      <c r="G66" s="841">
        <v>224662.36200000002</v>
      </c>
      <c r="H66" s="146"/>
      <c r="I66" s="127">
        <v>33570.237999999998</v>
      </c>
      <c r="J66" s="621">
        <f t="shared" si="6"/>
        <v>258232.60000000003</v>
      </c>
    </row>
    <row r="67" spans="1:14" ht="14.5" x14ac:dyDescent="0.35">
      <c r="A67" s="325"/>
      <c r="B67" s="109"/>
      <c r="C67" s="162" t="s">
        <v>204</v>
      </c>
      <c r="D67" s="162"/>
      <c r="E67" s="162"/>
      <c r="F67" s="373"/>
      <c r="G67" s="836">
        <v>1675751.27</v>
      </c>
      <c r="H67" s="837"/>
      <c r="I67" s="842">
        <v>363901.73</v>
      </c>
      <c r="J67" s="621">
        <f t="shared" si="6"/>
        <v>2039653</v>
      </c>
    </row>
    <row r="68" spans="1:14" ht="14.5" x14ac:dyDescent="0.35">
      <c r="A68" s="325"/>
      <c r="B68" s="819"/>
      <c r="C68" s="820" t="s">
        <v>205</v>
      </c>
      <c r="D68" s="163"/>
      <c r="E68" s="164"/>
      <c r="F68" s="366"/>
      <c r="G68" s="843">
        <v>150000</v>
      </c>
      <c r="H68" s="844"/>
      <c r="I68" s="842">
        <v>0</v>
      </c>
      <c r="J68" s="621">
        <f t="shared" si="6"/>
        <v>150000</v>
      </c>
    </row>
    <row r="69" spans="1:14" ht="14.5" x14ac:dyDescent="0.35">
      <c r="A69" s="325"/>
      <c r="B69" s="120"/>
      <c r="C69" s="121" t="s">
        <v>207</v>
      </c>
      <c r="D69" s="121"/>
      <c r="E69" s="121"/>
      <c r="F69" s="361"/>
      <c r="G69" s="141">
        <f>SUM(G64:G68)</f>
        <v>3103815.5720000002</v>
      </c>
      <c r="H69" s="158"/>
      <c r="I69" s="141">
        <f>SUM(I64:I68)</f>
        <v>551734.78300000005</v>
      </c>
      <c r="J69" s="845">
        <f t="shared" si="6"/>
        <v>3655550.3550000004</v>
      </c>
    </row>
    <row r="70" spans="1:14" ht="14.5" x14ac:dyDescent="0.35">
      <c r="A70" s="325"/>
      <c r="B70" s="103"/>
      <c r="C70" s="131"/>
      <c r="D70" s="131"/>
      <c r="E70" s="131"/>
      <c r="F70" s="322"/>
      <c r="G70" s="132"/>
      <c r="H70" s="144"/>
      <c r="I70" s="132"/>
      <c r="J70" s="217"/>
    </row>
    <row r="71" spans="1:14" ht="14" x14ac:dyDescent="0.3">
      <c r="A71" s="325"/>
      <c r="B71" s="165" t="s">
        <v>242</v>
      </c>
      <c r="C71" s="165"/>
      <c r="D71" s="166"/>
      <c r="E71" s="166"/>
      <c r="F71" s="357">
        <f>F23+F34+F39+F46</f>
        <v>251672.9552907288</v>
      </c>
      <c r="G71" s="168">
        <f>G23+G34+G39+G46+G61+G69</f>
        <v>116535811.00817296</v>
      </c>
      <c r="H71" s="167">
        <f>H23+H34+H39+H46</f>
        <v>4393239.0494999997</v>
      </c>
      <c r="I71" s="168">
        <f>I23+I34+I39+I46+I61+I69</f>
        <v>26380546.184833996</v>
      </c>
      <c r="J71" s="169">
        <f>G71+I71</f>
        <v>142916357.19300696</v>
      </c>
    </row>
    <row r="72" spans="1:14" ht="14.5" x14ac:dyDescent="0.35">
      <c r="A72" s="325"/>
      <c r="B72" s="103"/>
      <c r="C72" s="131"/>
      <c r="D72" s="131"/>
      <c r="E72" s="131"/>
      <c r="F72" s="353"/>
      <c r="G72" s="132"/>
      <c r="H72" s="144"/>
      <c r="I72" s="132"/>
      <c r="J72" s="145"/>
    </row>
    <row r="73" spans="1:14" ht="15.5" x14ac:dyDescent="0.35">
      <c r="A73" s="325"/>
      <c r="B73" s="170"/>
      <c r="C73" s="171" t="s">
        <v>329</v>
      </c>
      <c r="D73" s="172"/>
      <c r="E73" s="172"/>
      <c r="F73" s="348"/>
      <c r="G73" s="173"/>
      <c r="H73" s="173"/>
      <c r="I73" s="173"/>
      <c r="J73" s="174"/>
    </row>
    <row r="74" spans="1:14" ht="14.5" x14ac:dyDescent="0.35">
      <c r="A74" s="325"/>
      <c r="B74" s="806" t="s">
        <v>144</v>
      </c>
      <c r="C74" s="807" t="s">
        <v>115</v>
      </c>
      <c r="D74" s="808"/>
      <c r="E74" s="809"/>
      <c r="F74" s="857"/>
      <c r="G74" s="130">
        <v>4852706.1500000004</v>
      </c>
      <c r="H74" s="846"/>
      <c r="I74" s="847">
        <v>0</v>
      </c>
      <c r="J74" s="623">
        <f t="shared" ref="J74:J77" si="7">G74+I74</f>
        <v>4852706.1500000004</v>
      </c>
    </row>
    <row r="75" spans="1:14" ht="14.5" x14ac:dyDescent="0.35">
      <c r="A75" s="325"/>
      <c r="B75" s="828" t="s">
        <v>322</v>
      </c>
      <c r="C75" s="829" t="s">
        <v>323</v>
      </c>
      <c r="D75" s="830"/>
      <c r="E75" s="831"/>
      <c r="F75" s="849"/>
      <c r="G75" s="848">
        <v>300000</v>
      </c>
      <c r="H75" s="849"/>
      <c r="I75" s="850">
        <v>100000</v>
      </c>
      <c r="J75" s="622">
        <f t="shared" si="7"/>
        <v>400000</v>
      </c>
    </row>
    <row r="76" spans="1:14" ht="14.5" x14ac:dyDescent="0.35">
      <c r="A76" s="325"/>
      <c r="B76" s="828" t="s">
        <v>501</v>
      </c>
      <c r="C76" s="832" t="s">
        <v>502</v>
      </c>
      <c r="D76" s="830"/>
      <c r="E76" s="832"/>
      <c r="F76" s="849"/>
      <c r="G76" s="848">
        <v>1104696.3</v>
      </c>
      <c r="H76" s="849"/>
      <c r="I76" s="850">
        <v>0</v>
      </c>
      <c r="J76" s="622">
        <f t="shared" si="7"/>
        <v>1104696.3</v>
      </c>
    </row>
    <row r="77" spans="1:14" ht="14.5" x14ac:dyDescent="0.35">
      <c r="A77" s="325"/>
      <c r="B77" s="120"/>
      <c r="C77" s="833" t="s">
        <v>328</v>
      </c>
      <c r="D77" s="834"/>
      <c r="E77" s="835"/>
      <c r="F77" s="158"/>
      <c r="G77" s="141">
        <f>SUM(G74:G76)</f>
        <v>6257402.4500000002</v>
      </c>
      <c r="H77" s="158"/>
      <c r="I77" s="141">
        <f>SUM(I74:I75)</f>
        <v>100000</v>
      </c>
      <c r="J77" s="620">
        <f t="shared" si="7"/>
        <v>6357402.4500000002</v>
      </c>
    </row>
    <row r="78" spans="1:14" ht="15" thickBot="1" x14ac:dyDescent="0.4">
      <c r="B78" s="218"/>
      <c r="C78" s="219"/>
      <c r="D78" s="219"/>
      <c r="E78" s="219"/>
      <c r="F78" s="220" t="s">
        <v>13</v>
      </c>
      <c r="G78" s="221"/>
      <c r="H78" s="220"/>
      <c r="I78" s="221"/>
      <c r="J78" s="678"/>
    </row>
    <row r="79" spans="1:14" ht="14.5" x14ac:dyDescent="0.35">
      <c r="B79" s="104"/>
      <c r="C79" s="63"/>
      <c r="D79" s="63"/>
      <c r="E79" s="63"/>
      <c r="F79" s="858"/>
      <c r="G79" s="142"/>
      <c r="H79" s="143"/>
      <c r="I79" s="142"/>
      <c r="J79" s="142"/>
      <c r="M79" s="254" t="s">
        <v>268</v>
      </c>
      <c r="N79" s="253">
        <f>+G80</f>
        <v>122793213.45817296</v>
      </c>
    </row>
    <row r="80" spans="1:14" ht="14.5" x14ac:dyDescent="0.35">
      <c r="B80" s="104"/>
      <c r="C80" s="859" t="s">
        <v>372</v>
      </c>
      <c r="D80" s="860"/>
      <c r="E80" s="861"/>
      <c r="F80" s="862">
        <f>F71</f>
        <v>251672.9552907288</v>
      </c>
      <c r="G80" s="851">
        <f>G71+G77</f>
        <v>122793213.45817296</v>
      </c>
      <c r="H80" s="852">
        <f>H71</f>
        <v>4393239.0494999997</v>
      </c>
      <c r="I80" s="168">
        <f>I23+I34+I39+I46+I48+I61+I69+I77</f>
        <v>26480546.184833996</v>
      </c>
      <c r="J80" s="853">
        <f>G80+I80</f>
        <v>149273759.64300695</v>
      </c>
      <c r="K80" s="319"/>
      <c r="M80" s="254" t="s">
        <v>217</v>
      </c>
      <c r="N80" s="183">
        <f>-G30</f>
        <v>-1235329.8986155314</v>
      </c>
    </row>
    <row r="81" spans="2:14" ht="15" thickBot="1" x14ac:dyDescent="0.4">
      <c r="B81" s="175"/>
      <c r="C81" s="863"/>
      <c r="D81" s="864"/>
      <c r="E81" s="864"/>
      <c r="F81" s="865">
        <f>F80/8760</f>
        <v>28.729789416749863</v>
      </c>
      <c r="G81" s="854"/>
      <c r="H81" s="855"/>
      <c r="I81" s="854"/>
      <c r="J81" s="856"/>
      <c r="K81" s="319"/>
      <c r="M81" s="254" t="s">
        <v>532</v>
      </c>
      <c r="N81" s="255">
        <f>SUM(N79:N80)</f>
        <v>121557883.55955744</v>
      </c>
    </row>
    <row r="82" spans="2:14" ht="15" thickTop="1" x14ac:dyDescent="0.25">
      <c r="B82" s="175"/>
      <c r="C82" s="863"/>
      <c r="D82" s="864"/>
      <c r="E82" s="864"/>
      <c r="F82" s="865"/>
      <c r="G82" s="854"/>
      <c r="H82" s="855"/>
      <c r="I82" s="854"/>
      <c r="J82" s="856"/>
    </row>
    <row r="83" spans="2:14" ht="14.5" x14ac:dyDescent="0.35">
      <c r="D83" s="312" t="s">
        <v>208</v>
      </c>
      <c r="E83" s="311"/>
      <c r="F83" s="310"/>
      <c r="G83" s="309">
        <f>(G39+G61)/G71</f>
        <v>0.12308760693340873</v>
      </c>
      <c r="H83" s="308"/>
      <c r="I83" s="307">
        <f>(I39+I61)/I71</f>
        <v>0.1220684089393604</v>
      </c>
      <c r="J83" s="298"/>
    </row>
    <row r="84" spans="2:14" ht="14.5" x14ac:dyDescent="0.35">
      <c r="E84" s="182" t="s">
        <v>209</v>
      </c>
      <c r="F84" s="176"/>
      <c r="G84" s="177"/>
      <c r="H84" s="176"/>
      <c r="I84" s="304"/>
      <c r="J84" s="298"/>
    </row>
    <row r="85" spans="2:14" ht="14.5" x14ac:dyDescent="0.35">
      <c r="E85" s="182" t="s">
        <v>210</v>
      </c>
      <c r="F85" s="176"/>
      <c r="G85" s="177"/>
      <c r="H85" s="176"/>
      <c r="I85" s="304"/>
      <c r="J85" s="298"/>
    </row>
    <row r="86" spans="2:14" x14ac:dyDescent="0.25">
      <c r="D86" s="306"/>
      <c r="E86" s="306"/>
      <c r="F86" s="305"/>
      <c r="G86" s="304"/>
      <c r="H86" s="298"/>
      <c r="I86" s="304"/>
      <c r="J86" s="298"/>
    </row>
    <row r="87" spans="2:14" ht="26.25" customHeight="1" x14ac:dyDescent="0.25">
      <c r="D87" s="898" t="s">
        <v>213</v>
      </c>
      <c r="E87" s="899"/>
      <c r="F87" s="899"/>
      <c r="G87" s="302">
        <f>(G49+G51+SUM(G67:G68))/(G23+G34)</f>
        <v>3.866554579500308E-2</v>
      </c>
      <c r="H87" s="303"/>
      <c r="I87" s="302">
        <f>(I49+I51+SUM(I67:I68))/(I23+I34)</f>
        <v>3.0473939697053865E-2</v>
      </c>
      <c r="J87" s="298"/>
    </row>
    <row r="88" spans="2:14" ht="21" customHeight="1" x14ac:dyDescent="0.35">
      <c r="D88" s="178" t="s">
        <v>214</v>
      </c>
      <c r="E88" s="179"/>
      <c r="F88" s="179"/>
      <c r="G88" s="693">
        <f>(G49+G51+SUM(G67:G68))</f>
        <v>3615522.389</v>
      </c>
      <c r="H88" s="299"/>
      <c r="I88" s="693">
        <f>(I49+I51+SUM(I67:I68))</f>
        <v>631289.36100000003</v>
      </c>
      <c r="J88" s="298"/>
    </row>
    <row r="89" spans="2:14" ht="27" customHeight="1" x14ac:dyDescent="0.35">
      <c r="E89" s="895" t="s">
        <v>327</v>
      </c>
      <c r="F89" s="895"/>
      <c r="G89" s="895"/>
      <c r="H89" s="895"/>
      <c r="I89" s="895"/>
    </row>
    <row r="90" spans="2:14" ht="18.75" customHeight="1" x14ac:dyDescent="0.35">
      <c r="E90" s="895" t="s">
        <v>326</v>
      </c>
      <c r="F90" s="895"/>
      <c r="G90" s="895"/>
      <c r="H90" s="895"/>
      <c r="I90" s="895"/>
    </row>
    <row r="96" spans="2:14" ht="14.5" x14ac:dyDescent="0.35">
      <c r="B96" s="295"/>
      <c r="G96" s="297"/>
    </row>
  </sheetData>
  <mergeCells count="6">
    <mergeCell ref="E90:I90"/>
    <mergeCell ref="F1:H1"/>
    <mergeCell ref="C3:E3"/>
    <mergeCell ref="D87:F87"/>
    <mergeCell ref="E89:I89"/>
    <mergeCell ref="I1:J2"/>
  </mergeCells>
  <hyperlinks>
    <hyperlink ref="F4" location="'2023 Sector View Elect'!A1" display="MWh Savings"/>
    <hyperlink ref="G4" location="'2023 Sector View Elect'!A1" display="Electric Rider Budget"/>
    <hyperlink ref="H4" location="'2023 Sector View Gas'!A1" display="Therm Savings"/>
    <hyperlink ref="I4" location="'2023 Sector View Gas'!A1" display="Gas Rider Budget"/>
  </hyperlinks>
  <pageMargins left="0.28000000000000003" right="0.3" top="0.75" bottom="0.75" header="0.3" footer="0.3"/>
  <pageSetup paperSize="17" scale="80" orientation="portrait" r:id="rId1"/>
  <headerFooter>
    <oddHeader>&amp;R&amp;G</oddHeader>
    <oddFooter>&amp;R&amp;G</oddFooter>
  </headerFooter>
  <customProperties>
    <customPr name="_pios_id" r:id="rId2"/>
  </customProperties>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2023-03-01T08:00:00+00:00</OpenedDate>
    <SignificantOrder xmlns="dc463f71-b30c-4ab2-9473-d307f9d35888">false</SignificantOrder>
    <Date1 xmlns="dc463f71-b30c-4ab2-9473-d307f9d35888">2023-03-01T08:00:00+00:00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230139</DocketNumber>
    <DelegatedOrder xmlns="dc463f71-b30c-4ab2-9473-d307f9d35888">false</Delegated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9A6E6815EC7E9449A15C32D071127C1" ma:contentTypeVersion="24" ma:contentTypeDescription="" ma:contentTypeScope="" ma:versionID="b52f156bd379ae95359bb06f5ea513e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A99001-0F3E-4119-8925-A420EA2E47F8}">
  <ds:schemaRefs>
    <ds:schemaRef ds:uri="http://schemas.microsoft.com/sharepoint/v3/contenttype/forms"/>
  </ds:schemaRefs>
</ds:datastoreItem>
</file>

<file path=customXml/itemProps2.xml><?xml version="1.0" encoding="utf-8"?>
<ds:datastoreItem xmlns:ds="http://schemas.openxmlformats.org/officeDocument/2006/customXml" ds:itemID="{F6617145-3AC9-4E80-9B37-221049858A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92F9E09B-0D3E-4656-A93D-67A30AE0C69C}"/>
</file>

<file path=customXml/itemProps4.xml><?xml version="1.0" encoding="utf-8"?>
<ds:datastoreItem xmlns:ds="http://schemas.openxmlformats.org/officeDocument/2006/customXml" ds:itemID="{CA190C05-1267-4391-8DFF-AECA0DA6E7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Read First</vt:lpstr>
      <vt:lpstr>CurYr (CY) vs. PriorYr (PY) ==&gt;</vt:lpstr>
      <vt:lpstr>Summary</vt:lpstr>
      <vt:lpstr>PY True-up </vt:lpstr>
      <vt:lpstr>Info to Calc CY ==&gt;</vt:lpstr>
      <vt:lpstr>CY Rev Req ==&gt;</vt:lpstr>
      <vt:lpstr>CY Rev Req Non-449</vt:lpstr>
      <vt:lpstr>CY Rev Remove 449</vt:lpstr>
      <vt:lpstr>2023 Budget </vt:lpstr>
      <vt:lpstr>2022 Budget UE-210822</vt:lpstr>
      <vt:lpstr>CY Conv Fctr </vt:lpstr>
      <vt:lpstr>Calculate CY True-Up ==&gt;</vt:lpstr>
      <vt:lpstr>CY True-Up</vt:lpstr>
      <vt:lpstr>21-22 Load True-Up ==&gt;</vt:lpstr>
      <vt:lpstr>PY Rev Req Non-449 (UE-220137)</vt:lpstr>
      <vt:lpstr>2022 Collections</vt:lpstr>
      <vt:lpstr>AC 1820621</vt:lpstr>
      <vt:lpstr>PY COS</vt:lpstr>
      <vt:lpstr>F2022 Load Forecast</vt:lpstr>
      <vt:lpstr>258 Cons Tbl 20-21</vt:lpstr>
      <vt:lpstr>21-22 Spend Variance ==&gt;</vt:lpstr>
      <vt:lpstr>PY Actual Program Costs</vt:lpstr>
      <vt:lpstr>True-up Est in PY Filing ==&gt;</vt:lpstr>
      <vt:lpstr>PY Est - Actual v Est</vt:lpstr>
      <vt:lpstr>Estimate Used in PY Filing</vt:lpstr>
      <vt:lpstr>Act Sch 120 Collctns Feb-Apr 22</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Popich</dc:creator>
  <cp:lastModifiedBy>Puget Sound Energy</cp:lastModifiedBy>
  <cp:lastPrinted>2018-02-08T22:05:17Z</cp:lastPrinted>
  <dcterms:created xsi:type="dcterms:W3CDTF">2016-02-06T01:29:31Z</dcterms:created>
  <dcterms:modified xsi:type="dcterms:W3CDTF">2023-03-01T19:56:43Z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0x0101006E56B4D1795A2E4DB2F0B01679ED314A0089A6E6815EC7E9449A15C32D071127C1</vt:lpwstr>
  </property>
  <property fmtid="{D5CDD505-2E9C-101B-9397-08002B2CF9AE}" pid="3" name="IsEFSEC">
    <vt:bool>false</vt:bool>
  </property>
  <property fmtid="{D5CDD505-2E9C-101B-9397-08002B2CF9AE}" pid="4" name="_docset_NoMedatataSyncRequired">
    <vt:lpwstr>False</vt:lpwstr>
  </property>
</Properties>
</file>