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lient Data\Arrow Launch\Rate Filing 9-2022\"/>
    </mc:Choice>
  </mc:AlternateContent>
  <xr:revisionPtr revIDLastSave="0" documentId="13_ncr:1_{3BF5BECF-72D8-43DB-8835-30FBAAC6E9EA}" xr6:coauthVersionLast="47" xr6:coauthVersionMax="47" xr10:uidLastSave="{00000000-0000-0000-0000-000000000000}"/>
  <bookViews>
    <workbookView xWindow="-57720" yWindow="-120" windowWidth="29040" windowHeight="15840" tabRatio="914" xr2:uid="{66633F06-0904-45D2-8AC1-2783A01D33CB}"/>
  </bookViews>
  <sheets>
    <sheet name="12-month P&amp;L" sheetId="2" r:id="rId1"/>
    <sheet name="Results of Operations" sheetId="3" r:id="rId2"/>
    <sheet name="Restating Adj" sheetId="4" r:id="rId3"/>
    <sheet name="Pro Forma Adj" sheetId="5" r:id="rId4"/>
    <sheet name="Support" sheetId="6" r:id="rId5"/>
    <sheet name="Reg Depr" sheetId="7" r:id="rId6"/>
    <sheet name="Payroll" sheetId="8" r:id="rId7"/>
    <sheet name="Prof Fees" sheetId="9" r:id="rId8"/>
    <sheet name="Rents" sheetId="10" r:id="rId9"/>
    <sheet name="Moorage" sheetId="11" r:id="rId10"/>
    <sheet name="Price Out" sheetId="12" r:id="rId11"/>
    <sheet name="MEI-Alloc" sheetId="13" r:id="rId12"/>
    <sheet name="Insurance '22-'23" sheetId="19" r:id="rId13"/>
    <sheet name="Insurance '21-'22" sheetId="18" r:id="rId14"/>
    <sheet name="UTC Exp" sheetId="20" r:id="rId15"/>
    <sheet name="B&amp;O Taxes" sheetId="22" r:id="rId16"/>
    <sheet name="Fuel" sheetId="21" r:id="rId17"/>
    <sheet name="Allocators" sheetId="15" r:id="rId18"/>
    <sheet name="Eng Hours" sheetId="16" r:id="rId19"/>
    <sheet name="Crew Hours" sheetId="17" r:id="rId20"/>
  </sheets>
  <externalReferences>
    <externalReference r:id="rId21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2" l="1"/>
  <c r="R33" i="3"/>
  <c r="H10" i="12" l="1"/>
  <c r="H17" i="12"/>
  <c r="E30" i="19"/>
  <c r="L69" i="3"/>
  <c r="K69" i="3"/>
  <c r="E26" i="19"/>
  <c r="F26" i="19"/>
  <c r="D26" i="19"/>
  <c r="E8" i="4" l="1"/>
  <c r="L330" i="7"/>
  <c r="O320" i="7"/>
  <c r="P320" i="7"/>
  <c r="N320" i="7"/>
  <c r="L320" i="7"/>
  <c r="J320" i="7"/>
  <c r="L324" i="7" l="1"/>
  <c r="J325" i="7"/>
  <c r="J278" i="7"/>
  <c r="D13" i="12" l="1"/>
  <c r="L278" i="7"/>
  <c r="D11" i="22"/>
  <c r="E21" i="12" l="1"/>
  <c r="E14" i="12"/>
  <c r="F10" i="12"/>
  <c r="O31" i="3" l="1"/>
  <c r="L31" i="3"/>
  <c r="D94" i="3"/>
  <c r="D66" i="3"/>
  <c r="C36" i="4"/>
  <c r="C34" i="4"/>
  <c r="I94" i="3"/>
  <c r="F94" i="3"/>
  <c r="P191" i="2"/>
  <c r="C94" i="3" s="1"/>
  <c r="P163" i="2"/>
  <c r="C66" i="3" s="1"/>
  <c r="I66" i="3"/>
  <c r="D18" i="18"/>
  <c r="D24" i="18" s="1"/>
  <c r="E24" i="18"/>
  <c r="F24" i="18"/>
  <c r="E94" i="3" l="1"/>
  <c r="G94" i="3" s="1"/>
  <c r="L94" i="3" s="1"/>
  <c r="E6" i="11"/>
  <c r="E24" i="4" s="1"/>
  <c r="E32" i="5"/>
  <c r="C32" i="5"/>
  <c r="E82" i="10"/>
  <c r="E7" i="11"/>
  <c r="O94" i="3" l="1"/>
  <c r="K94" i="3"/>
  <c r="E28" i="4"/>
  <c r="F24" i="13"/>
  <c r="F31" i="13" s="1"/>
  <c r="E30" i="5"/>
  <c r="F40" i="3" s="1"/>
  <c r="C30" i="5"/>
  <c r="F27" i="21"/>
  <c r="F25" i="21"/>
  <c r="E22" i="21"/>
  <c r="F22" i="21"/>
  <c r="D22" i="21"/>
  <c r="C28" i="5"/>
  <c r="D13" i="22"/>
  <c r="E28" i="5" s="1"/>
  <c r="F93" i="3" s="1"/>
  <c r="E26" i="5"/>
  <c r="E24" i="5"/>
  <c r="C26" i="5"/>
  <c r="C24" i="5"/>
  <c r="F26" i="20"/>
  <c r="F27" i="20"/>
  <c r="F27" i="13" l="1"/>
  <c r="F28" i="13"/>
  <c r="F29" i="13"/>
  <c r="F30" i="13"/>
  <c r="F32" i="13" l="1"/>
  <c r="D28" i="20" l="1"/>
  <c r="F28" i="20" s="1"/>
  <c r="E32" i="4"/>
  <c r="E30" i="4"/>
  <c r="C22" i="5" l="1"/>
  <c r="D72" i="3"/>
  <c r="E72" i="3" s="1"/>
  <c r="C32" i="4"/>
  <c r="I73" i="3"/>
  <c r="D42" i="3"/>
  <c r="C30" i="4"/>
  <c r="C20" i="5"/>
  <c r="F28" i="19"/>
  <c r="E28" i="19"/>
  <c r="D28" i="19"/>
  <c r="D18" i="19"/>
  <c r="E18" i="19"/>
  <c r="F16" i="19"/>
  <c r="F12" i="19"/>
  <c r="F8" i="19"/>
  <c r="F18" i="19" s="1"/>
  <c r="F12" i="18"/>
  <c r="F8" i="18"/>
  <c r="E8" i="18" s="1"/>
  <c r="E9" i="18"/>
  <c r="F20" i="19" l="1"/>
  <c r="E20" i="19"/>
  <c r="C23" i="19"/>
  <c r="E22" i="19" s="1"/>
  <c r="E24" i="19" s="1"/>
  <c r="D24" i="19"/>
  <c r="D25" i="19" s="1"/>
  <c r="F22" i="19"/>
  <c r="F24" i="19" s="1"/>
  <c r="F25" i="19" s="1"/>
  <c r="E20" i="5" l="1"/>
  <c r="F78" i="3" s="1"/>
  <c r="E25" i="19"/>
  <c r="L316" i="7"/>
  <c r="O66" i="8" l="1"/>
  <c r="N66" i="8"/>
  <c r="O15" i="8"/>
  <c r="N15" i="8"/>
  <c r="R15" i="8" s="1"/>
  <c r="U15" i="8" s="1"/>
  <c r="L304" i="7" l="1"/>
  <c r="L305" i="7"/>
  <c r="L306" i="7"/>
  <c r="L307" i="7"/>
  <c r="L308" i="7"/>
  <c r="L309" i="7"/>
  <c r="L310" i="7"/>
  <c r="L311" i="7"/>
  <c r="L312" i="7"/>
  <c r="L313" i="7"/>
  <c r="L314" i="7"/>
  <c r="L315" i="7"/>
  <c r="L317" i="7"/>
  <c r="L303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280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91" i="7"/>
  <c r="L87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8" i="7"/>
  <c r="L46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12" i="7"/>
  <c r="Q60" i="8" l="1"/>
  <c r="S60" i="8"/>
  <c r="C18" i="5" l="1"/>
  <c r="C16" i="5"/>
  <c r="C14" i="5"/>
  <c r="C12" i="5"/>
  <c r="C10" i="5"/>
  <c r="C8" i="5"/>
  <c r="E20" i="4"/>
  <c r="C28" i="4"/>
  <c r="C26" i="4"/>
  <c r="C24" i="4"/>
  <c r="C22" i="4"/>
  <c r="C20" i="4"/>
  <c r="C18" i="4"/>
  <c r="C16" i="4"/>
  <c r="C14" i="4"/>
  <c r="C12" i="4"/>
  <c r="C10" i="4"/>
  <c r="C8" i="4"/>
  <c r="F14" i="15"/>
  <c r="D84" i="3"/>
  <c r="E22" i="18"/>
  <c r="F20" i="18"/>
  <c r="F26" i="18" s="1"/>
  <c r="F18" i="18"/>
  <c r="D26" i="18"/>
  <c r="E17" i="18"/>
  <c r="E16" i="18"/>
  <c r="E15" i="18"/>
  <c r="E14" i="18"/>
  <c r="E13" i="18"/>
  <c r="E12" i="18"/>
  <c r="E11" i="18"/>
  <c r="E10" i="18"/>
  <c r="F21" i="17"/>
  <c r="E21" i="17"/>
  <c r="C21" i="17"/>
  <c r="E13" i="17"/>
  <c r="F13" i="17" s="1"/>
  <c r="C13" i="17"/>
  <c r="D23" i="16"/>
  <c r="C23" i="16"/>
  <c r="E22" i="16"/>
  <c r="E21" i="16"/>
  <c r="E20" i="16"/>
  <c r="E19" i="16"/>
  <c r="E18" i="16"/>
  <c r="E17" i="16"/>
  <c r="E16" i="16"/>
  <c r="E15" i="16"/>
  <c r="E14" i="16"/>
  <c r="E13" i="16"/>
  <c r="E12" i="16"/>
  <c r="E23" i="16" s="1"/>
  <c r="F23" i="16" s="1"/>
  <c r="D9" i="16"/>
  <c r="C9" i="16"/>
  <c r="E8" i="16"/>
  <c r="E7" i="16"/>
  <c r="E9" i="16" s="1"/>
  <c r="F10" i="15"/>
  <c r="F8" i="15"/>
  <c r="D63" i="3"/>
  <c r="F9" i="13"/>
  <c r="F13" i="13" s="1"/>
  <c r="D20" i="12"/>
  <c r="D19" i="12"/>
  <c r="D18" i="12"/>
  <c r="F17" i="12"/>
  <c r="D12" i="12"/>
  <c r="D11" i="12"/>
  <c r="F11" i="12" s="1"/>
  <c r="E152" i="11"/>
  <c r="K151" i="11"/>
  <c r="K152" i="11" s="1"/>
  <c r="I150" i="11"/>
  <c r="I152" i="11" s="1"/>
  <c r="E146" i="11"/>
  <c r="I145" i="11"/>
  <c r="J144" i="11"/>
  <c r="G143" i="11"/>
  <c r="F142" i="11"/>
  <c r="F141" i="11"/>
  <c r="F140" i="11"/>
  <c r="F139" i="11"/>
  <c r="H138" i="11"/>
  <c r="K137" i="11"/>
  <c r="K136" i="11"/>
  <c r="I135" i="11"/>
  <c r="J134" i="11"/>
  <c r="G133" i="11"/>
  <c r="F132" i="11"/>
  <c r="F131" i="11"/>
  <c r="F130" i="11"/>
  <c r="F129" i="11"/>
  <c r="H128" i="11"/>
  <c r="H127" i="11"/>
  <c r="K126" i="11"/>
  <c r="I125" i="11"/>
  <c r="J124" i="11"/>
  <c r="G123" i="11"/>
  <c r="F122" i="11"/>
  <c r="F121" i="11"/>
  <c r="F120" i="11"/>
  <c r="F119" i="11"/>
  <c r="H118" i="11"/>
  <c r="H117" i="11"/>
  <c r="K116" i="11"/>
  <c r="K115" i="11"/>
  <c r="K114" i="11"/>
  <c r="I113" i="11"/>
  <c r="J112" i="11"/>
  <c r="G111" i="11"/>
  <c r="F110" i="11"/>
  <c r="F109" i="11"/>
  <c r="F108" i="11"/>
  <c r="F107" i="11"/>
  <c r="H106" i="11"/>
  <c r="H105" i="11"/>
  <c r="K104" i="11"/>
  <c r="K103" i="11"/>
  <c r="I102" i="11"/>
  <c r="J101" i="11"/>
  <c r="G100" i="11"/>
  <c r="G99" i="11"/>
  <c r="F98" i="11"/>
  <c r="F97" i="11"/>
  <c r="F96" i="11"/>
  <c r="F95" i="11"/>
  <c r="H94" i="11"/>
  <c r="H93" i="11"/>
  <c r="K92" i="11"/>
  <c r="K91" i="11"/>
  <c r="I90" i="11"/>
  <c r="J89" i="11"/>
  <c r="G88" i="11"/>
  <c r="G87" i="11"/>
  <c r="G86" i="11"/>
  <c r="F85" i="11"/>
  <c r="F84" i="11"/>
  <c r="F83" i="11"/>
  <c r="F82" i="11"/>
  <c r="H81" i="11"/>
  <c r="H80" i="11"/>
  <c r="K79" i="11"/>
  <c r="K78" i="11"/>
  <c r="K77" i="11"/>
  <c r="I76" i="11"/>
  <c r="J75" i="11"/>
  <c r="G74" i="11"/>
  <c r="G73" i="11"/>
  <c r="F72" i="11"/>
  <c r="F71" i="11"/>
  <c r="F70" i="11"/>
  <c r="F69" i="11"/>
  <c r="H68" i="11"/>
  <c r="H67" i="11"/>
  <c r="K66" i="11"/>
  <c r="K65" i="11"/>
  <c r="I64" i="11"/>
  <c r="J63" i="11"/>
  <c r="F61" i="11"/>
  <c r="F60" i="11"/>
  <c r="F59" i="11"/>
  <c r="F58" i="11"/>
  <c r="H57" i="11"/>
  <c r="H56" i="11"/>
  <c r="K55" i="11"/>
  <c r="K54" i="11"/>
  <c r="I53" i="11"/>
  <c r="J52" i="11"/>
  <c r="G51" i="11"/>
  <c r="G50" i="11"/>
  <c r="F49" i="11"/>
  <c r="F48" i="11"/>
  <c r="F47" i="11"/>
  <c r="F46" i="11"/>
  <c r="H45" i="11"/>
  <c r="H44" i="11"/>
  <c r="K43" i="11"/>
  <c r="K42" i="11"/>
  <c r="I41" i="11"/>
  <c r="J40" i="11"/>
  <c r="F39" i="11"/>
  <c r="F38" i="11"/>
  <c r="F37" i="11"/>
  <c r="F36" i="11"/>
  <c r="H35" i="11"/>
  <c r="H34" i="11"/>
  <c r="K33" i="11"/>
  <c r="K32" i="11"/>
  <c r="I31" i="11"/>
  <c r="J30" i="11"/>
  <c r="F29" i="11"/>
  <c r="F28" i="11"/>
  <c r="F27" i="11"/>
  <c r="F26" i="11"/>
  <c r="H25" i="11"/>
  <c r="H24" i="11"/>
  <c r="K23" i="11"/>
  <c r="K22" i="11"/>
  <c r="I21" i="11"/>
  <c r="J20" i="11"/>
  <c r="G19" i="11"/>
  <c r="F18" i="11"/>
  <c r="F17" i="11"/>
  <c r="F16" i="11"/>
  <c r="F15" i="11"/>
  <c r="H14" i="11"/>
  <c r="H13" i="11"/>
  <c r="K12" i="11"/>
  <c r="K11" i="11"/>
  <c r="E77" i="10"/>
  <c r="J76" i="10"/>
  <c r="G75" i="10"/>
  <c r="I74" i="10"/>
  <c r="F73" i="10"/>
  <c r="K72" i="10"/>
  <c r="H71" i="10"/>
  <c r="J70" i="10"/>
  <c r="K69" i="10"/>
  <c r="G68" i="10"/>
  <c r="F67" i="10"/>
  <c r="I66" i="10"/>
  <c r="K65" i="10"/>
  <c r="H64" i="10"/>
  <c r="J63" i="10"/>
  <c r="H62" i="10"/>
  <c r="F61" i="10"/>
  <c r="I60" i="10"/>
  <c r="G59" i="10"/>
  <c r="K58" i="10"/>
  <c r="I57" i="10"/>
  <c r="F56" i="10"/>
  <c r="H55" i="10"/>
  <c r="G54" i="10"/>
  <c r="J53" i="10"/>
  <c r="J52" i="10"/>
  <c r="G51" i="10"/>
  <c r="F50" i="10"/>
  <c r="I49" i="10"/>
  <c r="H48" i="10"/>
  <c r="I47" i="10"/>
  <c r="G46" i="10"/>
  <c r="H45" i="10"/>
  <c r="F44" i="10"/>
  <c r="J43" i="10"/>
  <c r="K42" i="10"/>
  <c r="K41" i="10"/>
  <c r="F40" i="10"/>
  <c r="H39" i="10"/>
  <c r="G38" i="10"/>
  <c r="I37" i="10"/>
  <c r="J36" i="10"/>
  <c r="I35" i="10"/>
  <c r="G34" i="10"/>
  <c r="H33" i="10"/>
  <c r="F32" i="10"/>
  <c r="J31" i="10"/>
  <c r="I30" i="10"/>
  <c r="G29" i="10"/>
  <c r="H28" i="10"/>
  <c r="F27" i="10"/>
  <c r="J26" i="10"/>
  <c r="I25" i="10"/>
  <c r="G24" i="10"/>
  <c r="H23" i="10"/>
  <c r="F22" i="10"/>
  <c r="J21" i="10"/>
  <c r="J20" i="10"/>
  <c r="I19" i="10"/>
  <c r="G18" i="10"/>
  <c r="H17" i="10"/>
  <c r="F16" i="10"/>
  <c r="J15" i="10"/>
  <c r="I14" i="10"/>
  <c r="G13" i="10"/>
  <c r="H12" i="10"/>
  <c r="F11" i="10"/>
  <c r="J10" i="10"/>
  <c r="F32" i="9"/>
  <c r="G26" i="9"/>
  <c r="G25" i="9"/>
  <c r="G22" i="9"/>
  <c r="G20" i="9"/>
  <c r="G17" i="9"/>
  <c r="G16" i="9"/>
  <c r="G14" i="9"/>
  <c r="G11" i="9"/>
  <c r="G32" i="9" s="1"/>
  <c r="G7" i="9" s="1"/>
  <c r="G10" i="9"/>
  <c r="P89" i="8"/>
  <c r="L89" i="8"/>
  <c r="J89" i="8"/>
  <c r="H89" i="8"/>
  <c r="F89" i="8"/>
  <c r="O88" i="8"/>
  <c r="N88" i="8"/>
  <c r="T89" i="8"/>
  <c r="S89" i="8"/>
  <c r="E12" i="5" s="1"/>
  <c r="F56" i="3" s="1"/>
  <c r="O87" i="8"/>
  <c r="N87" i="8"/>
  <c r="L84" i="8"/>
  <c r="J84" i="8"/>
  <c r="H84" i="8"/>
  <c r="F84" i="8"/>
  <c r="O83" i="8"/>
  <c r="N83" i="8"/>
  <c r="P83" i="8" s="1"/>
  <c r="R83" i="8" s="1"/>
  <c r="O82" i="8"/>
  <c r="N82" i="8"/>
  <c r="P82" i="8" s="1"/>
  <c r="R82" i="8" s="1"/>
  <c r="U82" i="8" s="1"/>
  <c r="O81" i="8"/>
  <c r="N81" i="8"/>
  <c r="P81" i="8" s="1"/>
  <c r="O80" i="8"/>
  <c r="N80" i="8"/>
  <c r="P80" i="8" s="1"/>
  <c r="O79" i="8"/>
  <c r="N79" i="8"/>
  <c r="R79" i="8" s="1"/>
  <c r="O78" i="8"/>
  <c r="N78" i="8"/>
  <c r="O77" i="8"/>
  <c r="N77" i="8"/>
  <c r="R77" i="8" s="1"/>
  <c r="O76" i="8"/>
  <c r="N76" i="8"/>
  <c r="R76" i="8" s="1"/>
  <c r="U76" i="8" s="1"/>
  <c r="O75" i="8"/>
  <c r="N75" i="8"/>
  <c r="R75" i="8" s="1"/>
  <c r="U75" i="8" s="1"/>
  <c r="T84" i="8"/>
  <c r="E16" i="5" s="1"/>
  <c r="Q84" i="8"/>
  <c r="E18" i="4" s="1"/>
  <c r="O74" i="8"/>
  <c r="N74" i="8"/>
  <c r="L69" i="8"/>
  <c r="J69" i="8"/>
  <c r="H69" i="8"/>
  <c r="F69" i="8"/>
  <c r="O68" i="8"/>
  <c r="N68" i="8"/>
  <c r="P68" i="8" s="1"/>
  <c r="P69" i="8" s="1"/>
  <c r="R67" i="8"/>
  <c r="R66" i="8"/>
  <c r="U66" i="8" s="1"/>
  <c r="N65" i="8"/>
  <c r="R65" i="8" s="1"/>
  <c r="K65" i="8"/>
  <c r="O65" i="8" s="1"/>
  <c r="O64" i="8"/>
  <c r="N64" i="8"/>
  <c r="O63" i="8"/>
  <c r="N63" i="8"/>
  <c r="R63" i="8" s="1"/>
  <c r="U63" i="8" s="1"/>
  <c r="O62" i="8"/>
  <c r="N62" i="8"/>
  <c r="P60" i="8"/>
  <c r="L60" i="8"/>
  <c r="J60" i="8"/>
  <c r="H60" i="8"/>
  <c r="F60" i="8"/>
  <c r="O59" i="8"/>
  <c r="N59" i="8"/>
  <c r="R59" i="8" s="1"/>
  <c r="U59" i="8" s="1"/>
  <c r="N58" i="8"/>
  <c r="K58" i="8"/>
  <c r="O58" i="8" s="1"/>
  <c r="N57" i="8"/>
  <c r="K57" i="8"/>
  <c r="O57" i="8" s="1"/>
  <c r="O56" i="8"/>
  <c r="N56" i="8"/>
  <c r="R56" i="8" s="1"/>
  <c r="T60" i="8" s="1"/>
  <c r="N55" i="8"/>
  <c r="R55" i="8" s="1"/>
  <c r="K55" i="8"/>
  <c r="O55" i="8" s="1"/>
  <c r="L53" i="8"/>
  <c r="J53" i="8"/>
  <c r="H53" i="8"/>
  <c r="F53" i="8"/>
  <c r="O52" i="8"/>
  <c r="N52" i="8"/>
  <c r="P52" i="8" s="1"/>
  <c r="R52" i="8" s="1"/>
  <c r="N51" i="8"/>
  <c r="P51" i="8" s="1"/>
  <c r="R51" i="8" s="1"/>
  <c r="K51" i="8"/>
  <c r="O51" i="8" s="1"/>
  <c r="O50" i="8"/>
  <c r="N50" i="8"/>
  <c r="P50" i="8" s="1"/>
  <c r="R49" i="8"/>
  <c r="R48" i="8"/>
  <c r="U48" i="8" s="1"/>
  <c r="N47" i="8"/>
  <c r="R47" i="8" s="1"/>
  <c r="U47" i="8" s="1"/>
  <c r="K47" i="8"/>
  <c r="O47" i="8" s="1"/>
  <c r="N46" i="8"/>
  <c r="R46" i="8" s="1"/>
  <c r="K46" i="8"/>
  <c r="O46" i="8" s="1"/>
  <c r="O45" i="8"/>
  <c r="N45" i="8"/>
  <c r="R45" i="8" s="1"/>
  <c r="U45" i="8" s="1"/>
  <c r="N44" i="8"/>
  <c r="K44" i="8"/>
  <c r="O44" i="8" s="1"/>
  <c r="N43" i="8"/>
  <c r="R43" i="8" s="1"/>
  <c r="K43" i="8"/>
  <c r="O43" i="8" s="1"/>
  <c r="N42" i="8"/>
  <c r="K42" i="8"/>
  <c r="O42" i="8" s="1"/>
  <c r="O41" i="8"/>
  <c r="N41" i="8"/>
  <c r="R41" i="8" s="1"/>
  <c r="U41" i="8" s="1"/>
  <c r="N40" i="8"/>
  <c r="R40" i="8" s="1"/>
  <c r="U40" i="8" s="1"/>
  <c r="K40" i="8"/>
  <c r="O40" i="8" s="1"/>
  <c r="N39" i="8"/>
  <c r="R39" i="8" s="1"/>
  <c r="K39" i="8"/>
  <c r="O39" i="8" s="1"/>
  <c r="N38" i="8"/>
  <c r="R38" i="8" s="1"/>
  <c r="U38" i="8" s="1"/>
  <c r="K38" i="8"/>
  <c r="O38" i="8" s="1"/>
  <c r="N37" i="8"/>
  <c r="R37" i="8" s="1"/>
  <c r="U37" i="8" s="1"/>
  <c r="K37" i="8"/>
  <c r="O37" i="8" s="1"/>
  <c r="N36" i="8"/>
  <c r="R36" i="8" s="1"/>
  <c r="U36" i="8" s="1"/>
  <c r="K36" i="8"/>
  <c r="O36" i="8" s="1"/>
  <c r="O35" i="8"/>
  <c r="N35" i="8"/>
  <c r="R35" i="8" s="1"/>
  <c r="N34" i="8"/>
  <c r="R34" i="8" s="1"/>
  <c r="U34" i="8" s="1"/>
  <c r="M34" i="8"/>
  <c r="K34" i="8"/>
  <c r="T53" i="8"/>
  <c r="N33" i="8"/>
  <c r="K33" i="8"/>
  <c r="O33" i="8" s="1"/>
  <c r="L31" i="8"/>
  <c r="J31" i="8"/>
  <c r="H31" i="8"/>
  <c r="F31" i="8"/>
  <c r="O30" i="8"/>
  <c r="N30" i="8"/>
  <c r="O29" i="8"/>
  <c r="N29" i="8"/>
  <c r="O28" i="8"/>
  <c r="N28" i="8"/>
  <c r="O27" i="8"/>
  <c r="N27" i="8"/>
  <c r="O26" i="8"/>
  <c r="N26" i="8"/>
  <c r="R25" i="8"/>
  <c r="U25" i="8" s="1"/>
  <c r="R24" i="8"/>
  <c r="U24" i="8" s="1"/>
  <c r="R23" i="8"/>
  <c r="O22" i="8"/>
  <c r="N22" i="8"/>
  <c r="R22" i="8" s="1"/>
  <c r="N21" i="8"/>
  <c r="R21" i="8" s="1"/>
  <c r="K21" i="8"/>
  <c r="O21" i="8" s="1"/>
  <c r="N20" i="8"/>
  <c r="K20" i="8"/>
  <c r="O20" i="8" s="1"/>
  <c r="O19" i="8"/>
  <c r="N19" i="8"/>
  <c r="O18" i="8"/>
  <c r="N18" i="8"/>
  <c r="R18" i="8" s="1"/>
  <c r="U18" i="8" s="1"/>
  <c r="O17" i="8"/>
  <c r="N17" i="8"/>
  <c r="R17" i="8" s="1"/>
  <c r="U17" i="8" s="1"/>
  <c r="O16" i="8"/>
  <c r="N16" i="8"/>
  <c r="O14" i="8"/>
  <c r="N14" i="8"/>
  <c r="R14" i="8" s="1"/>
  <c r="N13" i="8"/>
  <c r="R13" i="8" s="1"/>
  <c r="U13" i="8" s="1"/>
  <c r="K13" i="8"/>
  <c r="O13" i="8" s="1"/>
  <c r="N12" i="8"/>
  <c r="R12" i="8" s="1"/>
  <c r="U12" i="8" s="1"/>
  <c r="K12" i="8"/>
  <c r="O12" i="8" s="1"/>
  <c r="O11" i="8"/>
  <c r="N11" i="8"/>
  <c r="O10" i="8"/>
  <c r="N10" i="8"/>
  <c r="R10" i="8" s="1"/>
  <c r="O9" i="8"/>
  <c r="N9" i="8"/>
  <c r="R9" i="8" s="1"/>
  <c r="N8" i="8"/>
  <c r="K8" i="8"/>
  <c r="O8" i="8" s="1"/>
  <c r="N7" i="8"/>
  <c r="R7" i="8" s="1"/>
  <c r="K7" i="8"/>
  <c r="O7" i="8" s="1"/>
  <c r="J318" i="7"/>
  <c r="T317" i="7"/>
  <c r="R317" i="7"/>
  <c r="Q317" i="7"/>
  <c r="N317" i="7" s="1"/>
  <c r="O317" i="7" s="1"/>
  <c r="P317" i="7" s="1"/>
  <c r="K317" i="7"/>
  <c r="I317" i="7"/>
  <c r="S317" i="7" s="1"/>
  <c r="T316" i="7"/>
  <c r="R316" i="7"/>
  <c r="Q316" i="7"/>
  <c r="K316" i="7"/>
  <c r="I316" i="7"/>
  <c r="S316" i="7" s="1"/>
  <c r="T315" i="7"/>
  <c r="R315" i="7"/>
  <c r="Q315" i="7"/>
  <c r="K315" i="7"/>
  <c r="I315" i="7"/>
  <c r="S315" i="7" s="1"/>
  <c r="T314" i="7"/>
  <c r="R314" i="7"/>
  <c r="Q314" i="7"/>
  <c r="K314" i="7"/>
  <c r="I314" i="7"/>
  <c r="S314" i="7" s="1"/>
  <c r="T313" i="7"/>
  <c r="R313" i="7"/>
  <c r="Q313" i="7"/>
  <c r="K313" i="7"/>
  <c r="I313" i="7"/>
  <c r="S313" i="7" s="1"/>
  <c r="T312" i="7"/>
  <c r="S312" i="7"/>
  <c r="R312" i="7"/>
  <c r="N312" i="7" s="1"/>
  <c r="O312" i="7" s="1"/>
  <c r="P312" i="7" s="1"/>
  <c r="Q312" i="7"/>
  <c r="K312" i="7"/>
  <c r="I312" i="7"/>
  <c r="T311" i="7"/>
  <c r="R311" i="7"/>
  <c r="Q311" i="7"/>
  <c r="K311" i="7"/>
  <c r="N311" i="7" s="1"/>
  <c r="O311" i="7" s="1"/>
  <c r="P311" i="7" s="1"/>
  <c r="I311" i="7"/>
  <c r="S311" i="7" s="1"/>
  <c r="T310" i="7"/>
  <c r="R310" i="7"/>
  <c r="Q310" i="7"/>
  <c r="N310" i="7"/>
  <c r="O310" i="7" s="1"/>
  <c r="P310" i="7" s="1"/>
  <c r="K310" i="7"/>
  <c r="I310" i="7"/>
  <c r="S310" i="7" s="1"/>
  <c r="T309" i="7"/>
  <c r="R309" i="7"/>
  <c r="Q309" i="7"/>
  <c r="K309" i="7"/>
  <c r="I309" i="7"/>
  <c r="S309" i="7" s="1"/>
  <c r="T308" i="7"/>
  <c r="S308" i="7"/>
  <c r="R308" i="7"/>
  <c r="Q308" i="7"/>
  <c r="K308" i="7"/>
  <c r="I308" i="7"/>
  <c r="T307" i="7"/>
  <c r="R307" i="7"/>
  <c r="Q307" i="7"/>
  <c r="K307" i="7"/>
  <c r="I307" i="7"/>
  <c r="S307" i="7" s="1"/>
  <c r="T306" i="7"/>
  <c r="R306" i="7"/>
  <c r="Q306" i="7"/>
  <c r="N306" i="7"/>
  <c r="O306" i="7" s="1"/>
  <c r="P306" i="7" s="1"/>
  <c r="K306" i="7"/>
  <c r="I306" i="7"/>
  <c r="S306" i="7" s="1"/>
  <c r="T305" i="7"/>
  <c r="R305" i="7"/>
  <c r="Q305" i="7"/>
  <c r="N305" i="7" s="1"/>
  <c r="O305" i="7" s="1"/>
  <c r="P305" i="7" s="1"/>
  <c r="K305" i="7"/>
  <c r="I305" i="7"/>
  <c r="S305" i="7" s="1"/>
  <c r="T304" i="7"/>
  <c r="R304" i="7"/>
  <c r="Q304" i="7"/>
  <c r="K304" i="7"/>
  <c r="I304" i="7"/>
  <c r="S304" i="7" s="1"/>
  <c r="T303" i="7"/>
  <c r="R303" i="7"/>
  <c r="Q303" i="7"/>
  <c r="K303" i="7"/>
  <c r="I303" i="7"/>
  <c r="S303" i="7" s="1"/>
  <c r="J301" i="7"/>
  <c r="T300" i="7"/>
  <c r="R300" i="7"/>
  <c r="Q300" i="7"/>
  <c r="K300" i="7"/>
  <c r="I300" i="7"/>
  <c r="S300" i="7" s="1"/>
  <c r="T299" i="7"/>
  <c r="R299" i="7"/>
  <c r="Q299" i="7"/>
  <c r="K299" i="7"/>
  <c r="I299" i="7"/>
  <c r="S299" i="7" s="1"/>
  <c r="T298" i="7"/>
  <c r="R298" i="7"/>
  <c r="Q298" i="7"/>
  <c r="K298" i="7"/>
  <c r="I298" i="7"/>
  <c r="S298" i="7" s="1"/>
  <c r="T297" i="7"/>
  <c r="S297" i="7"/>
  <c r="R297" i="7"/>
  <c r="Q297" i="7"/>
  <c r="K297" i="7"/>
  <c r="I297" i="7"/>
  <c r="T296" i="7"/>
  <c r="S296" i="7"/>
  <c r="R296" i="7"/>
  <c r="Q296" i="7"/>
  <c r="K296" i="7"/>
  <c r="I296" i="7"/>
  <c r="T295" i="7"/>
  <c r="R295" i="7"/>
  <c r="Q295" i="7"/>
  <c r="N295" i="7"/>
  <c r="O295" i="7" s="1"/>
  <c r="P295" i="7" s="1"/>
  <c r="K295" i="7"/>
  <c r="I295" i="7"/>
  <c r="S295" i="7" s="1"/>
  <c r="T294" i="7"/>
  <c r="R294" i="7"/>
  <c r="Q294" i="7"/>
  <c r="N294" i="7" s="1"/>
  <c r="O294" i="7" s="1"/>
  <c r="P294" i="7" s="1"/>
  <c r="K294" i="7"/>
  <c r="I294" i="7"/>
  <c r="S294" i="7" s="1"/>
  <c r="T293" i="7"/>
  <c r="R293" i="7"/>
  <c r="Q293" i="7"/>
  <c r="N293" i="7" s="1"/>
  <c r="O293" i="7" s="1"/>
  <c r="P293" i="7" s="1"/>
  <c r="K293" i="7"/>
  <c r="I293" i="7"/>
  <c r="S293" i="7" s="1"/>
  <c r="T292" i="7"/>
  <c r="R292" i="7"/>
  <c r="Q292" i="7"/>
  <c r="K292" i="7"/>
  <c r="I292" i="7"/>
  <c r="S292" i="7" s="1"/>
  <c r="T291" i="7"/>
  <c r="R291" i="7"/>
  <c r="Q291" i="7"/>
  <c r="K291" i="7"/>
  <c r="I291" i="7"/>
  <c r="S291" i="7" s="1"/>
  <c r="T290" i="7"/>
  <c r="R290" i="7"/>
  <c r="Q290" i="7"/>
  <c r="K290" i="7"/>
  <c r="I290" i="7"/>
  <c r="S290" i="7" s="1"/>
  <c r="T289" i="7"/>
  <c r="S289" i="7"/>
  <c r="R289" i="7"/>
  <c r="Q289" i="7"/>
  <c r="K289" i="7"/>
  <c r="I289" i="7"/>
  <c r="T288" i="7"/>
  <c r="S288" i="7"/>
  <c r="R288" i="7"/>
  <c r="Q288" i="7"/>
  <c r="K288" i="7"/>
  <c r="I288" i="7"/>
  <c r="T287" i="7"/>
  <c r="R287" i="7"/>
  <c r="Q287" i="7"/>
  <c r="O287" i="7"/>
  <c r="P287" i="7" s="1"/>
  <c r="N287" i="7"/>
  <c r="K287" i="7"/>
  <c r="I287" i="7"/>
  <c r="S287" i="7" s="1"/>
  <c r="T286" i="7"/>
  <c r="R286" i="7"/>
  <c r="Q286" i="7"/>
  <c r="N286" i="7" s="1"/>
  <c r="O286" i="7" s="1"/>
  <c r="P286" i="7" s="1"/>
  <c r="K286" i="7"/>
  <c r="I286" i="7"/>
  <c r="S286" i="7" s="1"/>
  <c r="T285" i="7"/>
  <c r="R285" i="7"/>
  <c r="Q285" i="7"/>
  <c r="K285" i="7"/>
  <c r="I285" i="7"/>
  <c r="S285" i="7" s="1"/>
  <c r="T284" i="7"/>
  <c r="R284" i="7"/>
  <c r="Q284" i="7"/>
  <c r="K284" i="7"/>
  <c r="I284" i="7"/>
  <c r="S284" i="7" s="1"/>
  <c r="T283" i="7"/>
  <c r="R283" i="7"/>
  <c r="Q283" i="7"/>
  <c r="K283" i="7"/>
  <c r="I283" i="7"/>
  <c r="S283" i="7" s="1"/>
  <c r="T282" i="7"/>
  <c r="R282" i="7"/>
  <c r="Q282" i="7"/>
  <c r="K282" i="7"/>
  <c r="I282" i="7"/>
  <c r="S282" i="7" s="1"/>
  <c r="T281" i="7"/>
  <c r="S281" i="7"/>
  <c r="R281" i="7"/>
  <c r="Q281" i="7"/>
  <c r="K281" i="7"/>
  <c r="I281" i="7"/>
  <c r="T280" i="7"/>
  <c r="S280" i="7"/>
  <c r="R280" i="7"/>
  <c r="Q280" i="7"/>
  <c r="K280" i="7"/>
  <c r="I280" i="7"/>
  <c r="J276" i="7"/>
  <c r="T275" i="7"/>
  <c r="R275" i="7"/>
  <c r="Q275" i="7"/>
  <c r="K275" i="7"/>
  <c r="I275" i="7"/>
  <c r="S275" i="7" s="1"/>
  <c r="T274" i="7"/>
  <c r="S274" i="7"/>
  <c r="R274" i="7"/>
  <c r="Q274" i="7"/>
  <c r="K274" i="7"/>
  <c r="I274" i="7"/>
  <c r="T273" i="7"/>
  <c r="S273" i="7"/>
  <c r="R273" i="7"/>
  <c r="Q273" i="7"/>
  <c r="K273" i="7"/>
  <c r="I273" i="7"/>
  <c r="T272" i="7"/>
  <c r="R272" i="7"/>
  <c r="Q272" i="7"/>
  <c r="N272" i="7"/>
  <c r="O272" i="7" s="1"/>
  <c r="P272" i="7" s="1"/>
  <c r="K272" i="7"/>
  <c r="I272" i="7"/>
  <c r="S272" i="7" s="1"/>
  <c r="T271" i="7"/>
  <c r="R271" i="7"/>
  <c r="Q271" i="7"/>
  <c r="N271" i="7" s="1"/>
  <c r="O271" i="7" s="1"/>
  <c r="P271" i="7" s="1"/>
  <c r="K271" i="7"/>
  <c r="I271" i="7"/>
  <c r="S271" i="7" s="1"/>
  <c r="T270" i="7"/>
  <c r="R270" i="7"/>
  <c r="Q270" i="7"/>
  <c r="K270" i="7"/>
  <c r="I270" i="7"/>
  <c r="S270" i="7" s="1"/>
  <c r="T269" i="7"/>
  <c r="R269" i="7"/>
  <c r="Q269" i="7"/>
  <c r="K269" i="7"/>
  <c r="I269" i="7"/>
  <c r="S269" i="7" s="1"/>
  <c r="T268" i="7"/>
  <c r="R268" i="7"/>
  <c r="Q268" i="7"/>
  <c r="K268" i="7"/>
  <c r="I268" i="7"/>
  <c r="S268" i="7" s="1"/>
  <c r="T267" i="7"/>
  <c r="R267" i="7"/>
  <c r="Q267" i="7"/>
  <c r="K267" i="7"/>
  <c r="I267" i="7"/>
  <c r="S267" i="7" s="1"/>
  <c r="T266" i="7"/>
  <c r="S266" i="7"/>
  <c r="R266" i="7"/>
  <c r="Q266" i="7"/>
  <c r="K266" i="7"/>
  <c r="I266" i="7"/>
  <c r="T265" i="7"/>
  <c r="S265" i="7"/>
  <c r="R265" i="7"/>
  <c r="Q265" i="7"/>
  <c r="K265" i="7"/>
  <c r="I265" i="7"/>
  <c r="T264" i="7"/>
  <c r="R264" i="7"/>
  <c r="Q264" i="7"/>
  <c r="N264" i="7"/>
  <c r="O264" i="7" s="1"/>
  <c r="P264" i="7" s="1"/>
  <c r="K264" i="7"/>
  <c r="I264" i="7"/>
  <c r="S264" i="7" s="1"/>
  <c r="T263" i="7"/>
  <c r="R263" i="7"/>
  <c r="Q263" i="7"/>
  <c r="N263" i="7" s="1"/>
  <c r="O263" i="7"/>
  <c r="P263" i="7" s="1"/>
  <c r="K263" i="7"/>
  <c r="I263" i="7"/>
  <c r="S263" i="7" s="1"/>
  <c r="T262" i="7"/>
  <c r="R262" i="7"/>
  <c r="Q262" i="7"/>
  <c r="K262" i="7"/>
  <c r="I262" i="7"/>
  <c r="S262" i="7" s="1"/>
  <c r="T261" i="7"/>
  <c r="R261" i="7"/>
  <c r="Q261" i="7"/>
  <c r="K261" i="7"/>
  <c r="I261" i="7"/>
  <c r="S261" i="7" s="1"/>
  <c r="T260" i="7"/>
  <c r="R260" i="7"/>
  <c r="Q260" i="7"/>
  <c r="K260" i="7"/>
  <c r="I260" i="7"/>
  <c r="S260" i="7" s="1"/>
  <c r="T259" i="7"/>
  <c r="R259" i="7"/>
  <c r="Q259" i="7"/>
  <c r="K259" i="7"/>
  <c r="I259" i="7"/>
  <c r="S259" i="7" s="1"/>
  <c r="T258" i="7"/>
  <c r="S258" i="7"/>
  <c r="R258" i="7"/>
  <c r="Q258" i="7"/>
  <c r="K258" i="7"/>
  <c r="I258" i="7"/>
  <c r="T257" i="7"/>
  <c r="S257" i="7"/>
  <c r="R257" i="7"/>
  <c r="Q257" i="7"/>
  <c r="K257" i="7"/>
  <c r="I257" i="7"/>
  <c r="T256" i="7"/>
  <c r="R256" i="7"/>
  <c r="Q256" i="7"/>
  <c r="N256" i="7"/>
  <c r="K256" i="7"/>
  <c r="I256" i="7"/>
  <c r="S256" i="7" s="1"/>
  <c r="T255" i="7"/>
  <c r="R255" i="7"/>
  <c r="Q255" i="7"/>
  <c r="N255" i="7" s="1"/>
  <c r="O255" i="7" s="1"/>
  <c r="P255" i="7" s="1"/>
  <c r="K255" i="7"/>
  <c r="I255" i="7"/>
  <c r="S255" i="7" s="1"/>
  <c r="T254" i="7"/>
  <c r="R254" i="7"/>
  <c r="Q254" i="7"/>
  <c r="N254" i="7" s="1"/>
  <c r="O254" i="7" s="1"/>
  <c r="P254" i="7" s="1"/>
  <c r="K254" i="7"/>
  <c r="I254" i="7"/>
  <c r="S254" i="7" s="1"/>
  <c r="T253" i="7"/>
  <c r="R253" i="7"/>
  <c r="Q253" i="7"/>
  <c r="K253" i="7"/>
  <c r="I253" i="7"/>
  <c r="S253" i="7" s="1"/>
  <c r="T252" i="7"/>
  <c r="R252" i="7"/>
  <c r="Q252" i="7"/>
  <c r="K252" i="7"/>
  <c r="I252" i="7"/>
  <c r="S252" i="7" s="1"/>
  <c r="T251" i="7"/>
  <c r="R251" i="7"/>
  <c r="Q251" i="7"/>
  <c r="K251" i="7"/>
  <c r="I251" i="7"/>
  <c r="S251" i="7" s="1"/>
  <c r="T250" i="7"/>
  <c r="S250" i="7"/>
  <c r="R250" i="7"/>
  <c r="Q250" i="7"/>
  <c r="K250" i="7"/>
  <c r="I250" i="7"/>
  <c r="T249" i="7"/>
  <c r="S249" i="7"/>
  <c r="R249" i="7"/>
  <c r="Q249" i="7"/>
  <c r="K249" i="7"/>
  <c r="I249" i="7"/>
  <c r="T248" i="7"/>
  <c r="R248" i="7"/>
  <c r="Q248" i="7"/>
  <c r="N248" i="7"/>
  <c r="K248" i="7"/>
  <c r="I248" i="7"/>
  <c r="S248" i="7" s="1"/>
  <c r="O248" i="7" s="1"/>
  <c r="P248" i="7" s="1"/>
  <c r="T247" i="7"/>
  <c r="R247" i="7"/>
  <c r="Q247" i="7"/>
  <c r="N247" i="7" s="1"/>
  <c r="O247" i="7"/>
  <c r="P247" i="7" s="1"/>
  <c r="K247" i="7"/>
  <c r="I247" i="7"/>
  <c r="S247" i="7" s="1"/>
  <c r="T246" i="7"/>
  <c r="R246" i="7"/>
  <c r="Q246" i="7"/>
  <c r="N246" i="7" s="1"/>
  <c r="O246" i="7" s="1"/>
  <c r="P246" i="7" s="1"/>
  <c r="K246" i="7"/>
  <c r="I246" i="7"/>
  <c r="S246" i="7" s="1"/>
  <c r="T245" i="7"/>
  <c r="S245" i="7"/>
  <c r="R245" i="7"/>
  <c r="Q245" i="7"/>
  <c r="N245" i="7" s="1"/>
  <c r="O245" i="7" s="1"/>
  <c r="P245" i="7" s="1"/>
  <c r="K245" i="7"/>
  <c r="I245" i="7"/>
  <c r="T244" i="7"/>
  <c r="R244" i="7"/>
  <c r="Q244" i="7"/>
  <c r="N244" i="7"/>
  <c r="O244" i="7" s="1"/>
  <c r="P244" i="7" s="1"/>
  <c r="K244" i="7"/>
  <c r="I244" i="7"/>
  <c r="S244" i="7" s="1"/>
  <c r="T243" i="7"/>
  <c r="R243" i="7"/>
  <c r="Q243" i="7"/>
  <c r="K243" i="7"/>
  <c r="I243" i="7"/>
  <c r="S243" i="7" s="1"/>
  <c r="T242" i="7"/>
  <c r="S242" i="7"/>
  <c r="R242" i="7"/>
  <c r="Q242" i="7"/>
  <c r="N242" i="7" s="1"/>
  <c r="O242" i="7"/>
  <c r="P242" i="7" s="1"/>
  <c r="K242" i="7"/>
  <c r="I242" i="7"/>
  <c r="T241" i="7"/>
  <c r="R241" i="7"/>
  <c r="Q241" i="7"/>
  <c r="K241" i="7"/>
  <c r="I241" i="7"/>
  <c r="S241" i="7" s="1"/>
  <c r="T240" i="7"/>
  <c r="S240" i="7"/>
  <c r="R240" i="7"/>
  <c r="Q240" i="7"/>
  <c r="N240" i="7"/>
  <c r="K240" i="7"/>
  <c r="I240" i="7"/>
  <c r="T239" i="7"/>
  <c r="R239" i="7"/>
  <c r="Q239" i="7"/>
  <c r="K239" i="7"/>
  <c r="I239" i="7"/>
  <c r="S239" i="7" s="1"/>
  <c r="T238" i="7"/>
  <c r="R238" i="7"/>
  <c r="Q238" i="7"/>
  <c r="K238" i="7"/>
  <c r="I238" i="7"/>
  <c r="S238" i="7" s="1"/>
  <c r="T237" i="7"/>
  <c r="R237" i="7"/>
  <c r="Q237" i="7"/>
  <c r="K237" i="7"/>
  <c r="I237" i="7"/>
  <c r="S237" i="7" s="1"/>
  <c r="T236" i="7"/>
  <c r="R236" i="7"/>
  <c r="Q236" i="7"/>
  <c r="K236" i="7"/>
  <c r="I236" i="7"/>
  <c r="S236" i="7" s="1"/>
  <c r="N236" i="7" s="1"/>
  <c r="T235" i="7"/>
  <c r="R235" i="7"/>
  <c r="Q235" i="7"/>
  <c r="K235" i="7"/>
  <c r="I235" i="7"/>
  <c r="S235" i="7" s="1"/>
  <c r="T234" i="7"/>
  <c r="R234" i="7"/>
  <c r="Q234" i="7"/>
  <c r="N234" i="7" s="1"/>
  <c r="O234" i="7" s="1"/>
  <c r="P234" i="7" s="1"/>
  <c r="K234" i="7"/>
  <c r="I234" i="7"/>
  <c r="S234" i="7" s="1"/>
  <c r="T233" i="7"/>
  <c r="R233" i="7"/>
  <c r="Q233" i="7"/>
  <c r="N233" i="7"/>
  <c r="O233" i="7" s="1"/>
  <c r="P233" i="7" s="1"/>
  <c r="K233" i="7"/>
  <c r="I233" i="7"/>
  <c r="S233" i="7" s="1"/>
  <c r="T232" i="7"/>
  <c r="R232" i="7"/>
  <c r="Q232" i="7"/>
  <c r="N232" i="7"/>
  <c r="O232" i="7" s="1"/>
  <c r="P232" i="7" s="1"/>
  <c r="K232" i="7"/>
  <c r="I232" i="7"/>
  <c r="S232" i="7" s="1"/>
  <c r="T231" i="7"/>
  <c r="R231" i="7"/>
  <c r="Q231" i="7"/>
  <c r="N231" i="7" s="1"/>
  <c r="O231" i="7" s="1"/>
  <c r="P231" i="7" s="1"/>
  <c r="K231" i="7"/>
  <c r="I231" i="7"/>
  <c r="S231" i="7" s="1"/>
  <c r="T230" i="7"/>
  <c r="R230" i="7"/>
  <c r="Q230" i="7"/>
  <c r="K230" i="7"/>
  <c r="I230" i="7"/>
  <c r="S230" i="7" s="1"/>
  <c r="T229" i="7"/>
  <c r="R229" i="7"/>
  <c r="Q229" i="7"/>
  <c r="N229" i="7" s="1"/>
  <c r="K229" i="7"/>
  <c r="I229" i="7"/>
  <c r="S229" i="7" s="1"/>
  <c r="T228" i="7"/>
  <c r="R228" i="7"/>
  <c r="Q228" i="7"/>
  <c r="N228" i="7"/>
  <c r="K228" i="7"/>
  <c r="I228" i="7"/>
  <c r="S228" i="7" s="1"/>
  <c r="T227" i="7"/>
  <c r="R227" i="7"/>
  <c r="Q227" i="7"/>
  <c r="K227" i="7"/>
  <c r="I227" i="7"/>
  <c r="S227" i="7" s="1"/>
  <c r="T226" i="7"/>
  <c r="S226" i="7"/>
  <c r="R226" i="7"/>
  <c r="Q226" i="7"/>
  <c r="K226" i="7"/>
  <c r="I226" i="7"/>
  <c r="T225" i="7"/>
  <c r="S225" i="7"/>
  <c r="R225" i="7"/>
  <c r="Q225" i="7"/>
  <c r="K225" i="7"/>
  <c r="N225" i="7" s="1"/>
  <c r="O225" i="7" s="1"/>
  <c r="P225" i="7" s="1"/>
  <c r="I225" i="7"/>
  <c r="T224" i="7"/>
  <c r="R224" i="7"/>
  <c r="Q224" i="7"/>
  <c r="P224" i="7"/>
  <c r="N224" i="7"/>
  <c r="O224" i="7" s="1"/>
  <c r="K224" i="7"/>
  <c r="I224" i="7"/>
  <c r="S224" i="7" s="1"/>
  <c r="T223" i="7"/>
  <c r="R223" i="7"/>
  <c r="Q223" i="7"/>
  <c r="N223" i="7" s="1"/>
  <c r="O223" i="7" s="1"/>
  <c r="P223" i="7" s="1"/>
  <c r="K223" i="7"/>
  <c r="I223" i="7"/>
  <c r="S223" i="7" s="1"/>
  <c r="T222" i="7"/>
  <c r="R222" i="7"/>
  <c r="Q222" i="7"/>
  <c r="N222" i="7" s="1"/>
  <c r="K222" i="7"/>
  <c r="I222" i="7"/>
  <c r="S222" i="7" s="1"/>
  <c r="T221" i="7"/>
  <c r="S221" i="7"/>
  <c r="R221" i="7"/>
  <c r="Q221" i="7"/>
  <c r="N221" i="7"/>
  <c r="K221" i="7"/>
  <c r="I221" i="7"/>
  <c r="T220" i="7"/>
  <c r="S220" i="7"/>
  <c r="R220" i="7"/>
  <c r="Q220" i="7"/>
  <c r="K220" i="7"/>
  <c r="I220" i="7"/>
  <c r="T219" i="7"/>
  <c r="R219" i="7"/>
  <c r="Q219" i="7"/>
  <c r="K219" i="7"/>
  <c r="I219" i="7"/>
  <c r="S219" i="7" s="1"/>
  <c r="T218" i="7"/>
  <c r="S218" i="7"/>
  <c r="R218" i="7"/>
  <c r="Q218" i="7"/>
  <c r="K218" i="7"/>
  <c r="I218" i="7"/>
  <c r="T217" i="7"/>
  <c r="R217" i="7"/>
  <c r="Q217" i="7"/>
  <c r="N217" i="7" s="1"/>
  <c r="K217" i="7"/>
  <c r="I217" i="7"/>
  <c r="S217" i="7" s="1"/>
  <c r="T216" i="7"/>
  <c r="R216" i="7"/>
  <c r="Q216" i="7"/>
  <c r="K216" i="7"/>
  <c r="I216" i="7"/>
  <c r="S216" i="7" s="1"/>
  <c r="T215" i="7"/>
  <c r="R215" i="7"/>
  <c r="Q215" i="7"/>
  <c r="K215" i="7"/>
  <c r="I215" i="7"/>
  <c r="S215" i="7" s="1"/>
  <c r="T214" i="7"/>
  <c r="R214" i="7"/>
  <c r="Q214" i="7"/>
  <c r="K214" i="7"/>
  <c r="I214" i="7"/>
  <c r="S214" i="7" s="1"/>
  <c r="T213" i="7"/>
  <c r="S213" i="7"/>
  <c r="R213" i="7"/>
  <c r="Q213" i="7"/>
  <c r="K213" i="7"/>
  <c r="I213" i="7"/>
  <c r="T212" i="7"/>
  <c r="R212" i="7"/>
  <c r="Q212" i="7"/>
  <c r="K212" i="7"/>
  <c r="I212" i="7"/>
  <c r="S212" i="7" s="1"/>
  <c r="N212" i="7" s="1"/>
  <c r="T211" i="7"/>
  <c r="R211" i="7"/>
  <c r="Q211" i="7"/>
  <c r="K211" i="7"/>
  <c r="I211" i="7"/>
  <c r="S211" i="7" s="1"/>
  <c r="T210" i="7"/>
  <c r="S210" i="7"/>
  <c r="R210" i="7"/>
  <c r="Q210" i="7"/>
  <c r="K210" i="7"/>
  <c r="I210" i="7"/>
  <c r="T209" i="7"/>
  <c r="S209" i="7"/>
  <c r="R209" i="7"/>
  <c r="Q209" i="7"/>
  <c r="K209" i="7"/>
  <c r="I209" i="7"/>
  <c r="T208" i="7"/>
  <c r="S208" i="7"/>
  <c r="R208" i="7"/>
  <c r="Q208" i="7"/>
  <c r="K208" i="7"/>
  <c r="I208" i="7"/>
  <c r="T207" i="7"/>
  <c r="R207" i="7"/>
  <c r="Q207" i="7"/>
  <c r="K207" i="7"/>
  <c r="I207" i="7"/>
  <c r="S207" i="7" s="1"/>
  <c r="T206" i="7"/>
  <c r="R206" i="7"/>
  <c r="Q206" i="7"/>
  <c r="K206" i="7"/>
  <c r="I206" i="7"/>
  <c r="S206" i="7" s="1"/>
  <c r="T205" i="7"/>
  <c r="R205" i="7"/>
  <c r="Q205" i="7"/>
  <c r="K205" i="7"/>
  <c r="I205" i="7"/>
  <c r="S205" i="7" s="1"/>
  <c r="T204" i="7"/>
  <c r="R204" i="7"/>
  <c r="Q204" i="7"/>
  <c r="K204" i="7"/>
  <c r="I204" i="7"/>
  <c r="S204" i="7" s="1"/>
  <c r="T203" i="7"/>
  <c r="R203" i="7"/>
  <c r="Q203" i="7"/>
  <c r="K203" i="7"/>
  <c r="I203" i="7"/>
  <c r="S203" i="7" s="1"/>
  <c r="T202" i="7"/>
  <c r="R202" i="7"/>
  <c r="Q202" i="7"/>
  <c r="N202" i="7" s="1"/>
  <c r="O202" i="7" s="1"/>
  <c r="P202" i="7" s="1"/>
  <c r="K202" i="7"/>
  <c r="I202" i="7"/>
  <c r="S202" i="7" s="1"/>
  <c r="T201" i="7"/>
  <c r="R201" i="7"/>
  <c r="Q201" i="7"/>
  <c r="K201" i="7"/>
  <c r="I201" i="7"/>
  <c r="S201" i="7" s="1"/>
  <c r="T200" i="7"/>
  <c r="R200" i="7"/>
  <c r="Q200" i="7"/>
  <c r="N200" i="7"/>
  <c r="O200" i="7" s="1"/>
  <c r="P200" i="7" s="1"/>
  <c r="K200" i="7"/>
  <c r="I200" i="7"/>
  <c r="S200" i="7" s="1"/>
  <c r="T199" i="7"/>
  <c r="S199" i="7"/>
  <c r="R199" i="7"/>
  <c r="Q199" i="7"/>
  <c r="K199" i="7"/>
  <c r="I199" i="7"/>
  <c r="T198" i="7"/>
  <c r="S198" i="7"/>
  <c r="R198" i="7"/>
  <c r="Q198" i="7"/>
  <c r="K198" i="7"/>
  <c r="I198" i="7"/>
  <c r="T197" i="7"/>
  <c r="R197" i="7"/>
  <c r="Q197" i="7"/>
  <c r="K197" i="7"/>
  <c r="I197" i="7"/>
  <c r="S197" i="7" s="1"/>
  <c r="T196" i="7"/>
  <c r="R196" i="7"/>
  <c r="Q196" i="7"/>
  <c r="K196" i="7"/>
  <c r="I196" i="7"/>
  <c r="S196" i="7" s="1"/>
  <c r="T195" i="7"/>
  <c r="R195" i="7"/>
  <c r="Q195" i="7"/>
  <c r="K195" i="7"/>
  <c r="I195" i="7"/>
  <c r="S195" i="7" s="1"/>
  <c r="T194" i="7"/>
  <c r="S194" i="7"/>
  <c r="R194" i="7"/>
  <c r="Q194" i="7"/>
  <c r="K194" i="7"/>
  <c r="I194" i="7"/>
  <c r="T193" i="7"/>
  <c r="R193" i="7"/>
  <c r="Q193" i="7"/>
  <c r="K193" i="7"/>
  <c r="I193" i="7"/>
  <c r="S193" i="7" s="1"/>
  <c r="T192" i="7"/>
  <c r="S192" i="7"/>
  <c r="R192" i="7"/>
  <c r="Q192" i="7"/>
  <c r="N192" i="7" s="1"/>
  <c r="O192" i="7" s="1"/>
  <c r="P192" i="7" s="1"/>
  <c r="K192" i="7"/>
  <c r="I192" i="7"/>
  <c r="T191" i="7"/>
  <c r="R191" i="7"/>
  <c r="Q191" i="7"/>
  <c r="N191" i="7" s="1"/>
  <c r="O191" i="7" s="1"/>
  <c r="P191" i="7" s="1"/>
  <c r="K191" i="7"/>
  <c r="I191" i="7"/>
  <c r="S191" i="7" s="1"/>
  <c r="T190" i="7"/>
  <c r="R190" i="7"/>
  <c r="Q190" i="7"/>
  <c r="N190" i="7"/>
  <c r="O190" i="7" s="1"/>
  <c r="P190" i="7" s="1"/>
  <c r="K190" i="7"/>
  <c r="I190" i="7"/>
  <c r="S190" i="7" s="1"/>
  <c r="T189" i="7"/>
  <c r="R189" i="7"/>
  <c r="Q189" i="7"/>
  <c r="K189" i="7"/>
  <c r="I189" i="7"/>
  <c r="S189" i="7" s="1"/>
  <c r="T188" i="7"/>
  <c r="R188" i="7"/>
  <c r="Q188" i="7"/>
  <c r="K188" i="7"/>
  <c r="I188" i="7"/>
  <c r="S188" i="7" s="1"/>
  <c r="T187" i="7"/>
  <c r="R187" i="7"/>
  <c r="Q187" i="7"/>
  <c r="K187" i="7"/>
  <c r="I187" i="7"/>
  <c r="S187" i="7" s="1"/>
  <c r="T186" i="7"/>
  <c r="R186" i="7"/>
  <c r="Q186" i="7"/>
  <c r="N186" i="7"/>
  <c r="O186" i="7" s="1"/>
  <c r="P186" i="7" s="1"/>
  <c r="K186" i="7"/>
  <c r="I186" i="7"/>
  <c r="S186" i="7" s="1"/>
  <c r="T185" i="7"/>
  <c r="R185" i="7"/>
  <c r="Q185" i="7"/>
  <c r="N185" i="7" s="1"/>
  <c r="O185" i="7" s="1"/>
  <c r="P185" i="7" s="1"/>
  <c r="K185" i="7"/>
  <c r="I185" i="7"/>
  <c r="S185" i="7" s="1"/>
  <c r="T184" i="7"/>
  <c r="R184" i="7"/>
  <c r="Q184" i="7"/>
  <c r="N184" i="7" s="1"/>
  <c r="K184" i="7"/>
  <c r="I184" i="7"/>
  <c r="S184" i="7" s="1"/>
  <c r="T183" i="7"/>
  <c r="S183" i="7"/>
  <c r="R183" i="7"/>
  <c r="Q183" i="7"/>
  <c r="K183" i="7"/>
  <c r="I183" i="7"/>
  <c r="T182" i="7"/>
  <c r="R182" i="7"/>
  <c r="Q182" i="7"/>
  <c r="N182" i="7"/>
  <c r="K182" i="7"/>
  <c r="I182" i="7"/>
  <c r="S182" i="7" s="1"/>
  <c r="T181" i="7"/>
  <c r="S181" i="7"/>
  <c r="R181" i="7"/>
  <c r="Q181" i="7"/>
  <c r="K181" i="7"/>
  <c r="I181" i="7"/>
  <c r="T180" i="7"/>
  <c r="R180" i="7"/>
  <c r="Q180" i="7"/>
  <c r="K180" i="7"/>
  <c r="I180" i="7"/>
  <c r="S180" i="7" s="1"/>
  <c r="T179" i="7"/>
  <c r="R179" i="7"/>
  <c r="Q179" i="7"/>
  <c r="K179" i="7"/>
  <c r="I179" i="7"/>
  <c r="S179" i="7" s="1"/>
  <c r="T178" i="7"/>
  <c r="R178" i="7"/>
  <c r="Q178" i="7"/>
  <c r="N178" i="7" s="1"/>
  <c r="K178" i="7"/>
  <c r="I178" i="7"/>
  <c r="S178" i="7" s="1"/>
  <c r="T177" i="7"/>
  <c r="R177" i="7"/>
  <c r="Q177" i="7"/>
  <c r="K177" i="7"/>
  <c r="I177" i="7"/>
  <c r="S177" i="7" s="1"/>
  <c r="T176" i="7"/>
  <c r="R176" i="7"/>
  <c r="Q176" i="7"/>
  <c r="K176" i="7"/>
  <c r="I176" i="7"/>
  <c r="S176" i="7" s="1"/>
  <c r="T175" i="7"/>
  <c r="R175" i="7"/>
  <c r="Q175" i="7"/>
  <c r="K175" i="7"/>
  <c r="I175" i="7"/>
  <c r="S175" i="7" s="1"/>
  <c r="T174" i="7"/>
  <c r="R174" i="7"/>
  <c r="Q174" i="7"/>
  <c r="K174" i="7"/>
  <c r="I174" i="7"/>
  <c r="S174" i="7" s="1"/>
  <c r="T173" i="7"/>
  <c r="R173" i="7"/>
  <c r="Q173" i="7"/>
  <c r="K173" i="7"/>
  <c r="I173" i="7"/>
  <c r="S173" i="7" s="1"/>
  <c r="T172" i="7"/>
  <c r="R172" i="7"/>
  <c r="Q172" i="7"/>
  <c r="K172" i="7"/>
  <c r="I172" i="7"/>
  <c r="S172" i="7" s="1"/>
  <c r="T171" i="7"/>
  <c r="R171" i="7"/>
  <c r="Q171" i="7"/>
  <c r="K171" i="7"/>
  <c r="I171" i="7"/>
  <c r="S171" i="7" s="1"/>
  <c r="T170" i="7"/>
  <c r="R170" i="7"/>
  <c r="Q170" i="7"/>
  <c r="K170" i="7"/>
  <c r="I170" i="7"/>
  <c r="S170" i="7" s="1"/>
  <c r="N170" i="7" s="1"/>
  <c r="O170" i="7" s="1"/>
  <c r="P170" i="7" s="1"/>
  <c r="T169" i="7"/>
  <c r="S169" i="7"/>
  <c r="R169" i="7"/>
  <c r="Q169" i="7"/>
  <c r="K169" i="7"/>
  <c r="I169" i="7"/>
  <c r="T168" i="7"/>
  <c r="S168" i="7"/>
  <c r="R168" i="7"/>
  <c r="Q168" i="7"/>
  <c r="K168" i="7"/>
  <c r="I168" i="7"/>
  <c r="T167" i="7"/>
  <c r="S167" i="7"/>
  <c r="R167" i="7"/>
  <c r="Q167" i="7"/>
  <c r="K167" i="7"/>
  <c r="I167" i="7"/>
  <c r="T166" i="7"/>
  <c r="R166" i="7"/>
  <c r="Q166" i="7"/>
  <c r="N166" i="7" s="1"/>
  <c r="O166" i="7" s="1"/>
  <c r="P166" i="7" s="1"/>
  <c r="K166" i="7"/>
  <c r="I166" i="7"/>
  <c r="S166" i="7" s="1"/>
  <c r="T165" i="7"/>
  <c r="S165" i="7"/>
  <c r="R165" i="7"/>
  <c r="Q165" i="7"/>
  <c r="K165" i="7"/>
  <c r="I165" i="7"/>
  <c r="T164" i="7"/>
  <c r="S164" i="7"/>
  <c r="R164" i="7"/>
  <c r="Q164" i="7"/>
  <c r="K164" i="7"/>
  <c r="I164" i="7"/>
  <c r="T163" i="7"/>
  <c r="S163" i="7"/>
  <c r="R163" i="7"/>
  <c r="Q163" i="7"/>
  <c r="N163" i="7" s="1"/>
  <c r="O163" i="7" s="1"/>
  <c r="P163" i="7" s="1"/>
  <c r="K163" i="7"/>
  <c r="I163" i="7"/>
  <c r="T162" i="7"/>
  <c r="R162" i="7"/>
  <c r="Q162" i="7"/>
  <c r="N162" i="7" s="1"/>
  <c r="O162" i="7" s="1"/>
  <c r="P162" i="7" s="1"/>
  <c r="K162" i="7"/>
  <c r="I162" i="7"/>
  <c r="S162" i="7" s="1"/>
  <c r="T161" i="7"/>
  <c r="S161" i="7"/>
  <c r="R161" i="7"/>
  <c r="Q161" i="7"/>
  <c r="N161" i="7" s="1"/>
  <c r="O161" i="7" s="1"/>
  <c r="P161" i="7" s="1"/>
  <c r="K161" i="7"/>
  <c r="I161" i="7"/>
  <c r="T160" i="7"/>
  <c r="S160" i="7"/>
  <c r="R160" i="7"/>
  <c r="Q160" i="7"/>
  <c r="K160" i="7"/>
  <c r="I160" i="7"/>
  <c r="T159" i="7"/>
  <c r="R159" i="7"/>
  <c r="Q159" i="7"/>
  <c r="N159" i="7" s="1"/>
  <c r="O159" i="7" s="1"/>
  <c r="P159" i="7" s="1"/>
  <c r="K159" i="7"/>
  <c r="I159" i="7"/>
  <c r="S159" i="7" s="1"/>
  <c r="T158" i="7"/>
  <c r="R158" i="7"/>
  <c r="Q158" i="7"/>
  <c r="N158" i="7"/>
  <c r="O158" i="7" s="1"/>
  <c r="P158" i="7" s="1"/>
  <c r="K158" i="7"/>
  <c r="I158" i="7"/>
  <c r="S158" i="7" s="1"/>
  <c r="T157" i="7"/>
  <c r="R157" i="7"/>
  <c r="Q157" i="7"/>
  <c r="K157" i="7"/>
  <c r="I157" i="7"/>
  <c r="S157" i="7" s="1"/>
  <c r="T156" i="7"/>
  <c r="R156" i="7"/>
  <c r="Q156" i="7"/>
  <c r="K156" i="7"/>
  <c r="I156" i="7"/>
  <c r="S156" i="7" s="1"/>
  <c r="T155" i="7"/>
  <c r="R155" i="7"/>
  <c r="Q155" i="7"/>
  <c r="N155" i="7" s="1"/>
  <c r="K155" i="7"/>
  <c r="I155" i="7"/>
  <c r="S155" i="7" s="1"/>
  <c r="O155" i="7" s="1"/>
  <c r="P155" i="7" s="1"/>
  <c r="T154" i="7"/>
  <c r="R154" i="7"/>
  <c r="Q154" i="7"/>
  <c r="N154" i="7"/>
  <c r="O154" i="7" s="1"/>
  <c r="P154" i="7" s="1"/>
  <c r="K154" i="7"/>
  <c r="I154" i="7"/>
  <c r="S154" i="7" s="1"/>
  <c r="T153" i="7"/>
  <c r="R153" i="7"/>
  <c r="Q153" i="7"/>
  <c r="N153" i="7" s="1"/>
  <c r="O153" i="7"/>
  <c r="P153" i="7" s="1"/>
  <c r="K153" i="7"/>
  <c r="I153" i="7"/>
  <c r="S153" i="7" s="1"/>
  <c r="T152" i="7"/>
  <c r="R152" i="7"/>
  <c r="Q152" i="7"/>
  <c r="K152" i="7"/>
  <c r="I152" i="7"/>
  <c r="S152" i="7" s="1"/>
  <c r="T151" i="7"/>
  <c r="S151" i="7"/>
  <c r="R151" i="7"/>
  <c r="Q151" i="7"/>
  <c r="K151" i="7"/>
  <c r="I151" i="7"/>
  <c r="T150" i="7"/>
  <c r="R150" i="7"/>
  <c r="Q150" i="7"/>
  <c r="N150" i="7"/>
  <c r="K150" i="7"/>
  <c r="I150" i="7"/>
  <c r="S150" i="7" s="1"/>
  <c r="T149" i="7"/>
  <c r="S149" i="7"/>
  <c r="R149" i="7"/>
  <c r="Q149" i="7"/>
  <c r="K149" i="7"/>
  <c r="I149" i="7"/>
  <c r="T148" i="7"/>
  <c r="R148" i="7"/>
  <c r="Q148" i="7"/>
  <c r="K148" i="7"/>
  <c r="I148" i="7"/>
  <c r="S148" i="7" s="1"/>
  <c r="T147" i="7"/>
  <c r="R147" i="7"/>
  <c r="Q147" i="7"/>
  <c r="K147" i="7"/>
  <c r="I147" i="7"/>
  <c r="S147" i="7" s="1"/>
  <c r="T146" i="7"/>
  <c r="R146" i="7"/>
  <c r="Q146" i="7"/>
  <c r="N146" i="7"/>
  <c r="O146" i="7" s="1"/>
  <c r="P146" i="7" s="1"/>
  <c r="K146" i="7"/>
  <c r="I146" i="7"/>
  <c r="S146" i="7" s="1"/>
  <c r="T145" i="7"/>
  <c r="S145" i="7"/>
  <c r="R145" i="7"/>
  <c r="Q145" i="7"/>
  <c r="N145" i="7" s="1"/>
  <c r="O145" i="7" s="1"/>
  <c r="P145" i="7" s="1"/>
  <c r="K145" i="7"/>
  <c r="I145" i="7"/>
  <c r="T144" i="7"/>
  <c r="S144" i="7"/>
  <c r="R144" i="7"/>
  <c r="Q144" i="7"/>
  <c r="K144" i="7"/>
  <c r="I144" i="7"/>
  <c r="T143" i="7"/>
  <c r="S143" i="7"/>
  <c r="R143" i="7"/>
  <c r="Q143" i="7"/>
  <c r="N143" i="7" s="1"/>
  <c r="O143" i="7" s="1"/>
  <c r="P143" i="7" s="1"/>
  <c r="K143" i="7"/>
  <c r="I143" i="7"/>
  <c r="T142" i="7"/>
  <c r="S142" i="7"/>
  <c r="R142" i="7"/>
  <c r="Q142" i="7"/>
  <c r="K142" i="7"/>
  <c r="I142" i="7"/>
  <c r="T141" i="7"/>
  <c r="R141" i="7"/>
  <c r="Q141" i="7"/>
  <c r="K141" i="7"/>
  <c r="I141" i="7"/>
  <c r="S141" i="7" s="1"/>
  <c r="T140" i="7"/>
  <c r="S140" i="7"/>
  <c r="R140" i="7"/>
  <c r="Q140" i="7"/>
  <c r="K140" i="7"/>
  <c r="I140" i="7"/>
  <c r="T139" i="7"/>
  <c r="S139" i="7"/>
  <c r="R139" i="7"/>
  <c r="Q139" i="7"/>
  <c r="K139" i="7"/>
  <c r="I139" i="7"/>
  <c r="T138" i="7"/>
  <c r="R138" i="7"/>
  <c r="Q138" i="7"/>
  <c r="K138" i="7"/>
  <c r="I138" i="7"/>
  <c r="S138" i="7" s="1"/>
  <c r="T137" i="7"/>
  <c r="R137" i="7"/>
  <c r="Q137" i="7"/>
  <c r="K137" i="7"/>
  <c r="I137" i="7"/>
  <c r="S137" i="7" s="1"/>
  <c r="T136" i="7"/>
  <c r="R136" i="7"/>
  <c r="Q136" i="7"/>
  <c r="K136" i="7"/>
  <c r="I136" i="7"/>
  <c r="S136" i="7" s="1"/>
  <c r="T135" i="7"/>
  <c r="R135" i="7"/>
  <c r="Q135" i="7"/>
  <c r="K135" i="7"/>
  <c r="I135" i="7"/>
  <c r="S135" i="7" s="1"/>
  <c r="T134" i="7"/>
  <c r="S134" i="7"/>
  <c r="R134" i="7"/>
  <c r="Q134" i="7"/>
  <c r="N134" i="7"/>
  <c r="K134" i="7"/>
  <c r="I134" i="7"/>
  <c r="T133" i="7"/>
  <c r="R133" i="7"/>
  <c r="Q133" i="7"/>
  <c r="K133" i="7"/>
  <c r="I133" i="7"/>
  <c r="S133" i="7" s="1"/>
  <c r="T132" i="7"/>
  <c r="R132" i="7"/>
  <c r="Q132" i="7"/>
  <c r="K132" i="7"/>
  <c r="I132" i="7"/>
  <c r="S132" i="7" s="1"/>
  <c r="T131" i="7"/>
  <c r="R131" i="7"/>
  <c r="Q131" i="7"/>
  <c r="K131" i="7"/>
  <c r="I131" i="7"/>
  <c r="S131" i="7" s="1"/>
  <c r="T130" i="7"/>
  <c r="R130" i="7"/>
  <c r="Q130" i="7"/>
  <c r="K130" i="7"/>
  <c r="I130" i="7"/>
  <c r="S130" i="7" s="1"/>
  <c r="T129" i="7"/>
  <c r="S129" i="7"/>
  <c r="R129" i="7"/>
  <c r="Q129" i="7"/>
  <c r="N129" i="7" s="1"/>
  <c r="O129" i="7" s="1"/>
  <c r="P129" i="7" s="1"/>
  <c r="K129" i="7"/>
  <c r="I129" i="7"/>
  <c r="T128" i="7"/>
  <c r="S128" i="7"/>
  <c r="R128" i="7"/>
  <c r="Q128" i="7"/>
  <c r="K128" i="7"/>
  <c r="I128" i="7"/>
  <c r="T127" i="7"/>
  <c r="S127" i="7"/>
  <c r="R127" i="7"/>
  <c r="Q127" i="7"/>
  <c r="N127" i="7" s="1"/>
  <c r="O127" i="7" s="1"/>
  <c r="P127" i="7" s="1"/>
  <c r="K127" i="7"/>
  <c r="I127" i="7"/>
  <c r="T126" i="7"/>
  <c r="S126" i="7"/>
  <c r="R126" i="7"/>
  <c r="Q126" i="7"/>
  <c r="N126" i="7" s="1"/>
  <c r="O126" i="7" s="1"/>
  <c r="P126" i="7" s="1"/>
  <c r="K126" i="7"/>
  <c r="I126" i="7"/>
  <c r="T125" i="7"/>
  <c r="R125" i="7"/>
  <c r="Q125" i="7"/>
  <c r="K125" i="7"/>
  <c r="I125" i="7"/>
  <c r="S125" i="7" s="1"/>
  <c r="T124" i="7"/>
  <c r="S124" i="7"/>
  <c r="R124" i="7"/>
  <c r="Q124" i="7"/>
  <c r="K124" i="7"/>
  <c r="I124" i="7"/>
  <c r="T123" i="7"/>
  <c r="S123" i="7"/>
  <c r="R123" i="7"/>
  <c r="Q123" i="7"/>
  <c r="K123" i="7"/>
  <c r="I123" i="7"/>
  <c r="T122" i="7"/>
  <c r="R122" i="7"/>
  <c r="Q122" i="7"/>
  <c r="K122" i="7"/>
  <c r="I122" i="7"/>
  <c r="S122" i="7" s="1"/>
  <c r="T121" i="7"/>
  <c r="R121" i="7"/>
  <c r="Q121" i="7"/>
  <c r="K121" i="7"/>
  <c r="I121" i="7"/>
  <c r="S121" i="7" s="1"/>
  <c r="T120" i="7"/>
  <c r="R120" i="7"/>
  <c r="Q120" i="7"/>
  <c r="K120" i="7"/>
  <c r="I120" i="7"/>
  <c r="S120" i="7" s="1"/>
  <c r="T119" i="7"/>
  <c r="R119" i="7"/>
  <c r="Q119" i="7"/>
  <c r="K119" i="7"/>
  <c r="I119" i="7"/>
  <c r="S119" i="7" s="1"/>
  <c r="T118" i="7"/>
  <c r="R118" i="7"/>
  <c r="Q118" i="7"/>
  <c r="N118" i="7"/>
  <c r="O118" i="7" s="1"/>
  <c r="P118" i="7" s="1"/>
  <c r="K118" i="7"/>
  <c r="I118" i="7"/>
  <c r="S118" i="7" s="1"/>
  <c r="T117" i="7"/>
  <c r="R117" i="7"/>
  <c r="Q117" i="7"/>
  <c r="N117" i="7" s="1"/>
  <c r="O117" i="7"/>
  <c r="P117" i="7" s="1"/>
  <c r="K117" i="7"/>
  <c r="I117" i="7"/>
  <c r="S117" i="7" s="1"/>
  <c r="T116" i="7"/>
  <c r="R116" i="7"/>
  <c r="Q116" i="7"/>
  <c r="K116" i="7"/>
  <c r="I116" i="7"/>
  <c r="S116" i="7" s="1"/>
  <c r="T115" i="7"/>
  <c r="R115" i="7"/>
  <c r="Q115" i="7"/>
  <c r="K115" i="7"/>
  <c r="I115" i="7"/>
  <c r="S115" i="7" s="1"/>
  <c r="T114" i="7"/>
  <c r="R114" i="7"/>
  <c r="Q114" i="7"/>
  <c r="K114" i="7"/>
  <c r="I114" i="7"/>
  <c r="S114" i="7" s="1"/>
  <c r="N114" i="7" s="1"/>
  <c r="T113" i="7"/>
  <c r="R113" i="7"/>
  <c r="Q113" i="7"/>
  <c r="K113" i="7"/>
  <c r="I113" i="7"/>
  <c r="S113" i="7" s="1"/>
  <c r="T112" i="7"/>
  <c r="S112" i="7"/>
  <c r="R112" i="7"/>
  <c r="Q112" i="7"/>
  <c r="K112" i="7"/>
  <c r="I112" i="7"/>
  <c r="T111" i="7"/>
  <c r="S111" i="7"/>
  <c r="R111" i="7"/>
  <c r="Q111" i="7"/>
  <c r="N111" i="7" s="1"/>
  <c r="K111" i="7"/>
  <c r="I111" i="7"/>
  <c r="T110" i="7"/>
  <c r="R110" i="7"/>
  <c r="Q110" i="7"/>
  <c r="N110" i="7"/>
  <c r="O110" i="7" s="1"/>
  <c r="P110" i="7" s="1"/>
  <c r="K110" i="7"/>
  <c r="I110" i="7"/>
  <c r="S110" i="7" s="1"/>
  <c r="T109" i="7"/>
  <c r="R109" i="7"/>
  <c r="Q109" i="7"/>
  <c r="N109" i="7" s="1"/>
  <c r="O109" i="7" s="1"/>
  <c r="P109" i="7" s="1"/>
  <c r="K109" i="7"/>
  <c r="I109" i="7"/>
  <c r="S109" i="7" s="1"/>
  <c r="T108" i="7"/>
  <c r="R108" i="7"/>
  <c r="Q108" i="7"/>
  <c r="K108" i="7"/>
  <c r="I108" i="7"/>
  <c r="S108" i="7" s="1"/>
  <c r="T107" i="7"/>
  <c r="R107" i="7"/>
  <c r="Q107" i="7"/>
  <c r="K107" i="7"/>
  <c r="I107" i="7"/>
  <c r="S107" i="7" s="1"/>
  <c r="T106" i="7"/>
  <c r="R106" i="7"/>
  <c r="Q106" i="7"/>
  <c r="N106" i="7"/>
  <c r="K106" i="7"/>
  <c r="I106" i="7"/>
  <c r="S106" i="7" s="1"/>
  <c r="T105" i="7"/>
  <c r="R105" i="7"/>
  <c r="Q105" i="7"/>
  <c r="K105" i="7"/>
  <c r="I105" i="7"/>
  <c r="S105" i="7" s="1"/>
  <c r="T104" i="7"/>
  <c r="S104" i="7"/>
  <c r="R104" i="7"/>
  <c r="Q104" i="7"/>
  <c r="K104" i="7"/>
  <c r="I104" i="7"/>
  <c r="T103" i="7"/>
  <c r="S103" i="7"/>
  <c r="R103" i="7"/>
  <c r="Q103" i="7"/>
  <c r="N103" i="7" s="1"/>
  <c r="K103" i="7"/>
  <c r="I103" i="7"/>
  <c r="T102" i="7"/>
  <c r="R102" i="7"/>
  <c r="Q102" i="7"/>
  <c r="N102" i="7"/>
  <c r="O102" i="7" s="1"/>
  <c r="P102" i="7" s="1"/>
  <c r="K102" i="7"/>
  <c r="I102" i="7"/>
  <c r="S102" i="7" s="1"/>
  <c r="T101" i="7"/>
  <c r="R101" i="7"/>
  <c r="Q101" i="7"/>
  <c r="N101" i="7" s="1"/>
  <c r="O101" i="7" s="1"/>
  <c r="P101" i="7" s="1"/>
  <c r="K101" i="7"/>
  <c r="I101" i="7"/>
  <c r="S101" i="7" s="1"/>
  <c r="T100" i="7"/>
  <c r="R100" i="7"/>
  <c r="Q100" i="7"/>
  <c r="K100" i="7"/>
  <c r="I100" i="7"/>
  <c r="S100" i="7" s="1"/>
  <c r="T99" i="7"/>
  <c r="R99" i="7"/>
  <c r="Q99" i="7"/>
  <c r="K99" i="7"/>
  <c r="I99" i="7"/>
  <c r="S99" i="7" s="1"/>
  <c r="T98" i="7"/>
  <c r="R98" i="7"/>
  <c r="Q98" i="7"/>
  <c r="N98" i="7"/>
  <c r="O98" i="7" s="1"/>
  <c r="P98" i="7" s="1"/>
  <c r="K98" i="7"/>
  <c r="I98" i="7"/>
  <c r="S98" i="7" s="1"/>
  <c r="T97" i="7"/>
  <c r="R97" i="7"/>
  <c r="Q97" i="7"/>
  <c r="K97" i="7"/>
  <c r="I97" i="7"/>
  <c r="S97" i="7" s="1"/>
  <c r="T96" i="7"/>
  <c r="S96" i="7"/>
  <c r="R96" i="7"/>
  <c r="Q96" i="7"/>
  <c r="K96" i="7"/>
  <c r="I96" i="7"/>
  <c r="T95" i="7"/>
  <c r="S95" i="7"/>
  <c r="R95" i="7"/>
  <c r="Q95" i="7"/>
  <c r="N95" i="7" s="1"/>
  <c r="K95" i="7"/>
  <c r="I95" i="7"/>
  <c r="T94" i="7"/>
  <c r="R94" i="7"/>
  <c r="Q94" i="7"/>
  <c r="N94" i="7"/>
  <c r="O94" i="7" s="1"/>
  <c r="P94" i="7" s="1"/>
  <c r="K94" i="7"/>
  <c r="I94" i="7"/>
  <c r="S94" i="7" s="1"/>
  <c r="T93" i="7"/>
  <c r="R93" i="7"/>
  <c r="Q93" i="7"/>
  <c r="N93" i="7" s="1"/>
  <c r="O93" i="7"/>
  <c r="P93" i="7" s="1"/>
  <c r="K93" i="7"/>
  <c r="I93" i="7"/>
  <c r="S93" i="7" s="1"/>
  <c r="T92" i="7"/>
  <c r="R92" i="7"/>
  <c r="Q92" i="7"/>
  <c r="K92" i="7"/>
  <c r="I92" i="7"/>
  <c r="S92" i="7" s="1"/>
  <c r="T91" i="7"/>
  <c r="R91" i="7"/>
  <c r="Q91" i="7"/>
  <c r="K91" i="7"/>
  <c r="I91" i="7"/>
  <c r="S91" i="7" s="1"/>
  <c r="J89" i="7"/>
  <c r="T88" i="7"/>
  <c r="R88" i="7"/>
  <c r="Q88" i="7"/>
  <c r="K88" i="7"/>
  <c r="I88" i="7"/>
  <c r="S88" i="7" s="1"/>
  <c r="T87" i="7"/>
  <c r="R87" i="7"/>
  <c r="Q87" i="7"/>
  <c r="K87" i="7"/>
  <c r="I87" i="7"/>
  <c r="S87" i="7" s="1"/>
  <c r="N87" i="7" s="1"/>
  <c r="T86" i="7"/>
  <c r="R86" i="7"/>
  <c r="Q86" i="7"/>
  <c r="K86" i="7"/>
  <c r="I86" i="7"/>
  <c r="S86" i="7" s="1"/>
  <c r="T85" i="7"/>
  <c r="R85" i="7"/>
  <c r="Q85" i="7"/>
  <c r="N85" i="7" s="1"/>
  <c r="O85" i="7" s="1"/>
  <c r="P85" i="7" s="1"/>
  <c r="K85" i="7"/>
  <c r="I85" i="7"/>
  <c r="S85" i="7" s="1"/>
  <c r="T84" i="7"/>
  <c r="S84" i="7"/>
  <c r="R84" i="7"/>
  <c r="Q84" i="7"/>
  <c r="N84" i="7" s="1"/>
  <c r="O84" i="7" s="1"/>
  <c r="P84" i="7" s="1"/>
  <c r="K84" i="7"/>
  <c r="I84" i="7"/>
  <c r="T83" i="7"/>
  <c r="N83" i="7" s="1"/>
  <c r="O83" i="7" s="1"/>
  <c r="P83" i="7" s="1"/>
  <c r="R83" i="7"/>
  <c r="Q83" i="7"/>
  <c r="K83" i="7"/>
  <c r="I83" i="7"/>
  <c r="S83" i="7" s="1"/>
  <c r="T82" i="7"/>
  <c r="R82" i="7"/>
  <c r="Q82" i="7"/>
  <c r="K82" i="7"/>
  <c r="N82" i="7" s="1"/>
  <c r="O82" i="7" s="1"/>
  <c r="P82" i="7" s="1"/>
  <c r="I82" i="7"/>
  <c r="S82" i="7" s="1"/>
  <c r="T81" i="7"/>
  <c r="R81" i="7"/>
  <c r="N81" i="7" s="1"/>
  <c r="O81" i="7" s="1"/>
  <c r="P81" i="7" s="1"/>
  <c r="Q81" i="7"/>
  <c r="K81" i="7"/>
  <c r="I81" i="7"/>
  <c r="S81" i="7" s="1"/>
  <c r="T80" i="7"/>
  <c r="R80" i="7"/>
  <c r="Q80" i="7"/>
  <c r="K80" i="7"/>
  <c r="I80" i="7"/>
  <c r="S80" i="7" s="1"/>
  <c r="T79" i="7"/>
  <c r="N79" i="7" s="1"/>
  <c r="O79" i="7" s="1"/>
  <c r="P79" i="7" s="1"/>
  <c r="R79" i="7"/>
  <c r="Q79" i="7"/>
  <c r="K79" i="7"/>
  <c r="I79" i="7"/>
  <c r="S79" i="7" s="1"/>
  <c r="T78" i="7"/>
  <c r="R78" i="7"/>
  <c r="Q78" i="7"/>
  <c r="K78" i="7"/>
  <c r="I78" i="7"/>
  <c r="S78" i="7" s="1"/>
  <c r="T77" i="7"/>
  <c r="R77" i="7"/>
  <c r="N77" i="7" s="1"/>
  <c r="O77" i="7" s="1"/>
  <c r="P77" i="7" s="1"/>
  <c r="Q77" i="7"/>
  <c r="K77" i="7"/>
  <c r="I77" i="7"/>
  <c r="S77" i="7" s="1"/>
  <c r="T76" i="7"/>
  <c r="S76" i="7"/>
  <c r="R76" i="7"/>
  <c r="N76" i="7" s="1"/>
  <c r="O76" i="7" s="1"/>
  <c r="P76" i="7" s="1"/>
  <c r="Q76" i="7"/>
  <c r="K76" i="7"/>
  <c r="I76" i="7"/>
  <c r="T75" i="7"/>
  <c r="R75" i="7"/>
  <c r="Q75" i="7"/>
  <c r="N75" i="7"/>
  <c r="K75" i="7"/>
  <c r="I75" i="7"/>
  <c r="S75" i="7" s="1"/>
  <c r="T74" i="7"/>
  <c r="S74" i="7"/>
  <c r="R74" i="7"/>
  <c r="Q74" i="7"/>
  <c r="K74" i="7"/>
  <c r="I74" i="7"/>
  <c r="T73" i="7"/>
  <c r="R73" i="7"/>
  <c r="Q73" i="7"/>
  <c r="N73" i="7" s="1"/>
  <c r="O73" i="7" s="1"/>
  <c r="P73" i="7" s="1"/>
  <c r="K73" i="7"/>
  <c r="I73" i="7"/>
  <c r="S73" i="7" s="1"/>
  <c r="T72" i="7"/>
  <c r="S72" i="7"/>
  <c r="R72" i="7"/>
  <c r="N72" i="7" s="1"/>
  <c r="O72" i="7" s="1"/>
  <c r="P72" i="7" s="1"/>
  <c r="Q72" i="7"/>
  <c r="K72" i="7"/>
  <c r="I72" i="7"/>
  <c r="T71" i="7"/>
  <c r="R71" i="7"/>
  <c r="Q71" i="7"/>
  <c r="N71" i="7"/>
  <c r="K71" i="7"/>
  <c r="I71" i="7"/>
  <c r="S71" i="7" s="1"/>
  <c r="T70" i="7"/>
  <c r="S70" i="7"/>
  <c r="R70" i="7"/>
  <c r="Q70" i="7"/>
  <c r="K70" i="7"/>
  <c r="I70" i="7"/>
  <c r="T69" i="7"/>
  <c r="R69" i="7"/>
  <c r="Q69" i="7"/>
  <c r="N69" i="7" s="1"/>
  <c r="O69" i="7" s="1"/>
  <c r="P69" i="7" s="1"/>
  <c r="K69" i="7"/>
  <c r="I69" i="7"/>
  <c r="S69" i="7" s="1"/>
  <c r="T68" i="7"/>
  <c r="S68" i="7"/>
  <c r="R68" i="7"/>
  <c r="N68" i="7" s="1"/>
  <c r="O68" i="7" s="1"/>
  <c r="P68" i="7" s="1"/>
  <c r="Q68" i="7"/>
  <c r="K68" i="7"/>
  <c r="I68" i="7"/>
  <c r="T67" i="7"/>
  <c r="R67" i="7"/>
  <c r="Q67" i="7"/>
  <c r="N67" i="7"/>
  <c r="K67" i="7"/>
  <c r="I67" i="7"/>
  <c r="S67" i="7" s="1"/>
  <c r="T66" i="7"/>
  <c r="S66" i="7"/>
  <c r="R66" i="7"/>
  <c r="Q66" i="7"/>
  <c r="K66" i="7"/>
  <c r="I66" i="7"/>
  <c r="T65" i="7"/>
  <c r="R65" i="7"/>
  <c r="Q65" i="7"/>
  <c r="N65" i="7" s="1"/>
  <c r="O65" i="7" s="1"/>
  <c r="P65" i="7" s="1"/>
  <c r="K65" i="7"/>
  <c r="I65" i="7"/>
  <c r="S65" i="7" s="1"/>
  <c r="T64" i="7"/>
  <c r="S64" i="7"/>
  <c r="R64" i="7"/>
  <c r="N64" i="7" s="1"/>
  <c r="O64" i="7" s="1"/>
  <c r="P64" i="7" s="1"/>
  <c r="Q64" i="7"/>
  <c r="K64" i="7"/>
  <c r="I64" i="7"/>
  <c r="T63" i="7"/>
  <c r="R63" i="7"/>
  <c r="Q63" i="7"/>
  <c r="K63" i="7"/>
  <c r="I63" i="7"/>
  <c r="S63" i="7" s="1"/>
  <c r="T62" i="7"/>
  <c r="R62" i="7"/>
  <c r="Q62" i="7"/>
  <c r="K62" i="7"/>
  <c r="I62" i="7"/>
  <c r="S62" i="7" s="1"/>
  <c r="T61" i="7"/>
  <c r="R61" i="7"/>
  <c r="Q61" i="7"/>
  <c r="K61" i="7"/>
  <c r="I61" i="7"/>
  <c r="S61" i="7" s="1"/>
  <c r="T60" i="7"/>
  <c r="R60" i="7"/>
  <c r="Q60" i="7"/>
  <c r="N60" i="7" s="1"/>
  <c r="O60" i="7" s="1"/>
  <c r="P60" i="7" s="1"/>
  <c r="K60" i="7"/>
  <c r="I60" i="7"/>
  <c r="S60" i="7" s="1"/>
  <c r="T59" i="7"/>
  <c r="R59" i="7"/>
  <c r="Q59" i="7"/>
  <c r="K59" i="7"/>
  <c r="I59" i="7"/>
  <c r="S59" i="7" s="1"/>
  <c r="T58" i="7"/>
  <c r="R58" i="7"/>
  <c r="Q58" i="7"/>
  <c r="K58" i="7"/>
  <c r="I58" i="7"/>
  <c r="S58" i="7" s="1"/>
  <c r="T57" i="7"/>
  <c r="R57" i="7"/>
  <c r="Q57" i="7"/>
  <c r="N57" i="7" s="1"/>
  <c r="O57" i="7" s="1"/>
  <c r="P57" i="7" s="1"/>
  <c r="K57" i="7"/>
  <c r="I57" i="7"/>
  <c r="S57" i="7" s="1"/>
  <c r="T56" i="7"/>
  <c r="R56" i="7"/>
  <c r="Q56" i="7"/>
  <c r="N56" i="7" s="1"/>
  <c r="O56" i="7" s="1"/>
  <c r="P56" i="7" s="1"/>
  <c r="K56" i="7"/>
  <c r="I56" i="7"/>
  <c r="S56" i="7" s="1"/>
  <c r="T55" i="7"/>
  <c r="S55" i="7"/>
  <c r="N55" i="7" s="1"/>
  <c r="R55" i="7"/>
  <c r="Q55" i="7"/>
  <c r="K55" i="7"/>
  <c r="I55" i="7"/>
  <c r="T54" i="7"/>
  <c r="R54" i="7"/>
  <c r="Q54" i="7"/>
  <c r="K54" i="7"/>
  <c r="I54" i="7"/>
  <c r="S54" i="7" s="1"/>
  <c r="T53" i="7"/>
  <c r="R53" i="7"/>
  <c r="Q53" i="7"/>
  <c r="N53" i="7" s="1"/>
  <c r="O53" i="7" s="1"/>
  <c r="P53" i="7" s="1"/>
  <c r="K53" i="7"/>
  <c r="I53" i="7"/>
  <c r="S53" i="7" s="1"/>
  <c r="T52" i="7"/>
  <c r="R52" i="7"/>
  <c r="Q52" i="7"/>
  <c r="K52" i="7"/>
  <c r="I52" i="7"/>
  <c r="S52" i="7" s="1"/>
  <c r="T51" i="7"/>
  <c r="S51" i="7"/>
  <c r="N51" i="7" s="1"/>
  <c r="R51" i="7"/>
  <c r="Q51" i="7"/>
  <c r="K51" i="7"/>
  <c r="I51" i="7"/>
  <c r="T50" i="7"/>
  <c r="R50" i="7"/>
  <c r="Q50" i="7"/>
  <c r="K50" i="7"/>
  <c r="I50" i="7"/>
  <c r="S50" i="7" s="1"/>
  <c r="T49" i="7"/>
  <c r="R49" i="7"/>
  <c r="Q49" i="7"/>
  <c r="K49" i="7"/>
  <c r="I49" i="7"/>
  <c r="S49" i="7" s="1"/>
  <c r="T48" i="7"/>
  <c r="R48" i="7"/>
  <c r="Q48" i="7"/>
  <c r="N48" i="7" s="1"/>
  <c r="O48" i="7" s="1"/>
  <c r="P48" i="7" s="1"/>
  <c r="K48" i="7"/>
  <c r="I48" i="7"/>
  <c r="S48" i="7" s="1"/>
  <c r="T47" i="7"/>
  <c r="R47" i="7"/>
  <c r="Q47" i="7"/>
  <c r="K47" i="7"/>
  <c r="I47" i="7"/>
  <c r="S47" i="7" s="1"/>
  <c r="T46" i="7"/>
  <c r="R46" i="7"/>
  <c r="Q46" i="7"/>
  <c r="K46" i="7"/>
  <c r="I46" i="7"/>
  <c r="S46" i="7" s="1"/>
  <c r="J44" i="7"/>
  <c r="T43" i="7"/>
  <c r="R43" i="7"/>
  <c r="Q43" i="7"/>
  <c r="N43" i="7" s="1"/>
  <c r="O43" i="7" s="1"/>
  <c r="P43" i="7" s="1"/>
  <c r="K43" i="7"/>
  <c r="I43" i="7"/>
  <c r="S43" i="7" s="1"/>
  <c r="T42" i="7"/>
  <c r="R42" i="7"/>
  <c r="Q42" i="7"/>
  <c r="K42" i="7"/>
  <c r="I42" i="7"/>
  <c r="S42" i="7" s="1"/>
  <c r="T41" i="7"/>
  <c r="R41" i="7"/>
  <c r="Q41" i="7"/>
  <c r="N41" i="7" s="1"/>
  <c r="O41" i="7" s="1"/>
  <c r="P41" i="7" s="1"/>
  <c r="K41" i="7"/>
  <c r="I41" i="7"/>
  <c r="S41" i="7" s="1"/>
  <c r="T40" i="7"/>
  <c r="R40" i="7"/>
  <c r="N40" i="7" s="1"/>
  <c r="O40" i="7" s="1"/>
  <c r="P40" i="7" s="1"/>
  <c r="Q40" i="7"/>
  <c r="K40" i="7"/>
  <c r="I40" i="7"/>
  <c r="S40" i="7" s="1"/>
  <c r="T39" i="7"/>
  <c r="R39" i="7"/>
  <c r="Q39" i="7"/>
  <c r="K39" i="7"/>
  <c r="I39" i="7"/>
  <c r="S39" i="7" s="1"/>
  <c r="T38" i="7"/>
  <c r="R38" i="7"/>
  <c r="Q38" i="7"/>
  <c r="K38" i="7"/>
  <c r="I38" i="7"/>
  <c r="S38" i="7" s="1"/>
  <c r="T37" i="7"/>
  <c r="R37" i="7"/>
  <c r="Q37" i="7"/>
  <c r="N37" i="7" s="1"/>
  <c r="O37" i="7" s="1"/>
  <c r="P37" i="7" s="1"/>
  <c r="K37" i="7"/>
  <c r="I37" i="7"/>
  <c r="S37" i="7" s="1"/>
  <c r="T36" i="7"/>
  <c r="R36" i="7"/>
  <c r="Q36" i="7"/>
  <c r="K36" i="7"/>
  <c r="I36" i="7"/>
  <c r="S36" i="7" s="1"/>
  <c r="T35" i="7"/>
  <c r="R35" i="7"/>
  <c r="Q35" i="7"/>
  <c r="N35" i="7" s="1"/>
  <c r="O35" i="7" s="1"/>
  <c r="P35" i="7" s="1"/>
  <c r="K35" i="7"/>
  <c r="I35" i="7"/>
  <c r="S35" i="7" s="1"/>
  <c r="T34" i="7"/>
  <c r="R34" i="7"/>
  <c r="Q34" i="7"/>
  <c r="K34" i="7"/>
  <c r="I34" i="7"/>
  <c r="S34" i="7" s="1"/>
  <c r="T33" i="7"/>
  <c r="S33" i="7"/>
  <c r="R33" i="7"/>
  <c r="Q33" i="7"/>
  <c r="N33" i="7" s="1"/>
  <c r="O33" i="7" s="1"/>
  <c r="P33" i="7" s="1"/>
  <c r="K33" i="7"/>
  <c r="I33" i="7"/>
  <c r="T32" i="7"/>
  <c r="R32" i="7"/>
  <c r="N32" i="7" s="1"/>
  <c r="O32" i="7" s="1"/>
  <c r="P32" i="7" s="1"/>
  <c r="Q32" i="7"/>
  <c r="K32" i="7"/>
  <c r="I32" i="7"/>
  <c r="S32" i="7" s="1"/>
  <c r="T31" i="7"/>
  <c r="R31" i="7"/>
  <c r="Q31" i="7"/>
  <c r="N31" i="7" s="1"/>
  <c r="O31" i="7" s="1"/>
  <c r="P31" i="7" s="1"/>
  <c r="K31" i="7"/>
  <c r="I31" i="7"/>
  <c r="S31" i="7" s="1"/>
  <c r="T30" i="7"/>
  <c r="R30" i="7"/>
  <c r="Q30" i="7"/>
  <c r="K30" i="7"/>
  <c r="I30" i="7"/>
  <c r="S30" i="7" s="1"/>
  <c r="T29" i="7"/>
  <c r="R29" i="7"/>
  <c r="Q29" i="7"/>
  <c r="N29" i="7" s="1"/>
  <c r="O29" i="7" s="1"/>
  <c r="P29" i="7" s="1"/>
  <c r="K29" i="7"/>
  <c r="I29" i="7"/>
  <c r="S29" i="7" s="1"/>
  <c r="T28" i="7"/>
  <c r="R28" i="7"/>
  <c r="Q28" i="7"/>
  <c r="K28" i="7"/>
  <c r="I28" i="7"/>
  <c r="S28" i="7" s="1"/>
  <c r="T27" i="7"/>
  <c r="R27" i="7"/>
  <c r="Q27" i="7"/>
  <c r="N27" i="7" s="1"/>
  <c r="O27" i="7" s="1"/>
  <c r="P27" i="7" s="1"/>
  <c r="K27" i="7"/>
  <c r="I27" i="7"/>
  <c r="S27" i="7" s="1"/>
  <c r="T26" i="7"/>
  <c r="R26" i="7"/>
  <c r="Q26" i="7"/>
  <c r="K26" i="7"/>
  <c r="I26" i="7"/>
  <c r="S26" i="7" s="1"/>
  <c r="T25" i="7"/>
  <c r="R25" i="7"/>
  <c r="Q25" i="7"/>
  <c r="K25" i="7"/>
  <c r="I25" i="7"/>
  <c r="S25" i="7" s="1"/>
  <c r="T24" i="7"/>
  <c r="R24" i="7"/>
  <c r="N24" i="7" s="1"/>
  <c r="O24" i="7" s="1"/>
  <c r="P24" i="7" s="1"/>
  <c r="Q24" i="7"/>
  <c r="K24" i="7"/>
  <c r="I24" i="7"/>
  <c r="S24" i="7" s="1"/>
  <c r="T23" i="7"/>
  <c r="R23" i="7"/>
  <c r="Q23" i="7"/>
  <c r="N23" i="7" s="1"/>
  <c r="O23" i="7" s="1"/>
  <c r="P23" i="7" s="1"/>
  <c r="K23" i="7"/>
  <c r="I23" i="7"/>
  <c r="S23" i="7" s="1"/>
  <c r="T22" i="7"/>
  <c r="R22" i="7"/>
  <c r="Q22" i="7"/>
  <c r="K22" i="7"/>
  <c r="I22" i="7"/>
  <c r="S22" i="7" s="1"/>
  <c r="T21" i="7"/>
  <c r="R21" i="7"/>
  <c r="Q21" i="7"/>
  <c r="N21" i="7" s="1"/>
  <c r="O21" i="7" s="1"/>
  <c r="P21" i="7" s="1"/>
  <c r="K21" i="7"/>
  <c r="I21" i="7"/>
  <c r="S21" i="7" s="1"/>
  <c r="T20" i="7"/>
  <c r="R20" i="7"/>
  <c r="Q20" i="7"/>
  <c r="K20" i="7"/>
  <c r="I20" i="7"/>
  <c r="S20" i="7" s="1"/>
  <c r="T19" i="7"/>
  <c r="R19" i="7"/>
  <c r="Q19" i="7"/>
  <c r="N19" i="7" s="1"/>
  <c r="O19" i="7" s="1"/>
  <c r="P19" i="7" s="1"/>
  <c r="K19" i="7"/>
  <c r="I19" i="7"/>
  <c r="S19" i="7" s="1"/>
  <c r="T18" i="7"/>
  <c r="R18" i="7"/>
  <c r="Q18" i="7"/>
  <c r="K18" i="7"/>
  <c r="I18" i="7"/>
  <c r="S18" i="7" s="1"/>
  <c r="T17" i="7"/>
  <c r="R17" i="7"/>
  <c r="Q17" i="7"/>
  <c r="K17" i="7"/>
  <c r="I17" i="7"/>
  <c r="S17" i="7" s="1"/>
  <c r="T16" i="7"/>
  <c r="R16" i="7"/>
  <c r="Q16" i="7"/>
  <c r="K16" i="7"/>
  <c r="I16" i="7"/>
  <c r="S16" i="7" s="1"/>
  <c r="T15" i="7"/>
  <c r="R15" i="7"/>
  <c r="Q15" i="7"/>
  <c r="N15" i="7" s="1"/>
  <c r="O15" i="7" s="1"/>
  <c r="P15" i="7" s="1"/>
  <c r="K15" i="7"/>
  <c r="I15" i="7"/>
  <c r="S15" i="7" s="1"/>
  <c r="T14" i="7"/>
  <c r="R14" i="7"/>
  <c r="Q14" i="7"/>
  <c r="K14" i="7"/>
  <c r="I14" i="7"/>
  <c r="S14" i="7" s="1"/>
  <c r="T13" i="7"/>
  <c r="R13" i="7"/>
  <c r="Q13" i="7"/>
  <c r="N13" i="7" s="1"/>
  <c r="O13" i="7" s="1"/>
  <c r="P13" i="7" s="1"/>
  <c r="K13" i="7"/>
  <c r="I13" i="7"/>
  <c r="S13" i="7" s="1"/>
  <c r="T12" i="7"/>
  <c r="R12" i="7"/>
  <c r="Q12" i="7"/>
  <c r="K12" i="7"/>
  <c r="I12" i="7"/>
  <c r="S12" i="7" s="1"/>
  <c r="I99" i="3"/>
  <c r="I98" i="3"/>
  <c r="I97" i="3"/>
  <c r="I96" i="3"/>
  <c r="I95" i="3"/>
  <c r="I93" i="3"/>
  <c r="I92" i="3"/>
  <c r="I91" i="3"/>
  <c r="I90" i="3"/>
  <c r="I89" i="3"/>
  <c r="I88" i="3"/>
  <c r="I87" i="3"/>
  <c r="I86" i="3"/>
  <c r="I85" i="3"/>
  <c r="I84" i="3"/>
  <c r="I83" i="3"/>
  <c r="I82" i="3"/>
  <c r="I80" i="3"/>
  <c r="I79" i="3"/>
  <c r="I78" i="3"/>
  <c r="I77" i="3"/>
  <c r="I75" i="3"/>
  <c r="I74" i="3"/>
  <c r="I71" i="3"/>
  <c r="I70" i="3"/>
  <c r="I67" i="3"/>
  <c r="I65" i="3"/>
  <c r="I64" i="3"/>
  <c r="I63" i="3"/>
  <c r="I62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7" i="3"/>
  <c r="I36" i="3"/>
  <c r="F17" i="3"/>
  <c r="D17" i="3"/>
  <c r="P204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P199" i="2"/>
  <c r="C102" i="3" s="1"/>
  <c r="E102" i="3" s="1"/>
  <c r="G102" i="3" s="1"/>
  <c r="P198" i="2"/>
  <c r="C101" i="3" s="1"/>
  <c r="E101" i="3" s="1"/>
  <c r="G101" i="3" s="1"/>
  <c r="P197" i="2"/>
  <c r="C100" i="3" s="1"/>
  <c r="E100" i="3" s="1"/>
  <c r="G100" i="3" s="1"/>
  <c r="P196" i="2"/>
  <c r="C99" i="3" s="1"/>
  <c r="E99" i="3" s="1"/>
  <c r="G99" i="3" s="1"/>
  <c r="P195" i="2"/>
  <c r="C98" i="3" s="1"/>
  <c r="E98" i="3" s="1"/>
  <c r="G98" i="3" s="1"/>
  <c r="P194" i="2"/>
  <c r="C97" i="3" s="1"/>
  <c r="E97" i="3" s="1"/>
  <c r="G97" i="3" s="1"/>
  <c r="P193" i="2"/>
  <c r="C96" i="3" s="1"/>
  <c r="E96" i="3" s="1"/>
  <c r="G96" i="3" s="1"/>
  <c r="P192" i="2"/>
  <c r="C95" i="3" s="1"/>
  <c r="E95" i="3" s="1"/>
  <c r="G95" i="3" s="1"/>
  <c r="P190" i="2"/>
  <c r="C93" i="3" s="1"/>
  <c r="E93" i="3" s="1"/>
  <c r="G93" i="3" s="1"/>
  <c r="P189" i="2"/>
  <c r="C92" i="3" s="1"/>
  <c r="E92" i="3" s="1"/>
  <c r="G92" i="3" s="1"/>
  <c r="P188" i="2"/>
  <c r="C91" i="3" s="1"/>
  <c r="E91" i="3" s="1"/>
  <c r="G91" i="3" s="1"/>
  <c r="P187" i="2"/>
  <c r="C90" i="3" s="1"/>
  <c r="E90" i="3" s="1"/>
  <c r="G90" i="3" s="1"/>
  <c r="P186" i="2"/>
  <c r="C89" i="3" s="1"/>
  <c r="E89" i="3" s="1"/>
  <c r="G89" i="3" s="1"/>
  <c r="P185" i="2"/>
  <c r="C88" i="3" s="1"/>
  <c r="E88" i="3" s="1"/>
  <c r="G88" i="3" s="1"/>
  <c r="P184" i="2"/>
  <c r="C87" i="3" s="1"/>
  <c r="E87" i="3" s="1"/>
  <c r="G87" i="3" s="1"/>
  <c r="P183" i="2"/>
  <c r="C86" i="3" s="1"/>
  <c r="E86" i="3" s="1"/>
  <c r="G86" i="3" s="1"/>
  <c r="P182" i="2"/>
  <c r="C85" i="3" s="1"/>
  <c r="P181" i="2"/>
  <c r="C84" i="3" s="1"/>
  <c r="P180" i="2"/>
  <c r="C83" i="3" s="1"/>
  <c r="E83" i="3" s="1"/>
  <c r="G83" i="3" s="1"/>
  <c r="P179" i="2"/>
  <c r="C82" i="3" s="1"/>
  <c r="E82" i="3" s="1"/>
  <c r="G82" i="3" s="1"/>
  <c r="P178" i="2"/>
  <c r="C81" i="3" s="1"/>
  <c r="E81" i="3" s="1"/>
  <c r="G81" i="3" s="1"/>
  <c r="P177" i="2"/>
  <c r="C80" i="3" s="1"/>
  <c r="E80" i="3" s="1"/>
  <c r="G80" i="3" s="1"/>
  <c r="P176" i="2"/>
  <c r="C79" i="3" s="1"/>
  <c r="E79" i="3" s="1"/>
  <c r="G79" i="3" s="1"/>
  <c r="P175" i="2"/>
  <c r="P174" i="2"/>
  <c r="P173" i="2"/>
  <c r="C77" i="3" s="1"/>
  <c r="E77" i="3" s="1"/>
  <c r="G77" i="3" s="1"/>
  <c r="P172" i="2"/>
  <c r="C76" i="3" s="1"/>
  <c r="E76" i="3" s="1"/>
  <c r="G76" i="3" s="1"/>
  <c r="P171" i="2"/>
  <c r="C75" i="3" s="1"/>
  <c r="E75" i="3" s="1"/>
  <c r="G75" i="3" s="1"/>
  <c r="P170" i="2"/>
  <c r="C74" i="3" s="1"/>
  <c r="E74" i="3" s="1"/>
  <c r="G74" i="3" s="1"/>
  <c r="P169" i="2"/>
  <c r="C73" i="3" s="1"/>
  <c r="E73" i="3" s="1"/>
  <c r="G73" i="3" s="1"/>
  <c r="P168" i="2"/>
  <c r="C71" i="3" s="1"/>
  <c r="E71" i="3" s="1"/>
  <c r="G71" i="3" s="1"/>
  <c r="P167" i="2"/>
  <c r="C70" i="3" s="1"/>
  <c r="E70" i="3" s="1"/>
  <c r="G70" i="3" s="1"/>
  <c r="P166" i="2"/>
  <c r="C69" i="3" s="1"/>
  <c r="L329" i="7" s="1"/>
  <c r="P165" i="2"/>
  <c r="C68" i="3" s="1"/>
  <c r="E68" i="3" s="1"/>
  <c r="G68" i="3" s="1"/>
  <c r="P164" i="2"/>
  <c r="P162" i="2"/>
  <c r="C65" i="3" s="1"/>
  <c r="E65" i="3" s="1"/>
  <c r="G65" i="3" s="1"/>
  <c r="P161" i="2"/>
  <c r="C64" i="3" s="1"/>
  <c r="E64" i="3" s="1"/>
  <c r="G64" i="3" s="1"/>
  <c r="P160" i="2"/>
  <c r="C63" i="3" s="1"/>
  <c r="P159" i="2"/>
  <c r="C62" i="3" s="1"/>
  <c r="P158" i="2"/>
  <c r="C61" i="3" s="1"/>
  <c r="E61" i="3" s="1"/>
  <c r="G61" i="3" s="1"/>
  <c r="P157" i="2"/>
  <c r="C60" i="3" s="1"/>
  <c r="E60" i="3" s="1"/>
  <c r="G60" i="3" s="1"/>
  <c r="P156" i="2"/>
  <c r="C59" i="3" s="1"/>
  <c r="E59" i="3" s="1"/>
  <c r="G59" i="3" s="1"/>
  <c r="P155" i="2"/>
  <c r="C58" i="3" s="1"/>
  <c r="E58" i="3" s="1"/>
  <c r="G58" i="3" s="1"/>
  <c r="P154" i="2"/>
  <c r="C57" i="3" s="1"/>
  <c r="P153" i="2"/>
  <c r="C56" i="3" s="1"/>
  <c r="P152" i="2"/>
  <c r="C55" i="3" s="1"/>
  <c r="E55" i="3" s="1"/>
  <c r="G55" i="3" s="1"/>
  <c r="P151" i="2"/>
  <c r="C54" i="3" s="1"/>
  <c r="E54" i="3" s="1"/>
  <c r="G54" i="3" s="1"/>
  <c r="P150" i="2"/>
  <c r="C53" i="3" s="1"/>
  <c r="E53" i="3" s="1"/>
  <c r="G53" i="3" s="1"/>
  <c r="O145" i="2"/>
  <c r="N145" i="2"/>
  <c r="M145" i="2"/>
  <c r="L145" i="2"/>
  <c r="K145" i="2"/>
  <c r="J145" i="2"/>
  <c r="I145" i="2"/>
  <c r="H145" i="2"/>
  <c r="G145" i="2"/>
  <c r="F145" i="2"/>
  <c r="E145" i="2"/>
  <c r="D145" i="2"/>
  <c r="P144" i="2"/>
  <c r="C52" i="3" s="1"/>
  <c r="E52" i="3" s="1"/>
  <c r="G52" i="3" s="1"/>
  <c r="P143" i="2"/>
  <c r="P142" i="2"/>
  <c r="C51" i="3" s="1"/>
  <c r="E51" i="3" s="1"/>
  <c r="G51" i="3" s="1"/>
  <c r="P141" i="2"/>
  <c r="P140" i="2"/>
  <c r="P139" i="2"/>
  <c r="P138" i="2"/>
  <c r="P137" i="2"/>
  <c r="C49" i="3" s="1"/>
  <c r="E49" i="3" s="1"/>
  <c r="G49" i="3" s="1"/>
  <c r="P136" i="2"/>
  <c r="P135" i="2"/>
  <c r="P134" i="2"/>
  <c r="P133" i="2"/>
  <c r="P132" i="2"/>
  <c r="P131" i="2"/>
  <c r="C47" i="3" s="1"/>
  <c r="E47" i="3" s="1"/>
  <c r="G47" i="3" s="1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C43" i="3" s="1"/>
  <c r="E43" i="3" s="1"/>
  <c r="G43" i="3" s="1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C38" i="3" s="1"/>
  <c r="E38" i="3" s="1"/>
  <c r="G38" i="3" s="1"/>
  <c r="L38" i="3" s="1"/>
  <c r="O38" i="3" s="1"/>
  <c r="P72" i="2"/>
  <c r="C37" i="3" s="1"/>
  <c r="P71" i="2"/>
  <c r="C36" i="3" s="1"/>
  <c r="E36" i="3" s="1"/>
  <c r="O66" i="2"/>
  <c r="N66" i="2"/>
  <c r="M66" i="2"/>
  <c r="L66" i="2"/>
  <c r="K66" i="2"/>
  <c r="J66" i="2"/>
  <c r="I66" i="2"/>
  <c r="H66" i="2"/>
  <c r="G66" i="2"/>
  <c r="F66" i="2"/>
  <c r="E66" i="2"/>
  <c r="D66" i="2"/>
  <c r="P65" i="2"/>
  <c r="C30" i="3" s="1"/>
  <c r="E30" i="3" s="1"/>
  <c r="G30" i="3" s="1"/>
  <c r="K30" i="3" s="1"/>
  <c r="P64" i="2"/>
  <c r="C29" i="3" s="1"/>
  <c r="E29" i="3" s="1"/>
  <c r="G29" i="3" s="1"/>
  <c r="K29" i="3" s="1"/>
  <c r="P63" i="2"/>
  <c r="C15" i="3" s="1"/>
  <c r="E15" i="3" s="1"/>
  <c r="G15" i="3" s="1"/>
  <c r="L15" i="3" s="1"/>
  <c r="P62" i="2"/>
  <c r="C28" i="3" s="1"/>
  <c r="E28" i="3" s="1"/>
  <c r="G28" i="3" s="1"/>
  <c r="K28" i="3" s="1"/>
  <c r="P61" i="2"/>
  <c r="O59" i="2"/>
  <c r="N59" i="2"/>
  <c r="M59" i="2"/>
  <c r="L59" i="2"/>
  <c r="K59" i="2"/>
  <c r="J59" i="2"/>
  <c r="I59" i="2"/>
  <c r="H59" i="2"/>
  <c r="G59" i="2"/>
  <c r="F59" i="2"/>
  <c r="E59" i="2"/>
  <c r="D59" i="2"/>
  <c r="P58" i="2"/>
  <c r="P57" i="2"/>
  <c r="P56" i="2"/>
  <c r="P55" i="2"/>
  <c r="P54" i="2"/>
  <c r="P53" i="2"/>
  <c r="P52" i="2"/>
  <c r="O49" i="2"/>
  <c r="N49" i="2"/>
  <c r="M49" i="2"/>
  <c r="L49" i="2"/>
  <c r="K49" i="2"/>
  <c r="J49" i="2"/>
  <c r="I49" i="2"/>
  <c r="H49" i="2"/>
  <c r="G49" i="2"/>
  <c r="F49" i="2"/>
  <c r="E49" i="2"/>
  <c r="D49" i="2"/>
  <c r="P48" i="2"/>
  <c r="P47" i="2"/>
  <c r="P46" i="2"/>
  <c r="P45" i="2"/>
  <c r="P44" i="2"/>
  <c r="P43" i="2"/>
  <c r="P42" i="2"/>
  <c r="O39" i="2"/>
  <c r="N39" i="2"/>
  <c r="M39" i="2"/>
  <c r="L39" i="2"/>
  <c r="K39" i="2"/>
  <c r="J39" i="2"/>
  <c r="I39" i="2"/>
  <c r="H39" i="2"/>
  <c r="G39" i="2"/>
  <c r="F39" i="2"/>
  <c r="E39" i="2"/>
  <c r="D39" i="2"/>
  <c r="P38" i="2"/>
  <c r="C16" i="3" s="1"/>
  <c r="E16" i="3" s="1"/>
  <c r="G16" i="3" s="1"/>
  <c r="L16" i="3" s="1"/>
  <c r="O16" i="3" s="1"/>
  <c r="P37" i="2"/>
  <c r="C24" i="3" s="1"/>
  <c r="E24" i="3" s="1"/>
  <c r="G24" i="3" s="1"/>
  <c r="K24" i="3" s="1"/>
  <c r="P36" i="2"/>
  <c r="C23" i="3" s="1"/>
  <c r="E23" i="3" s="1"/>
  <c r="G23" i="3" s="1"/>
  <c r="K23" i="3" s="1"/>
  <c r="O34" i="2"/>
  <c r="N34" i="2"/>
  <c r="M34" i="2"/>
  <c r="L34" i="2"/>
  <c r="K34" i="2"/>
  <c r="J34" i="2"/>
  <c r="I34" i="2"/>
  <c r="H34" i="2"/>
  <c r="G34" i="2"/>
  <c r="F34" i="2"/>
  <c r="E34" i="2"/>
  <c r="D34" i="2"/>
  <c r="P33" i="2"/>
  <c r="C22" i="3" s="1"/>
  <c r="E22" i="3" s="1"/>
  <c r="G22" i="3" s="1"/>
  <c r="K22" i="3" s="1"/>
  <c r="P32" i="2"/>
  <c r="C21" i="3" s="1"/>
  <c r="P31" i="2"/>
  <c r="C20" i="3" s="1"/>
  <c r="E20" i="3" s="1"/>
  <c r="G20" i="3" s="1"/>
  <c r="K20" i="3" s="1"/>
  <c r="O28" i="2"/>
  <c r="N28" i="2"/>
  <c r="M28" i="2"/>
  <c r="L28" i="2"/>
  <c r="K28" i="2"/>
  <c r="J28" i="2"/>
  <c r="I28" i="2"/>
  <c r="H28" i="2"/>
  <c r="G28" i="2"/>
  <c r="F28" i="2"/>
  <c r="E28" i="2"/>
  <c r="D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F18" i="12" l="1"/>
  <c r="F19" i="12"/>
  <c r="F20" i="12"/>
  <c r="F12" i="12"/>
  <c r="F13" i="12"/>
  <c r="C39" i="3"/>
  <c r="E39" i="3" s="1"/>
  <c r="G39" i="3" s="1"/>
  <c r="L39" i="3" s="1"/>
  <c r="J68" i="2"/>
  <c r="J147" i="2" s="1"/>
  <c r="J202" i="2" s="1"/>
  <c r="C12" i="3"/>
  <c r="E12" i="3" s="1"/>
  <c r="G12" i="3" s="1"/>
  <c r="L12" i="3" s="1"/>
  <c r="O12" i="3" s="1"/>
  <c r="P34" i="2"/>
  <c r="P39" i="2"/>
  <c r="C13" i="3"/>
  <c r="E13" i="3" s="1"/>
  <c r="G13" i="3" s="1"/>
  <c r="L13" i="3" s="1"/>
  <c r="O13" i="3" s="1"/>
  <c r="F68" i="2"/>
  <c r="F147" i="2" s="1"/>
  <c r="F202" i="2" s="1"/>
  <c r="N68" i="2"/>
  <c r="N147" i="2" s="1"/>
  <c r="N202" i="2" s="1"/>
  <c r="D68" i="2"/>
  <c r="D147" i="2" s="1"/>
  <c r="D202" i="2" s="1"/>
  <c r="E68" i="2"/>
  <c r="E147" i="2" s="1"/>
  <c r="I68" i="2"/>
  <c r="I147" i="2" s="1"/>
  <c r="I202" i="2" s="1"/>
  <c r="L68" i="2"/>
  <c r="L147" i="2" s="1"/>
  <c r="L202" i="2" s="1"/>
  <c r="M68" i="2"/>
  <c r="M147" i="2" s="1"/>
  <c r="M202" i="2" s="1"/>
  <c r="L73" i="3"/>
  <c r="O73" i="3" s="1"/>
  <c r="C67" i="3"/>
  <c r="E67" i="3" s="1"/>
  <c r="G67" i="3" s="1"/>
  <c r="L67" i="3" s="1"/>
  <c r="E66" i="3"/>
  <c r="G66" i="3" s="1"/>
  <c r="C78" i="3"/>
  <c r="E78" i="3" s="1"/>
  <c r="G78" i="3" s="1"/>
  <c r="L78" i="3" s="1"/>
  <c r="C14" i="3"/>
  <c r="E14" i="3" s="1"/>
  <c r="G14" i="3" s="1"/>
  <c r="L14" i="3" s="1"/>
  <c r="O14" i="3" s="1"/>
  <c r="P59" i="2"/>
  <c r="C26" i="3" s="1"/>
  <c r="E26" i="3" s="1"/>
  <c r="G26" i="3" s="1"/>
  <c r="K26" i="3" s="1"/>
  <c r="P66" i="2"/>
  <c r="C40" i="3"/>
  <c r="E40" i="3" s="1"/>
  <c r="G40" i="3" s="1"/>
  <c r="L40" i="3" s="1"/>
  <c r="K17" i="3"/>
  <c r="O15" i="3"/>
  <c r="E18" i="18"/>
  <c r="H71" i="8"/>
  <c r="H92" i="8" s="1"/>
  <c r="E202" i="2"/>
  <c r="C46" i="3"/>
  <c r="E46" i="3" s="1"/>
  <c r="G46" i="3" s="1"/>
  <c r="L46" i="3" s="1"/>
  <c r="K68" i="2"/>
  <c r="K147" i="2" s="1"/>
  <c r="K202" i="2" s="1"/>
  <c r="C41" i="3"/>
  <c r="C42" i="3"/>
  <c r="E42" i="3" s="1"/>
  <c r="G42" i="3" s="1"/>
  <c r="L42" i="3" s="1"/>
  <c r="C50" i="3"/>
  <c r="E50" i="3" s="1"/>
  <c r="G50" i="3" s="1"/>
  <c r="L50" i="3" s="1"/>
  <c r="C11" i="3"/>
  <c r="E11" i="3" s="1"/>
  <c r="G11" i="3" s="1"/>
  <c r="C44" i="3"/>
  <c r="E44" i="3" s="1"/>
  <c r="G44" i="3" s="1"/>
  <c r="L44" i="3" s="1"/>
  <c r="C45" i="3"/>
  <c r="E45" i="3" s="1"/>
  <c r="G45" i="3" s="1"/>
  <c r="L45" i="3" s="1"/>
  <c r="C48" i="3"/>
  <c r="E84" i="3"/>
  <c r="G84" i="3" s="1"/>
  <c r="L84" i="3" s="1"/>
  <c r="P200" i="2"/>
  <c r="C27" i="3"/>
  <c r="E27" i="3" s="1"/>
  <c r="G27" i="3" s="1"/>
  <c r="K27" i="3" s="1"/>
  <c r="H68" i="2"/>
  <c r="H147" i="2" s="1"/>
  <c r="H202" i="2" s="1"/>
  <c r="G68" i="2"/>
  <c r="G147" i="2" s="1"/>
  <c r="G202" i="2" s="1"/>
  <c r="O68" i="2"/>
  <c r="O147" i="2" s="1"/>
  <c r="O202" i="2" s="1"/>
  <c r="P145" i="2"/>
  <c r="P49" i="2"/>
  <c r="C25" i="3" s="1"/>
  <c r="E25" i="3" s="1"/>
  <c r="G25" i="3" s="1"/>
  <c r="K25" i="3" s="1"/>
  <c r="P28" i="2"/>
  <c r="F14" i="13"/>
  <c r="F15" i="13"/>
  <c r="F16" i="13"/>
  <c r="E26" i="4" s="1"/>
  <c r="D62" i="3" s="1"/>
  <c r="E62" i="3" s="1"/>
  <c r="G62" i="3" s="1"/>
  <c r="L62" i="3" s="1"/>
  <c r="F12" i="13"/>
  <c r="K84" i="10"/>
  <c r="J78" i="10"/>
  <c r="I78" i="10"/>
  <c r="I80" i="10" s="1"/>
  <c r="H146" i="11"/>
  <c r="H155" i="11" s="1"/>
  <c r="H157" i="11" s="1"/>
  <c r="G146" i="11"/>
  <c r="F146" i="11"/>
  <c r="K146" i="11"/>
  <c r="D41" i="3"/>
  <c r="J146" i="11"/>
  <c r="I146" i="11"/>
  <c r="H78" i="10"/>
  <c r="F78" i="10"/>
  <c r="G78" i="10"/>
  <c r="N84" i="8"/>
  <c r="O84" i="8"/>
  <c r="O31" i="8"/>
  <c r="O60" i="8"/>
  <c r="F71" i="8"/>
  <c r="F92" i="8" s="1"/>
  <c r="N53" i="8"/>
  <c r="N69" i="8"/>
  <c r="L71" i="8"/>
  <c r="L92" i="8" s="1"/>
  <c r="O69" i="8"/>
  <c r="O89" i="8"/>
  <c r="R68" i="8"/>
  <c r="U68" i="8" s="1"/>
  <c r="O34" i="8"/>
  <c r="O53" i="8" s="1"/>
  <c r="J71" i="8"/>
  <c r="J92" i="8" s="1"/>
  <c r="S53" i="8"/>
  <c r="U43" i="8"/>
  <c r="U49" i="8"/>
  <c r="U51" i="8"/>
  <c r="Q69" i="8"/>
  <c r="U65" i="8"/>
  <c r="U83" i="8"/>
  <c r="R57" i="8"/>
  <c r="U57" i="8" s="1"/>
  <c r="R62" i="8"/>
  <c r="U62" i="8" s="1"/>
  <c r="R74" i="8"/>
  <c r="U74" i="8" s="1"/>
  <c r="R87" i="8"/>
  <c r="U87" i="8" s="1"/>
  <c r="R16" i="8"/>
  <c r="U16" i="8" s="1"/>
  <c r="R19" i="8"/>
  <c r="R42" i="8"/>
  <c r="U42" i="8" s="1"/>
  <c r="S69" i="8"/>
  <c r="R64" i="8"/>
  <c r="U64" i="8" s="1"/>
  <c r="U67" i="8"/>
  <c r="U77" i="8"/>
  <c r="Q31" i="8"/>
  <c r="U10" i="8"/>
  <c r="U22" i="8"/>
  <c r="U35" i="8"/>
  <c r="U39" i="8"/>
  <c r="U46" i="8"/>
  <c r="T69" i="8"/>
  <c r="Q89" i="8"/>
  <c r="E14" i="4" s="1"/>
  <c r="D56" i="3" s="1"/>
  <c r="E56" i="3" s="1"/>
  <c r="G56" i="3" s="1"/>
  <c r="L56" i="3" s="1"/>
  <c r="S84" i="8"/>
  <c r="E14" i="5" s="1"/>
  <c r="F57" i="3" s="1"/>
  <c r="U14" i="8"/>
  <c r="U52" i="8"/>
  <c r="S31" i="8"/>
  <c r="U9" i="8"/>
  <c r="R11" i="8"/>
  <c r="U11" i="8" s="1"/>
  <c r="U23" i="8"/>
  <c r="Q53" i="8"/>
  <c r="R44" i="8"/>
  <c r="U44" i="8" s="1"/>
  <c r="U79" i="8"/>
  <c r="R81" i="8"/>
  <c r="U81" i="8" s="1"/>
  <c r="R88" i="8"/>
  <c r="U88" i="8" s="1"/>
  <c r="R8" i="8"/>
  <c r="U8" i="8" s="1"/>
  <c r="R20" i="8"/>
  <c r="U20" i="8" s="1"/>
  <c r="R33" i="8"/>
  <c r="U33" i="8" s="1"/>
  <c r="R58" i="8"/>
  <c r="U58" i="8" s="1"/>
  <c r="R78" i="8"/>
  <c r="U78" i="8" s="1"/>
  <c r="E63" i="3"/>
  <c r="G63" i="3" s="1"/>
  <c r="L63" i="3" s="1"/>
  <c r="E20" i="18"/>
  <c r="E26" i="18" s="1"/>
  <c r="F9" i="16"/>
  <c r="K78" i="10"/>
  <c r="P53" i="8"/>
  <c r="R50" i="8"/>
  <c r="U50" i="8" s="1"/>
  <c r="U55" i="8"/>
  <c r="U7" i="8"/>
  <c r="R80" i="8"/>
  <c r="U80" i="8" s="1"/>
  <c r="P84" i="8"/>
  <c r="E16" i="4" s="1"/>
  <c r="D57" i="3" s="1"/>
  <c r="E57" i="3" s="1"/>
  <c r="N60" i="8"/>
  <c r="N89" i="8"/>
  <c r="P26" i="8"/>
  <c r="R26" i="8" s="1"/>
  <c r="U26" i="8" s="1"/>
  <c r="P27" i="8"/>
  <c r="R27" i="8" s="1"/>
  <c r="P28" i="8"/>
  <c r="R28" i="8" s="1"/>
  <c r="U28" i="8" s="1"/>
  <c r="P29" i="8"/>
  <c r="R29" i="8" s="1"/>
  <c r="U29" i="8" s="1"/>
  <c r="P30" i="8"/>
  <c r="R30" i="8" s="1"/>
  <c r="U30" i="8" s="1"/>
  <c r="N31" i="8"/>
  <c r="N14" i="7"/>
  <c r="O14" i="7" s="1"/>
  <c r="P14" i="7" s="1"/>
  <c r="N50" i="7"/>
  <c r="N34" i="7"/>
  <c r="N47" i="7"/>
  <c r="N22" i="7"/>
  <c r="O22" i="7" s="1"/>
  <c r="P22" i="7" s="1"/>
  <c r="N30" i="7"/>
  <c r="O30" i="7" s="1"/>
  <c r="P30" i="7" s="1"/>
  <c r="N61" i="7"/>
  <c r="O61" i="7" s="1"/>
  <c r="P61" i="7" s="1"/>
  <c r="N63" i="7"/>
  <c r="O63" i="7" s="1"/>
  <c r="P63" i="7" s="1"/>
  <c r="N17" i="7"/>
  <c r="O17" i="7" s="1"/>
  <c r="P17" i="7" s="1"/>
  <c r="N20" i="7"/>
  <c r="O20" i="7" s="1"/>
  <c r="P20" i="7" s="1"/>
  <c r="N25" i="7"/>
  <c r="O25" i="7" s="1"/>
  <c r="P25" i="7" s="1"/>
  <c r="N28" i="7"/>
  <c r="O28" i="7" s="1"/>
  <c r="P28" i="7" s="1"/>
  <c r="N39" i="7"/>
  <c r="O39" i="7" s="1"/>
  <c r="P39" i="7" s="1"/>
  <c r="N46" i="7"/>
  <c r="N12" i="7"/>
  <c r="N38" i="7"/>
  <c r="N49" i="7"/>
  <c r="O49" i="7" s="1"/>
  <c r="P49" i="7" s="1"/>
  <c r="N52" i="7"/>
  <c r="O52" i="7" s="1"/>
  <c r="P52" i="7" s="1"/>
  <c r="N54" i="7"/>
  <c r="O54" i="7" s="1"/>
  <c r="P54" i="7" s="1"/>
  <c r="N42" i="7"/>
  <c r="O42" i="7" s="1"/>
  <c r="P42" i="7" s="1"/>
  <c r="N36" i="7"/>
  <c r="O36" i="7" s="1"/>
  <c r="P36" i="7" s="1"/>
  <c r="O55" i="7"/>
  <c r="P55" i="7" s="1"/>
  <c r="N62" i="7"/>
  <c r="O62" i="7" s="1"/>
  <c r="P62" i="7" s="1"/>
  <c r="O106" i="7"/>
  <c r="P106" i="7" s="1"/>
  <c r="N58" i="7"/>
  <c r="O58" i="7" s="1"/>
  <c r="P58" i="7" s="1"/>
  <c r="N16" i="7"/>
  <c r="O16" i="7" s="1"/>
  <c r="P16" i="7" s="1"/>
  <c r="N18" i="7"/>
  <c r="O18" i="7" s="1"/>
  <c r="P18" i="7" s="1"/>
  <c r="L44" i="7"/>
  <c r="N26" i="7"/>
  <c r="N59" i="7"/>
  <c r="O59" i="7" s="1"/>
  <c r="P59" i="7" s="1"/>
  <c r="N204" i="7"/>
  <c r="O75" i="7"/>
  <c r="P75" i="7" s="1"/>
  <c r="O95" i="7"/>
  <c r="P95" i="7" s="1"/>
  <c r="N280" i="7"/>
  <c r="N292" i="7"/>
  <c r="O51" i="7"/>
  <c r="P51" i="7" s="1"/>
  <c r="N122" i="7"/>
  <c r="O122" i="7" s="1"/>
  <c r="P122" i="7" s="1"/>
  <c r="O134" i="7"/>
  <c r="P134" i="7" s="1"/>
  <c r="N174" i="7"/>
  <c r="O174" i="7" s="1"/>
  <c r="P174" i="7" s="1"/>
  <c r="O182" i="7"/>
  <c r="P182" i="7" s="1"/>
  <c r="N260" i="7"/>
  <c r="O71" i="7"/>
  <c r="P71" i="7" s="1"/>
  <c r="O178" i="7"/>
  <c r="P178" i="7" s="1"/>
  <c r="O111" i="7"/>
  <c r="P111" i="7" s="1"/>
  <c r="O221" i="7"/>
  <c r="P221" i="7" s="1"/>
  <c r="N92" i="7"/>
  <c r="O92" i="7" s="1"/>
  <c r="P92" i="7" s="1"/>
  <c r="N100" i="7"/>
  <c r="O100" i="7" s="1"/>
  <c r="P100" i="7" s="1"/>
  <c r="N108" i="7"/>
  <c r="O108" i="7" s="1"/>
  <c r="P108" i="7" s="1"/>
  <c r="N116" i="7"/>
  <c r="O116" i="7" s="1"/>
  <c r="P116" i="7" s="1"/>
  <c r="N138" i="7"/>
  <c r="O138" i="7" s="1"/>
  <c r="P138" i="7" s="1"/>
  <c r="N142" i="7"/>
  <c r="O142" i="7" s="1"/>
  <c r="P142" i="7" s="1"/>
  <c r="N152" i="7"/>
  <c r="O152" i="7" s="1"/>
  <c r="P152" i="7" s="1"/>
  <c r="N189" i="7"/>
  <c r="O189" i="7" s="1"/>
  <c r="P189" i="7" s="1"/>
  <c r="N209" i="7"/>
  <c r="O209" i="7" s="1"/>
  <c r="P209" i="7" s="1"/>
  <c r="O212" i="7"/>
  <c r="P212" i="7" s="1"/>
  <c r="N237" i="7"/>
  <c r="O237" i="7" s="1"/>
  <c r="P237" i="7" s="1"/>
  <c r="N265" i="7"/>
  <c r="O103" i="7"/>
  <c r="P103" i="7" s="1"/>
  <c r="O184" i="7"/>
  <c r="P184" i="7" s="1"/>
  <c r="N78" i="7"/>
  <c r="O114" i="7"/>
  <c r="P114" i="7" s="1"/>
  <c r="N130" i="7"/>
  <c r="O130" i="7" s="1"/>
  <c r="P130" i="7" s="1"/>
  <c r="N132" i="7"/>
  <c r="O132" i="7" s="1"/>
  <c r="P132" i="7" s="1"/>
  <c r="O150" i="7"/>
  <c r="P150" i="7" s="1"/>
  <c r="N195" i="7"/>
  <c r="O195" i="7" s="1"/>
  <c r="P195" i="7" s="1"/>
  <c r="N270" i="7"/>
  <c r="O270" i="7" s="1"/>
  <c r="P270" i="7" s="1"/>
  <c r="N80" i="7"/>
  <c r="O80" i="7" s="1"/>
  <c r="P80" i="7" s="1"/>
  <c r="N115" i="7"/>
  <c r="O115" i="7" s="1"/>
  <c r="P115" i="7" s="1"/>
  <c r="N131" i="7"/>
  <c r="O131" i="7" s="1"/>
  <c r="P131" i="7" s="1"/>
  <c r="N148" i="7"/>
  <c r="O148" i="7" s="1"/>
  <c r="P148" i="7" s="1"/>
  <c r="N157" i="7"/>
  <c r="O157" i="7" s="1"/>
  <c r="P157" i="7" s="1"/>
  <c r="N188" i="7"/>
  <c r="O188" i="7" s="1"/>
  <c r="P188" i="7" s="1"/>
  <c r="N208" i="7"/>
  <c r="O208" i="7" s="1"/>
  <c r="P208" i="7" s="1"/>
  <c r="O236" i="7"/>
  <c r="P236" i="7" s="1"/>
  <c r="O256" i="7"/>
  <c r="P256" i="7" s="1"/>
  <c r="N300" i="7"/>
  <c r="O300" i="7" s="1"/>
  <c r="P300" i="7" s="1"/>
  <c r="O67" i="7"/>
  <c r="P67" i="7" s="1"/>
  <c r="N88" i="7"/>
  <c r="O88" i="7" s="1"/>
  <c r="P88" i="7" s="1"/>
  <c r="N99" i="7"/>
  <c r="O99" i="7" s="1"/>
  <c r="P99" i="7" s="1"/>
  <c r="N107" i="7"/>
  <c r="O107" i="7" s="1"/>
  <c r="P107" i="7" s="1"/>
  <c r="N66" i="7"/>
  <c r="O66" i="7" s="1"/>
  <c r="P66" i="7" s="1"/>
  <c r="N70" i="7"/>
  <c r="O70" i="7" s="1"/>
  <c r="P70" i="7" s="1"/>
  <c r="N74" i="7"/>
  <c r="O74" i="7" s="1"/>
  <c r="P74" i="7" s="1"/>
  <c r="N86" i="7"/>
  <c r="O86" i="7" s="1"/>
  <c r="P86" i="7" s="1"/>
  <c r="O87" i="7"/>
  <c r="P87" i="7" s="1"/>
  <c r="N128" i="7"/>
  <c r="O128" i="7" s="1"/>
  <c r="P128" i="7" s="1"/>
  <c r="N147" i="7"/>
  <c r="O147" i="7" s="1"/>
  <c r="P147" i="7" s="1"/>
  <c r="O228" i="7"/>
  <c r="P228" i="7" s="1"/>
  <c r="N307" i="7"/>
  <c r="N91" i="7"/>
  <c r="N96" i="7"/>
  <c r="O96" i="7" s="1"/>
  <c r="P96" i="7" s="1"/>
  <c r="N97" i="7"/>
  <c r="O97" i="7" s="1"/>
  <c r="P97" i="7" s="1"/>
  <c r="N104" i="7"/>
  <c r="O104" i="7" s="1"/>
  <c r="P104" i="7" s="1"/>
  <c r="N105" i="7"/>
  <c r="O105" i="7" s="1"/>
  <c r="P105" i="7" s="1"/>
  <c r="N112" i="7"/>
  <c r="O112" i="7" s="1"/>
  <c r="P112" i="7" s="1"/>
  <c r="N113" i="7"/>
  <c r="O113" i="7" s="1"/>
  <c r="P113" i="7" s="1"/>
  <c r="N144" i="7"/>
  <c r="O144" i="7" s="1"/>
  <c r="P144" i="7" s="1"/>
  <c r="N156" i="7"/>
  <c r="O156" i="7" s="1"/>
  <c r="P156" i="7" s="1"/>
  <c r="N160" i="7"/>
  <c r="O160" i="7" s="1"/>
  <c r="P160" i="7" s="1"/>
  <c r="N187" i="7"/>
  <c r="O187" i="7" s="1"/>
  <c r="P187" i="7" s="1"/>
  <c r="N252" i="7"/>
  <c r="O252" i="7" s="1"/>
  <c r="P252" i="7" s="1"/>
  <c r="N288" i="7"/>
  <c r="N133" i="7"/>
  <c r="O133" i="7" s="1"/>
  <c r="P133" i="7" s="1"/>
  <c r="N149" i="7"/>
  <c r="O149" i="7" s="1"/>
  <c r="P149" i="7" s="1"/>
  <c r="N151" i="7"/>
  <c r="O151" i="7" s="1"/>
  <c r="P151" i="7" s="1"/>
  <c r="N180" i="7"/>
  <c r="O180" i="7" s="1"/>
  <c r="P180" i="7" s="1"/>
  <c r="N181" i="7"/>
  <c r="O181" i="7" s="1"/>
  <c r="P181" i="7" s="1"/>
  <c r="N183" i="7"/>
  <c r="O183" i="7" s="1"/>
  <c r="P183" i="7" s="1"/>
  <c r="N198" i="7"/>
  <c r="O198" i="7" s="1"/>
  <c r="P198" i="7" s="1"/>
  <c r="N199" i="7"/>
  <c r="O199" i="7" s="1"/>
  <c r="P199" i="7" s="1"/>
  <c r="N201" i="7"/>
  <c r="O201" i="7" s="1"/>
  <c r="P201" i="7" s="1"/>
  <c r="N257" i="7"/>
  <c r="O257" i="7" s="1"/>
  <c r="P257" i="7" s="1"/>
  <c r="N269" i="7"/>
  <c r="N285" i="7"/>
  <c r="O285" i="7" s="1"/>
  <c r="P285" i="7" s="1"/>
  <c r="N299" i="7"/>
  <c r="N315" i="7"/>
  <c r="O315" i="7" s="1"/>
  <c r="P315" i="7" s="1"/>
  <c r="N119" i="7"/>
  <c r="O119" i="7" s="1"/>
  <c r="P119" i="7" s="1"/>
  <c r="N120" i="7"/>
  <c r="O120" i="7" s="1"/>
  <c r="P120" i="7" s="1"/>
  <c r="N135" i="7"/>
  <c r="O135" i="7" s="1"/>
  <c r="P135" i="7" s="1"/>
  <c r="N136" i="7"/>
  <c r="O136" i="7" s="1"/>
  <c r="P136" i="7" s="1"/>
  <c r="N176" i="7"/>
  <c r="O176" i="7" s="1"/>
  <c r="P176" i="7" s="1"/>
  <c r="N177" i="7"/>
  <c r="O177" i="7" s="1"/>
  <c r="P177" i="7" s="1"/>
  <c r="N179" i="7"/>
  <c r="O179" i="7" s="1"/>
  <c r="P179" i="7" s="1"/>
  <c r="N215" i="7"/>
  <c r="O215" i="7" s="1"/>
  <c r="P215" i="7" s="1"/>
  <c r="N219" i="7"/>
  <c r="O219" i="7" s="1"/>
  <c r="P219" i="7" s="1"/>
  <c r="O240" i="7"/>
  <c r="P240" i="7" s="1"/>
  <c r="N262" i="7"/>
  <c r="O262" i="7" s="1"/>
  <c r="P262" i="7" s="1"/>
  <c r="N284" i="7"/>
  <c r="N121" i="7"/>
  <c r="O121" i="7" s="1"/>
  <c r="P121" i="7" s="1"/>
  <c r="N137" i="7"/>
  <c r="O137" i="7" s="1"/>
  <c r="P137" i="7" s="1"/>
  <c r="N172" i="7"/>
  <c r="O172" i="7" s="1"/>
  <c r="P172" i="7" s="1"/>
  <c r="N173" i="7"/>
  <c r="O173" i="7" s="1"/>
  <c r="P173" i="7" s="1"/>
  <c r="N175" i="7"/>
  <c r="O175" i="7" s="1"/>
  <c r="P175" i="7" s="1"/>
  <c r="N205" i="7"/>
  <c r="O205" i="7" s="1"/>
  <c r="P205" i="7" s="1"/>
  <c r="O217" i="7"/>
  <c r="P217" i="7" s="1"/>
  <c r="N218" i="7"/>
  <c r="O218" i="7" s="1"/>
  <c r="P218" i="7" s="1"/>
  <c r="N220" i="7"/>
  <c r="O220" i="7" s="1"/>
  <c r="P220" i="7" s="1"/>
  <c r="N249" i="7"/>
  <c r="N261" i="7"/>
  <c r="O261" i="7" s="1"/>
  <c r="P261" i="7" s="1"/>
  <c r="N291" i="7"/>
  <c r="N123" i="7"/>
  <c r="O123" i="7" s="1"/>
  <c r="P123" i="7" s="1"/>
  <c r="N124" i="7"/>
  <c r="O124" i="7" s="1"/>
  <c r="P124" i="7" s="1"/>
  <c r="N139" i="7"/>
  <c r="O139" i="7" s="1"/>
  <c r="P139" i="7" s="1"/>
  <c r="N140" i="7"/>
  <c r="O140" i="7" s="1"/>
  <c r="P140" i="7" s="1"/>
  <c r="N168" i="7"/>
  <c r="O168" i="7" s="1"/>
  <c r="P168" i="7" s="1"/>
  <c r="N169" i="7"/>
  <c r="O169" i="7" s="1"/>
  <c r="P169" i="7" s="1"/>
  <c r="N171" i="7"/>
  <c r="O171" i="7" s="1"/>
  <c r="P171" i="7" s="1"/>
  <c r="N194" i="7"/>
  <c r="O194" i="7" s="1"/>
  <c r="P194" i="7" s="1"/>
  <c r="N196" i="7"/>
  <c r="O196" i="7" s="1"/>
  <c r="P196" i="7" s="1"/>
  <c r="N197" i="7"/>
  <c r="O229" i="7"/>
  <c r="P229" i="7" s="1"/>
  <c r="N268" i="7"/>
  <c r="N296" i="7"/>
  <c r="N303" i="7"/>
  <c r="N314" i="7"/>
  <c r="O314" i="7" s="1"/>
  <c r="P314" i="7" s="1"/>
  <c r="N125" i="7"/>
  <c r="O125" i="7" s="1"/>
  <c r="P125" i="7" s="1"/>
  <c r="N141" i="7"/>
  <c r="O141" i="7" s="1"/>
  <c r="P141" i="7" s="1"/>
  <c r="N164" i="7"/>
  <c r="O164" i="7" s="1"/>
  <c r="P164" i="7" s="1"/>
  <c r="N165" i="7"/>
  <c r="O165" i="7" s="1"/>
  <c r="P165" i="7" s="1"/>
  <c r="N167" i="7"/>
  <c r="O167" i="7" s="1"/>
  <c r="P167" i="7" s="1"/>
  <c r="N193" i="7"/>
  <c r="O193" i="7" s="1"/>
  <c r="P193" i="7" s="1"/>
  <c r="N213" i="7"/>
  <c r="O213" i="7" s="1"/>
  <c r="P213" i="7" s="1"/>
  <c r="N216" i="7"/>
  <c r="O222" i="7"/>
  <c r="P222" i="7" s="1"/>
  <c r="N226" i="7"/>
  <c r="O226" i="7" s="1"/>
  <c r="P226" i="7" s="1"/>
  <c r="N253" i="7"/>
  <c r="N273" i="7"/>
  <c r="O273" i="7" s="1"/>
  <c r="P273" i="7" s="1"/>
  <c r="N283" i="7"/>
  <c r="N227" i="7"/>
  <c r="O227" i="7" s="1"/>
  <c r="P227" i="7" s="1"/>
  <c r="N230" i="7"/>
  <c r="O230" i="7" s="1"/>
  <c r="P230" i="7" s="1"/>
  <c r="N238" i="7"/>
  <c r="O238" i="7" s="1"/>
  <c r="P238" i="7" s="1"/>
  <c r="N241" i="7"/>
  <c r="O241" i="7" s="1"/>
  <c r="P241" i="7" s="1"/>
  <c r="N243" i="7"/>
  <c r="O243" i="7" s="1"/>
  <c r="P243" i="7" s="1"/>
  <c r="N304" i="7"/>
  <c r="O304" i="7" s="1"/>
  <c r="P304" i="7" s="1"/>
  <c r="N239" i="7"/>
  <c r="O239" i="7" s="1"/>
  <c r="P239" i="7" s="1"/>
  <c r="N309" i="7"/>
  <c r="O309" i="7" s="1"/>
  <c r="P309" i="7" s="1"/>
  <c r="N316" i="7"/>
  <c r="O316" i="7" s="1"/>
  <c r="P316" i="7" s="1"/>
  <c r="N203" i="7"/>
  <c r="O203" i="7" s="1"/>
  <c r="P203" i="7" s="1"/>
  <c r="N206" i="7"/>
  <c r="O206" i="7" s="1"/>
  <c r="P206" i="7" s="1"/>
  <c r="N235" i="7"/>
  <c r="O235" i="7" s="1"/>
  <c r="P235" i="7" s="1"/>
  <c r="N207" i="7"/>
  <c r="O207" i="7" s="1"/>
  <c r="P207" i="7" s="1"/>
  <c r="N210" i="7"/>
  <c r="O210" i="7" s="1"/>
  <c r="P210" i="7" s="1"/>
  <c r="N250" i="7"/>
  <c r="O250" i="7" s="1"/>
  <c r="P250" i="7" s="1"/>
  <c r="N251" i="7"/>
  <c r="O251" i="7" s="1"/>
  <c r="P251" i="7" s="1"/>
  <c r="N258" i="7"/>
  <c r="O258" i="7" s="1"/>
  <c r="P258" i="7" s="1"/>
  <c r="N259" i="7"/>
  <c r="O259" i="7" s="1"/>
  <c r="P259" i="7" s="1"/>
  <c r="N266" i="7"/>
  <c r="O266" i="7" s="1"/>
  <c r="P266" i="7" s="1"/>
  <c r="N267" i="7"/>
  <c r="O267" i="7" s="1"/>
  <c r="P267" i="7" s="1"/>
  <c r="N274" i="7"/>
  <c r="O274" i="7" s="1"/>
  <c r="P274" i="7" s="1"/>
  <c r="N275" i="7"/>
  <c r="O275" i="7" s="1"/>
  <c r="P275" i="7" s="1"/>
  <c r="N281" i="7"/>
  <c r="O281" i="7" s="1"/>
  <c r="P281" i="7" s="1"/>
  <c r="N282" i="7"/>
  <c r="O282" i="7" s="1"/>
  <c r="P282" i="7" s="1"/>
  <c r="N289" i="7"/>
  <c r="O289" i="7" s="1"/>
  <c r="P289" i="7" s="1"/>
  <c r="N290" i="7"/>
  <c r="O290" i="7" s="1"/>
  <c r="P290" i="7" s="1"/>
  <c r="N297" i="7"/>
  <c r="O297" i="7" s="1"/>
  <c r="P297" i="7" s="1"/>
  <c r="N298" i="7"/>
  <c r="O298" i="7" s="1"/>
  <c r="P298" i="7" s="1"/>
  <c r="N308" i="7"/>
  <c r="N211" i="7"/>
  <c r="O211" i="7" s="1"/>
  <c r="P211" i="7" s="1"/>
  <c r="N214" i="7"/>
  <c r="O214" i="7" s="1"/>
  <c r="P214" i="7" s="1"/>
  <c r="N313" i="7"/>
  <c r="O313" i="7" s="1"/>
  <c r="P313" i="7" s="1"/>
  <c r="E37" i="3"/>
  <c r="G37" i="3" s="1"/>
  <c r="L37" i="3" s="1"/>
  <c r="L77" i="3"/>
  <c r="L95" i="3"/>
  <c r="L60" i="3"/>
  <c r="L70" i="3"/>
  <c r="L80" i="3"/>
  <c r="L89" i="3"/>
  <c r="L43" i="3"/>
  <c r="L54" i="3"/>
  <c r="L51" i="3"/>
  <c r="L74" i="3"/>
  <c r="L83" i="3"/>
  <c r="L92" i="3"/>
  <c r="L98" i="3"/>
  <c r="L52" i="3"/>
  <c r="L55" i="3"/>
  <c r="L75" i="3"/>
  <c r="L86" i="3"/>
  <c r="L96" i="3"/>
  <c r="L99" i="3"/>
  <c r="O99" i="3" s="1"/>
  <c r="L49" i="3"/>
  <c r="L93" i="3"/>
  <c r="L47" i="3"/>
  <c r="O47" i="3" s="1"/>
  <c r="L53" i="3"/>
  <c r="L58" i="3"/>
  <c r="L61" i="3"/>
  <c r="L64" i="3"/>
  <c r="L71" i="3"/>
  <c r="L81" i="3"/>
  <c r="O81" i="3" s="1"/>
  <c r="L87" i="3"/>
  <c r="L90" i="3"/>
  <c r="L100" i="3"/>
  <c r="O100" i="3" s="1"/>
  <c r="L68" i="3"/>
  <c r="L76" i="3"/>
  <c r="L97" i="3"/>
  <c r="L101" i="3"/>
  <c r="L59" i="3"/>
  <c r="L65" i="3"/>
  <c r="L79" i="3"/>
  <c r="L82" i="3"/>
  <c r="O82" i="3" s="1"/>
  <c r="L88" i="3"/>
  <c r="L91" i="3"/>
  <c r="L102" i="3"/>
  <c r="E21" i="3"/>
  <c r="K38" i="3"/>
  <c r="G36" i="3"/>
  <c r="F21" i="12" l="1"/>
  <c r="F14" i="12"/>
  <c r="F23" i="12" s="1"/>
  <c r="E31" i="3"/>
  <c r="C31" i="3"/>
  <c r="K73" i="3"/>
  <c r="L66" i="3"/>
  <c r="O66" i="3" s="1"/>
  <c r="G80" i="10"/>
  <c r="F80" i="10"/>
  <c r="H80" i="10"/>
  <c r="F17" i="13"/>
  <c r="C17" i="3"/>
  <c r="K58" i="3"/>
  <c r="O58" i="3"/>
  <c r="K60" i="3"/>
  <c r="O60" i="3"/>
  <c r="K56" i="3"/>
  <c r="O56" i="3"/>
  <c r="K65" i="3"/>
  <c r="O65" i="3"/>
  <c r="K86" i="3"/>
  <c r="O86" i="3"/>
  <c r="K95" i="3"/>
  <c r="O95" i="3"/>
  <c r="K46" i="3"/>
  <c r="O46" i="3"/>
  <c r="K59" i="3"/>
  <c r="O59" i="3"/>
  <c r="K81" i="3"/>
  <c r="K47" i="3"/>
  <c r="K75" i="3"/>
  <c r="O75" i="3"/>
  <c r="K51" i="3"/>
  <c r="O51" i="3"/>
  <c r="K39" i="3"/>
  <c r="O39" i="3"/>
  <c r="K82" i="3"/>
  <c r="K49" i="3"/>
  <c r="O49" i="3"/>
  <c r="K90" i="3"/>
  <c r="O90" i="3"/>
  <c r="K83" i="3"/>
  <c r="O83" i="3"/>
  <c r="K45" i="3"/>
  <c r="O45" i="3"/>
  <c r="K53" i="3"/>
  <c r="O53" i="3"/>
  <c r="K74" i="3"/>
  <c r="O74" i="3"/>
  <c r="K102" i="3"/>
  <c r="O102" i="3"/>
  <c r="K55" i="3"/>
  <c r="O55" i="3"/>
  <c r="K54" i="3"/>
  <c r="O54" i="3"/>
  <c r="K91" i="3"/>
  <c r="O91" i="3"/>
  <c r="K97" i="3"/>
  <c r="O97" i="3"/>
  <c r="K93" i="3"/>
  <c r="O93" i="3"/>
  <c r="K52" i="3"/>
  <c r="O52" i="3"/>
  <c r="K43" i="3"/>
  <c r="O43" i="3"/>
  <c r="K77" i="3"/>
  <c r="O77" i="3"/>
  <c r="K50" i="3"/>
  <c r="O50" i="3"/>
  <c r="K64" i="3"/>
  <c r="O64" i="3"/>
  <c r="K80" i="3"/>
  <c r="O80" i="3"/>
  <c r="K96" i="3"/>
  <c r="O96" i="3"/>
  <c r="K87" i="3"/>
  <c r="O87" i="3"/>
  <c r="K44" i="3"/>
  <c r="O44" i="3"/>
  <c r="K101" i="3"/>
  <c r="O101" i="3"/>
  <c r="K88" i="3"/>
  <c r="O88" i="3"/>
  <c r="K76" i="3"/>
  <c r="O76" i="3"/>
  <c r="K71" i="3"/>
  <c r="O71" i="3"/>
  <c r="K67" i="3"/>
  <c r="O67" i="3"/>
  <c r="K40" i="3"/>
  <c r="O40" i="3"/>
  <c r="K89" i="3"/>
  <c r="O89" i="3"/>
  <c r="K42" i="3"/>
  <c r="O42" i="3"/>
  <c r="K68" i="3"/>
  <c r="O68" i="3"/>
  <c r="K98" i="3"/>
  <c r="O98" i="3"/>
  <c r="K63" i="3"/>
  <c r="O63" i="3"/>
  <c r="K84" i="3"/>
  <c r="O84" i="3"/>
  <c r="K79" i="3"/>
  <c r="O79" i="3"/>
  <c r="K100" i="3"/>
  <c r="K61" i="3"/>
  <c r="O61" i="3"/>
  <c r="K99" i="3"/>
  <c r="K92" i="3"/>
  <c r="O92" i="3"/>
  <c r="K70" i="3"/>
  <c r="O70" i="3"/>
  <c r="K37" i="3"/>
  <c r="O37" i="3"/>
  <c r="K62" i="3"/>
  <c r="O62" i="3"/>
  <c r="K78" i="3"/>
  <c r="O78" i="3"/>
  <c r="E41" i="3"/>
  <c r="G41" i="3" s="1"/>
  <c r="L41" i="3" s="1"/>
  <c r="P68" i="2"/>
  <c r="P147" i="2" s="1"/>
  <c r="P202" i="2" s="1"/>
  <c r="C103" i="3"/>
  <c r="E6" i="10"/>
  <c r="E22" i="4" s="1"/>
  <c r="D85" i="3" s="1"/>
  <c r="E85" i="3" s="1"/>
  <c r="L146" i="11"/>
  <c r="L78" i="10"/>
  <c r="R89" i="8"/>
  <c r="N71" i="8"/>
  <c r="N92" i="8" s="1"/>
  <c r="O71" i="8"/>
  <c r="U89" i="8"/>
  <c r="G57" i="3"/>
  <c r="L57" i="3" s="1"/>
  <c r="R69" i="8"/>
  <c r="S71" i="8"/>
  <c r="S94" i="8" s="1"/>
  <c r="U69" i="8"/>
  <c r="U19" i="8"/>
  <c r="T31" i="8"/>
  <c r="T71" i="8" s="1"/>
  <c r="R60" i="8"/>
  <c r="U56" i="8"/>
  <c r="U60" i="8" s="1"/>
  <c r="Q71" i="8"/>
  <c r="Q94" i="8" s="1"/>
  <c r="E17" i="3"/>
  <c r="U27" i="8"/>
  <c r="R31" i="8"/>
  <c r="U53" i="8"/>
  <c r="U21" i="8"/>
  <c r="U84" i="8"/>
  <c r="R53" i="8"/>
  <c r="P31" i="8"/>
  <c r="P71" i="8" s="1"/>
  <c r="R84" i="8"/>
  <c r="K325" i="7"/>
  <c r="O307" i="7"/>
  <c r="P307" i="7" s="1"/>
  <c r="O308" i="7"/>
  <c r="P308" i="7" s="1"/>
  <c r="L318" i="7"/>
  <c r="N276" i="7"/>
  <c r="O91" i="7"/>
  <c r="N301" i="7"/>
  <c r="O280" i="7"/>
  <c r="O26" i="7"/>
  <c r="P26" i="7" s="1"/>
  <c r="N89" i="7"/>
  <c r="O46" i="7"/>
  <c r="O34" i="7"/>
  <c r="P34" i="7" s="1"/>
  <c r="O284" i="7"/>
  <c r="P284" i="7" s="1"/>
  <c r="O288" i="7"/>
  <c r="P288" i="7" s="1"/>
  <c r="O296" i="7"/>
  <c r="P296" i="7" s="1"/>
  <c r="O38" i="7"/>
  <c r="P38" i="7" s="1"/>
  <c r="O50" i="7"/>
  <c r="P50" i="7" s="1"/>
  <c r="O265" i="7"/>
  <c r="P265" i="7" s="1"/>
  <c r="O291" i="7"/>
  <c r="P291" i="7" s="1"/>
  <c r="O268" i="7"/>
  <c r="P268" i="7" s="1"/>
  <c r="O269" i="7"/>
  <c r="P269" i="7" s="1"/>
  <c r="O78" i="7"/>
  <c r="P78" i="7" s="1"/>
  <c r="O260" i="7"/>
  <c r="P260" i="7" s="1"/>
  <c r="O204" i="7"/>
  <c r="P204" i="7" s="1"/>
  <c r="O12" i="7"/>
  <c r="N44" i="7"/>
  <c r="O253" i="7"/>
  <c r="P253" i="7" s="1"/>
  <c r="O283" i="7"/>
  <c r="P283" i="7" s="1"/>
  <c r="O216" i="7"/>
  <c r="P216" i="7" s="1"/>
  <c r="O249" i="7"/>
  <c r="P249" i="7" s="1"/>
  <c r="O292" i="7"/>
  <c r="P292" i="7" s="1"/>
  <c r="L276" i="7"/>
  <c r="J324" i="7" s="1"/>
  <c r="N318" i="7"/>
  <c r="O303" i="7"/>
  <c r="O299" i="7"/>
  <c r="P299" i="7" s="1"/>
  <c r="O197" i="7"/>
  <c r="P197" i="7" s="1"/>
  <c r="L301" i="7"/>
  <c r="L89" i="7"/>
  <c r="O47" i="7"/>
  <c r="P47" i="7" s="1"/>
  <c r="G21" i="3"/>
  <c r="G31" i="3" s="1"/>
  <c r="G17" i="3"/>
  <c r="F24" i="12" s="1"/>
  <c r="L11" i="3"/>
  <c r="L36" i="3"/>
  <c r="O36" i="3" s="1"/>
  <c r="U31" i="8" l="1"/>
  <c r="F25" i="12"/>
  <c r="F26" i="12" s="1"/>
  <c r="K66" i="3"/>
  <c r="E7" i="10"/>
  <c r="E18" i="5" s="1"/>
  <c r="F85" i="3" s="1"/>
  <c r="G85" i="3" s="1"/>
  <c r="L85" i="3" s="1"/>
  <c r="O85" i="3" s="1"/>
  <c r="C33" i="3"/>
  <c r="C107" i="3" s="1"/>
  <c r="K57" i="3"/>
  <c r="O57" i="3"/>
  <c r="K41" i="3"/>
  <c r="O41" i="3"/>
  <c r="P94" i="8"/>
  <c r="E10" i="4"/>
  <c r="U71" i="8"/>
  <c r="U92" i="8" s="1"/>
  <c r="E8" i="5"/>
  <c r="T94" i="8"/>
  <c r="E10" i="5"/>
  <c r="E12" i="4"/>
  <c r="E33" i="3"/>
  <c r="R71" i="8"/>
  <c r="R92" i="8" s="1"/>
  <c r="O276" i="7"/>
  <c r="P91" i="7"/>
  <c r="P276" i="7" s="1"/>
  <c r="J327" i="7"/>
  <c r="K327" i="7" s="1"/>
  <c r="K324" i="7"/>
  <c r="O89" i="7"/>
  <c r="P46" i="7"/>
  <c r="P89" i="7" s="1"/>
  <c r="N278" i="7"/>
  <c r="L325" i="7"/>
  <c r="J326" i="7"/>
  <c r="P303" i="7"/>
  <c r="P318" i="7" s="1"/>
  <c r="O318" i="7"/>
  <c r="P12" i="7"/>
  <c r="P44" i="7" s="1"/>
  <c r="O44" i="7"/>
  <c r="O301" i="7"/>
  <c r="P280" i="7"/>
  <c r="P301" i="7" s="1"/>
  <c r="L17" i="3"/>
  <c r="L33" i="3" s="1"/>
  <c r="K36" i="3"/>
  <c r="K21" i="3"/>
  <c r="G33" i="3"/>
  <c r="K31" i="3" l="1"/>
  <c r="K33" i="3" s="1"/>
  <c r="K34" i="3" s="1"/>
  <c r="C105" i="3"/>
  <c r="K85" i="3"/>
  <c r="P278" i="7"/>
  <c r="O278" i="7"/>
  <c r="F48" i="3"/>
  <c r="D48" i="3"/>
  <c r="E48" i="3" s="1"/>
  <c r="L327" i="7"/>
  <c r="K326" i="7"/>
  <c r="L326" i="7" s="1"/>
  <c r="J328" i="7"/>
  <c r="L34" i="3"/>
  <c r="D12" i="15" s="1"/>
  <c r="F12" i="15" s="1"/>
  <c r="G48" i="3" l="1"/>
  <c r="K328" i="7"/>
  <c r="L328" i="7"/>
  <c r="D69" i="3" s="1"/>
  <c r="E69" i="3" l="1"/>
  <c r="D103" i="3"/>
  <c r="D105" i="3" s="1"/>
  <c r="L48" i="3"/>
  <c r="O48" i="3" s="1"/>
  <c r="K48" i="3" l="1"/>
  <c r="G69" i="3"/>
  <c r="E103" i="3"/>
  <c r="O69" i="3" l="1"/>
  <c r="E107" i="3"/>
  <c r="E105" i="3"/>
  <c r="D20" i="20" l="1"/>
  <c r="E22" i="5" s="1"/>
  <c r="F72" i="3" s="1"/>
  <c r="G72" i="3" l="1"/>
  <c r="F103" i="3"/>
  <c r="F105" i="3" s="1"/>
  <c r="G103" i="3" l="1"/>
  <c r="L72" i="3"/>
  <c r="K72" i="3" s="1"/>
  <c r="K103" i="3" s="1"/>
  <c r="K107" i="3" l="1"/>
  <c r="K105" i="3"/>
  <c r="G107" i="3"/>
  <c r="G105" i="3"/>
  <c r="O72" i="3"/>
  <c r="O103" i="3" s="1"/>
  <c r="L103" i="3"/>
  <c r="L109" i="3" s="1"/>
  <c r="L107" i="3" l="1"/>
  <c r="L105" i="3"/>
  <c r="L111" i="3" l="1"/>
  <c r="L112" i="3" s="1"/>
  <c r="N11" i="3"/>
  <c r="O11" i="3" s="1"/>
  <c r="O17" i="3" s="1"/>
  <c r="O33" i="3" l="1"/>
  <c r="I24" i="12"/>
  <c r="H19" i="12" l="1"/>
  <c r="I19" i="12" s="1"/>
  <c r="H20" i="12"/>
  <c r="I20" i="12" s="1"/>
  <c r="I17" i="12"/>
  <c r="H18" i="12"/>
  <c r="I18" i="12" s="1"/>
  <c r="H11" i="12"/>
  <c r="I11" i="12" s="1"/>
  <c r="H13" i="12"/>
  <c r="I13" i="12" s="1"/>
  <c r="H12" i="12"/>
  <c r="I12" i="12" s="1"/>
  <c r="I10" i="12"/>
  <c r="O105" i="3"/>
  <c r="O107" i="3"/>
  <c r="I21" i="12" l="1"/>
  <c r="I14" i="12"/>
  <c r="I23" i="12" l="1"/>
  <c r="I25" i="12" s="1"/>
  <c r="I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Gabi Johnson</author>
  </authors>
  <commentList>
    <comment ref="L45" authorId="0" shapeId="0" xr:uid="{581C9956-57B3-4096-8D5F-123E4FC3C33E}">
      <text>
        <r>
          <rPr>
            <b/>
            <sz val="10"/>
            <color indexed="8"/>
            <rFont val="Tahoma"/>
            <family val="2"/>
          </rPr>
          <t>Gabi Johnson: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Includes retroactive raise, hours deducted, wage included</t>
        </r>
      </text>
    </comment>
  </commentList>
</comments>
</file>

<file path=xl/sharedStrings.xml><?xml version="1.0" encoding="utf-8"?>
<sst xmlns="http://schemas.openxmlformats.org/spreadsheetml/2006/main" count="1989" uniqueCount="1006">
  <si>
    <t>Arrow Launch Service</t>
  </si>
  <si>
    <t>Monthly Profit &amp; Loss</t>
  </si>
  <si>
    <t>For the year ended September 30, 2022</t>
  </si>
  <si>
    <t/>
  </si>
  <si>
    <t>Account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</si>
  <si>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</si>
  <si>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</si>
  <si>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</si>
  <si>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</si>
  <si>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</si>
  <si>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</si>
  <si>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</si>
  <si>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</si>
  <si>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</si>
  <si>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</si>
  <si>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</si>
  <si>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</si>
  <si>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Total</t>
  </si>
  <si>
    <t>Income</t>
  </si>
  <si>
    <t>30500N - Launch Sales</t>
  </si>
  <si>
    <t>30510S - Sales - Anacortes</t>
  </si>
  <si>
    <t>30511S - Freight-Anacortes</t>
  </si>
  <si>
    <t>30512S - Freight Deckhand-Anacortes</t>
  </si>
  <si>
    <t>30514S - Tariff Deckhand-Anacortes</t>
  </si>
  <si>
    <t>30515S - Sales - Bellingham</t>
  </si>
  <si>
    <t>30520S - Sales - Port Angeles</t>
  </si>
  <si>
    <t>30521S - Freight-Port Angeles</t>
  </si>
  <si>
    <t>30522S - Freight Deckhand-PA</t>
  </si>
  <si>
    <t>30523S - Tariff Deckhand-PA</t>
  </si>
  <si>
    <t>30530S - Sales - Seattle</t>
  </si>
  <si>
    <t>30531S - Freight-Seattle</t>
  </si>
  <si>
    <t>30532S - Freight Deckhand-Seattle</t>
  </si>
  <si>
    <t>30533S - Tariff Deckhand-Seattle</t>
  </si>
  <si>
    <t>30590S - Sales - Tacoma</t>
  </si>
  <si>
    <t>30591S - Freight-Tacoma</t>
  </si>
  <si>
    <t>30592S - Freight Deckhand-Tacoma</t>
  </si>
  <si>
    <t>30593S - Tariff Deckhand-Tacoma</t>
  </si>
  <si>
    <t>Total - 30500N - Launch Sales</t>
  </si>
  <si>
    <t>30505N - Assessorial Sales</t>
  </si>
  <si>
    <t>30506N - Ancillary</t>
  </si>
  <si>
    <t>30507N - Dumpster</t>
  </si>
  <si>
    <t>30508N - Port Charges</t>
  </si>
  <si>
    <t>Total - 30505N - Assessorial Sales</t>
  </si>
  <si>
    <t>30524S - Barge Rental</t>
  </si>
  <si>
    <t>30525S - Sales - Non-Regulated</t>
  </si>
  <si>
    <t>30526S - Sales- Fuel Surcharge Launches</t>
  </si>
  <si>
    <t>30540N - Warrior All Sales</t>
  </si>
  <si>
    <t>30540S - Sales - Warrior</t>
  </si>
  <si>
    <t>30541N - Sales Warrior</t>
  </si>
  <si>
    <t>30541S - Freight Deckhand-WARRIOR</t>
  </si>
  <si>
    <t>30542S - Crane - Warrior</t>
  </si>
  <si>
    <t>30543S - Forklift - Warrior</t>
  </si>
  <si>
    <t>30544S - Port Charges - Warrior</t>
  </si>
  <si>
    <t>30545S - Dumpster - Warrior</t>
  </si>
  <si>
    <t>Total - 30540N - Warrior All Sales</t>
  </si>
  <si>
    <t>30560N - Motega All Sales</t>
  </si>
  <si>
    <t>30560S - Sales - Motega</t>
  </si>
  <si>
    <t>30561N - Sales Motega</t>
  </si>
  <si>
    <t>30561S - Freight Deckhand - Motega</t>
  </si>
  <si>
    <t>30562S - Crane - Motega</t>
  </si>
  <si>
    <t>30563S - Forklift - Motega</t>
  </si>
  <si>
    <t>30564S - Port Charges - Motega</t>
  </si>
  <si>
    <t>30565S - Dumpster - Motega</t>
  </si>
  <si>
    <t>Total - 30560N - Motega All Sales</t>
  </si>
  <si>
    <t>30554 - Customs Fees</t>
  </si>
  <si>
    <t>30555 - Equipment Rental</t>
  </si>
  <si>
    <t>330 - Finance Charge Income</t>
  </si>
  <si>
    <t>345 - Miscellaneous Income</t>
  </si>
  <si>
    <t>71000S - Interest Income.OLD</t>
  </si>
  <si>
    <t>Total - Income</t>
  </si>
  <si>
    <t>Cost Of Sales</t>
  </si>
  <si>
    <t>40200 - Customs Fees Expense</t>
  </si>
  <si>
    <t>40220 - Security Costs- Port Angeles</t>
  </si>
  <si>
    <t>40300 - Direct Materials</t>
  </si>
  <si>
    <t>40310 - Port Charges- Anacortes</t>
  </si>
  <si>
    <t>40320 - Port Charges- Port Angeles</t>
  </si>
  <si>
    <t>40330 - Port Charges- Seattle</t>
  </si>
  <si>
    <t>40600 - Boat Oil</t>
  </si>
  <si>
    <t>40615 - Boat Fuel- Crow Arrow</t>
  </si>
  <si>
    <t>40620 - Boat Fuel- Sealth Arrow</t>
  </si>
  <si>
    <t>40640 - Boat Fuel- Warrior</t>
  </si>
  <si>
    <t>40650 - Boat Fuel- General</t>
  </si>
  <si>
    <t>40660 - Boat Fuel- Swift Arrow</t>
  </si>
  <si>
    <t>40665 - Boat Fuel - Pacific Arrow</t>
  </si>
  <si>
    <t>40670 - Boat Fuel- Sioux Arrow</t>
  </si>
  <si>
    <t>40685 - Boat Fuel- Motega</t>
  </si>
  <si>
    <t>40690 - Boat Fuel- Cheyenne Arrow</t>
  </si>
  <si>
    <t>40695 - Boat Fuel - Brave Arrow</t>
  </si>
  <si>
    <t>40696 - Boat Fuel - Hawk Arrow</t>
  </si>
  <si>
    <t>40697 - Boat Fuel - Falcon Arrow</t>
  </si>
  <si>
    <t>40710 - Moorage Launch Boats</t>
  </si>
  <si>
    <t>40710S - Moorage Anacortes</t>
  </si>
  <si>
    <t>40715S - Moorage Bellingham</t>
  </si>
  <si>
    <t>40720S - Moorage Port Angeles</t>
  </si>
  <si>
    <t>40730S - Moorage Seattle</t>
  </si>
  <si>
    <t>40750 - Moorage General</t>
  </si>
  <si>
    <t>40760 - Moorage Motega</t>
  </si>
  <si>
    <t>40790S - Moorage Tacoma</t>
  </si>
  <si>
    <t>40810 - Boat M &amp; R- Strait Arrow</t>
  </si>
  <si>
    <t>40815 - Boat M &amp; R- Crow Arrow</t>
  </si>
  <si>
    <t>40820 - Boat M &amp; R- Sealth Arrow</t>
  </si>
  <si>
    <t>40840 - Boat M &amp; R- Warrior</t>
  </si>
  <si>
    <t>40850 - Bulk Fleet Purchases</t>
  </si>
  <si>
    <t>40860 - Boat M &amp; R- Swift Arrow</t>
  </si>
  <si>
    <t>40865 - Boat M &amp; R - Pacific Arrow</t>
  </si>
  <si>
    <t>40870 - Boat M &amp; R- Sioux Arrow</t>
  </si>
  <si>
    <t>40875 - Boat M &amp; R - Chief Arrow</t>
  </si>
  <si>
    <t>40880 - Boat M &amp; R- Barges</t>
  </si>
  <si>
    <t>40885 - Boat M &amp; R- Motega</t>
  </si>
  <si>
    <t>40890 - Boat M &amp; R- Cheyenne Arrow</t>
  </si>
  <si>
    <t>40895 - Boat M &amp; R - Brave Arrow</t>
  </si>
  <si>
    <t>40896 - Boat M&amp;R- Hawk Arrow</t>
  </si>
  <si>
    <t>40897 - Boat M&amp;R- Falcon Arrow</t>
  </si>
  <si>
    <t>40950 - Boat Lease- General</t>
  </si>
  <si>
    <t>41010S - Truck &amp; Transport- Anacortes</t>
  </si>
  <si>
    <t>41020S - Truck &amp; Transport-Port Angeles</t>
  </si>
  <si>
    <t>41110 - Boat Supplies- Strait Arrow</t>
  </si>
  <si>
    <t>41115 - Boat Supplies- Crow Arrow</t>
  </si>
  <si>
    <t>41120 - Boat Supplies- Sealth Arrow</t>
  </si>
  <si>
    <t>41130 - Boat Supplies- Falcon Arrow</t>
  </si>
  <si>
    <t>41140 - Boat Supplies- Warrior</t>
  </si>
  <si>
    <t>41150 - Boat Supplies- General</t>
  </si>
  <si>
    <t>41160 - Boat Supplies- Swift Arrow</t>
  </si>
  <si>
    <t>41165 - Boat Supplies - Pacific Arrow</t>
  </si>
  <si>
    <t>41170 - Boat Supplies- Sioux Arrow</t>
  </si>
  <si>
    <t>41175 - Boat Supplies - Chief Arrow</t>
  </si>
  <si>
    <t>41185 - Boat Supplies- Motega</t>
  </si>
  <si>
    <t>41190 - Boat Supplies- Cheyenne Arrow</t>
  </si>
  <si>
    <t>41195 - Boat Supplies - Brave Arrow</t>
  </si>
  <si>
    <t>41215 - Equipment Rental- Bellingham</t>
  </si>
  <si>
    <t>41220 - Equipment Rental- Port Angeles</t>
  </si>
  <si>
    <t>41320S - Cust. Repair/Replace PA</t>
  </si>
  <si>
    <t>43110S - Salaries/Wages Anacortes</t>
  </si>
  <si>
    <t>43120S - Salaries/Wages Port Angeles</t>
  </si>
  <si>
    <t>43130S - Salaries/Wages Seattle</t>
  </si>
  <si>
    <t>43145 - Salaries/Wages Dispatch</t>
  </si>
  <si>
    <t>43190S - Salaries/Wages Tacoma</t>
  </si>
  <si>
    <t>43420 - Purchase Discounts- PA ALS</t>
  </si>
  <si>
    <t>43600 - FICA General</t>
  </si>
  <si>
    <t>43700 - FUTA General</t>
  </si>
  <si>
    <t>43800 - SUTA General</t>
  </si>
  <si>
    <t>43900 - L &amp; I/ Industrial Insurance</t>
  </si>
  <si>
    <t>47020S - Subcontractors Port Angeles</t>
  </si>
  <si>
    <t>47030S - Subcontractors Seattle</t>
  </si>
  <si>
    <t>50950 - Shop/Boat Maint</t>
  </si>
  <si>
    <t>Total - Cost Of Sales</t>
  </si>
  <si>
    <t>Gross Profit</t>
  </si>
  <si>
    <t>Expense</t>
  </si>
  <si>
    <t>30509N - Disposal Misc</t>
  </si>
  <si>
    <t>30610 - Sales/Pass-Thru Anacortes</t>
  </si>
  <si>
    <t>31500 - Early Payment Remittance Prem.</t>
  </si>
  <si>
    <t>50900 - Officers Wages</t>
  </si>
  <si>
    <t>51000 - Office Wages/ Salaries</t>
  </si>
  <si>
    <t>51100 - Retirement Match</t>
  </si>
  <si>
    <t>519 - Fees</t>
  </si>
  <si>
    <t>52000 - Advertising - ALS</t>
  </si>
  <si>
    <t>52300 - Amortization</t>
  </si>
  <si>
    <t>52400 - Accountant</t>
  </si>
  <si>
    <t>52500 - Attorney</t>
  </si>
  <si>
    <t>53000 - Auto Expense</t>
  </si>
  <si>
    <t>53500 - Bad Debts</t>
  </si>
  <si>
    <t>54000 - Bank Service Charges</t>
  </si>
  <si>
    <t>55000 - Contributions</t>
  </si>
  <si>
    <t>55500 - Depreciation</t>
  </si>
  <si>
    <t>55700 - Drug &amp; Alcohol Testing</t>
  </si>
  <si>
    <t>56000 - Dues</t>
  </si>
  <si>
    <t>56500 - Employee Benefits</t>
  </si>
  <si>
    <t>56700 - Employee Meals</t>
  </si>
  <si>
    <t>56800 - Crew Meals-On Water-On boat</t>
  </si>
  <si>
    <t>57000 - Entertainment/Meals</t>
  </si>
  <si>
    <t>57700 - Fuel</t>
  </si>
  <si>
    <t>58300 - Insurance</t>
  </si>
  <si>
    <t>58500 - Insurance- Vessel</t>
  </si>
  <si>
    <t>58600 - Insurance- Employee Medical</t>
  </si>
  <si>
    <t>60500 - Licenses/Permits</t>
  </si>
  <si>
    <t>61000 - Miscellaneous Expense</t>
  </si>
  <si>
    <t>61500 - Office Expense</t>
  </si>
  <si>
    <t>62000 - Postage</t>
  </si>
  <si>
    <t>62500 - Professional Fees</t>
  </si>
  <si>
    <t>63000 - Rent</t>
  </si>
  <si>
    <t>63200 - Repair/Maintenance Non Boat</t>
  </si>
  <si>
    <t>63300 - Repair/Maintenance Boom Truck</t>
  </si>
  <si>
    <t>63400 - Repair/Maintenance Shop Truck</t>
  </si>
  <si>
    <t>63500 - Repair/Maintenance General</t>
  </si>
  <si>
    <t>637 - Repair/Maintenance 2000 Ford</t>
  </si>
  <si>
    <t>63800 - Repair/Maintenance Forklifts</t>
  </si>
  <si>
    <t>64200 - Subscriptions</t>
  </si>
  <si>
    <t>64600 - Taxes- B &amp; O</t>
  </si>
  <si>
    <t>65500 - Communications Telephone/Radio</t>
  </si>
  <si>
    <t>65700 - Training</t>
  </si>
  <si>
    <t>66000 - Crew Relocation/Accomodations</t>
  </si>
  <si>
    <t>66500 - Uniforms</t>
  </si>
  <si>
    <t>67000 - Utilities</t>
  </si>
  <si>
    <t>81500 - Interest Expense</t>
  </si>
  <si>
    <t>81600 - Late Penalties</t>
  </si>
  <si>
    <t>82100 - Owner's Life Insurance</t>
  </si>
  <si>
    <t>Total - Expense</t>
  </si>
  <si>
    <t>Net Ordinary Income</t>
  </si>
  <si>
    <t>Results of Operations</t>
  </si>
  <si>
    <t xml:space="preserve">Allocated </t>
  </si>
  <si>
    <t>Per Books</t>
  </si>
  <si>
    <t>Restating</t>
  </si>
  <si>
    <t>Restated</t>
  </si>
  <si>
    <t>Pro Forma</t>
  </si>
  <si>
    <t>Allocation</t>
  </si>
  <si>
    <t>Non</t>
  </si>
  <si>
    <t xml:space="preserve">93% Oper </t>
  </si>
  <si>
    <t>TYE 09/30/2022</t>
  </si>
  <si>
    <t>Adjustments</t>
  </si>
  <si>
    <t>Results</t>
  </si>
  <si>
    <t>Method</t>
  </si>
  <si>
    <t>Regulated</t>
  </si>
  <si>
    <t>Ratio</t>
  </si>
  <si>
    <t>Regulated Revenue</t>
  </si>
  <si>
    <t>Sales</t>
  </si>
  <si>
    <t>Actual</t>
  </si>
  <si>
    <t>Freight</t>
  </si>
  <si>
    <t>Freight Deckhand</t>
  </si>
  <si>
    <t>Tariff Deckhand</t>
  </si>
  <si>
    <t>Ancillary</t>
  </si>
  <si>
    <t>Sales- Fuel Surcharge Launches</t>
  </si>
  <si>
    <t>Total Regulated Revenue</t>
  </si>
  <si>
    <t>Unregulated Revenue</t>
  </si>
  <si>
    <t>Dumpster</t>
  </si>
  <si>
    <t>Port Charges</t>
  </si>
  <si>
    <t>Barge Rental</t>
  </si>
  <si>
    <t>Sales - Non-Regulated</t>
  </si>
  <si>
    <t>Warrior</t>
  </si>
  <si>
    <t>Motega</t>
  </si>
  <si>
    <t>Customs Fees</t>
  </si>
  <si>
    <t>Equipment Rental</t>
  </si>
  <si>
    <t>Finance Charge Income</t>
  </si>
  <si>
    <t>Miscellaneous Income</t>
  </si>
  <si>
    <t>Interest Income.OLD</t>
  </si>
  <si>
    <t>Total Unregulated Revenue</t>
  </si>
  <si>
    <t>Total Revenue</t>
  </si>
  <si>
    <t>Expenses</t>
  </si>
  <si>
    <t>PAC</t>
  </si>
  <si>
    <t>Security Costs</t>
  </si>
  <si>
    <t>Direct Materials</t>
  </si>
  <si>
    <t>Boat Oil &amp; Fuel</t>
  </si>
  <si>
    <t>Op Hours</t>
  </si>
  <si>
    <t>Moorage</t>
  </si>
  <si>
    <t>Boat Maintenance &amp; Repair</t>
  </si>
  <si>
    <t>Bulk Fleet Purchases</t>
  </si>
  <si>
    <t>Truck &amp; Transport</t>
  </si>
  <si>
    <t>Boat Supplies</t>
  </si>
  <si>
    <t>Customer Repair/Replace PA</t>
  </si>
  <si>
    <t>Salaries/Wages</t>
  </si>
  <si>
    <t>Labor</t>
  </si>
  <si>
    <t>Puchase Discounts</t>
  </si>
  <si>
    <t>Payroll Taxes</t>
  </si>
  <si>
    <t>Subcontractors</t>
  </si>
  <si>
    <t>Shop/Boat Maint</t>
  </si>
  <si>
    <t>Disposal Misc.</t>
  </si>
  <si>
    <t xml:space="preserve">Sales/Pass-Thru </t>
  </si>
  <si>
    <t>Revenue</t>
  </si>
  <si>
    <t>Early Payment Remittance Prem.</t>
  </si>
  <si>
    <t>Officers Wages</t>
  </si>
  <si>
    <t>Office Wages/ Salaries</t>
  </si>
  <si>
    <t>Employee IRA Match</t>
  </si>
  <si>
    <t>Fees</t>
  </si>
  <si>
    <t>Advertising</t>
  </si>
  <si>
    <t>Amortization</t>
  </si>
  <si>
    <t>Accountant</t>
  </si>
  <si>
    <t>Attorney</t>
  </si>
  <si>
    <t>Auto Expense</t>
  </si>
  <si>
    <t>Bad Debts</t>
  </si>
  <si>
    <t>Bank Charges</t>
  </si>
  <si>
    <t>Contributions</t>
  </si>
  <si>
    <t>Depreciation</t>
  </si>
  <si>
    <t>Drug Testing</t>
  </si>
  <si>
    <t>Dues</t>
  </si>
  <si>
    <t>Employee Benefits</t>
  </si>
  <si>
    <t>Employee Meals</t>
  </si>
  <si>
    <t>Crew Meals - On Water-On Boat</t>
  </si>
  <si>
    <t>Entertainment/Meals</t>
  </si>
  <si>
    <t>Fuel</t>
  </si>
  <si>
    <t>Insurance - Vessel &amp; Vehicle</t>
  </si>
  <si>
    <t>Insurance - Employee Benefit</t>
  </si>
  <si>
    <t>Licenses/Permits</t>
  </si>
  <si>
    <t>Miscellaneous Expense</t>
  </si>
  <si>
    <t>Office Expense</t>
  </si>
  <si>
    <t>Postage</t>
  </si>
  <si>
    <t>Professional Fees</t>
  </si>
  <si>
    <t>Rent</t>
  </si>
  <si>
    <t>Repair/Maintenance non-boat</t>
  </si>
  <si>
    <t>Repair/Maintenance Boom Truck</t>
  </si>
  <si>
    <t>Repair/Maintenance Shop Truck</t>
  </si>
  <si>
    <t>Repair/Maintenance General</t>
  </si>
  <si>
    <t>Repair/Maintenance 2000 Ford</t>
  </si>
  <si>
    <t>Repair/Maintenance Forklifts</t>
  </si>
  <si>
    <t>Subscriptions</t>
  </si>
  <si>
    <t>Taxes- B &amp; O</t>
  </si>
  <si>
    <t>Telephone/Radio</t>
  </si>
  <si>
    <t>Training</t>
  </si>
  <si>
    <t>Crew Relocation/Accommodations</t>
  </si>
  <si>
    <t>Uniforms</t>
  </si>
  <si>
    <t>Utilities</t>
  </si>
  <si>
    <t>Interest Expense</t>
  </si>
  <si>
    <t>Late Penalties</t>
  </si>
  <si>
    <t>Owner's Life Insurance</t>
  </si>
  <si>
    <t>Total Expenses</t>
  </si>
  <si>
    <t>Net Income</t>
  </si>
  <si>
    <t>Operating Ratio Revenue Calculation</t>
  </si>
  <si>
    <t>Restating Adjustments</t>
  </si>
  <si>
    <t>Adjustment #</t>
  </si>
  <si>
    <t>Explanation</t>
  </si>
  <si>
    <t>Increase (Decrease)</t>
  </si>
  <si>
    <t>R-01</t>
  </si>
  <si>
    <t>Adjust book depreciation to regulatory depreciation</t>
  </si>
  <si>
    <t>R-02</t>
  </si>
  <si>
    <t>R-03</t>
  </si>
  <si>
    <t>R-04</t>
  </si>
  <si>
    <t>R-05</t>
  </si>
  <si>
    <t>R-06</t>
  </si>
  <si>
    <t>R-07</t>
  </si>
  <si>
    <t>R-08</t>
  </si>
  <si>
    <t>R-09</t>
  </si>
  <si>
    <t>R-10</t>
  </si>
  <si>
    <t>R-11</t>
  </si>
  <si>
    <t>R-12</t>
  </si>
  <si>
    <t>R-13</t>
  </si>
  <si>
    <t>R-14</t>
  </si>
  <si>
    <t>R-15</t>
  </si>
  <si>
    <t>Pro Forma Adjustments</t>
  </si>
  <si>
    <t>P-01</t>
  </si>
  <si>
    <t>P-02</t>
  </si>
  <si>
    <t>Adjustment for new hires and promotions</t>
  </si>
  <si>
    <t>P-03</t>
  </si>
  <si>
    <t>P-04</t>
  </si>
  <si>
    <t>P-05</t>
  </si>
  <si>
    <t>P-07</t>
  </si>
  <si>
    <t>P-08</t>
  </si>
  <si>
    <t>P-09</t>
  </si>
  <si>
    <t>P-10</t>
  </si>
  <si>
    <t>P-11</t>
  </si>
  <si>
    <t>P-12</t>
  </si>
  <si>
    <t>P-13</t>
  </si>
  <si>
    <t>P-14</t>
  </si>
  <si>
    <t>P-15</t>
  </si>
  <si>
    <t>Support</t>
  </si>
  <si>
    <t>Arrow Launch Service, Inc.</t>
  </si>
  <si>
    <t>Regulatory Depreciation Schedule</t>
  </si>
  <si>
    <t>Months in first year</t>
  </si>
  <si>
    <t>Months in second year</t>
  </si>
  <si>
    <t>A.</t>
  </si>
  <si>
    <t>Purchase date</t>
  </si>
  <si>
    <t>First year</t>
  </si>
  <si>
    <t>B.</t>
  </si>
  <si>
    <t>End of Test Period</t>
  </si>
  <si>
    <t>Second year</t>
  </si>
  <si>
    <t>C</t>
  </si>
  <si>
    <t>Date fully Depr</t>
  </si>
  <si>
    <t>D.</t>
  </si>
  <si>
    <t>Beg of Test Period</t>
  </si>
  <si>
    <t>Beginning</t>
  </si>
  <si>
    <t>Ending</t>
  </si>
  <si>
    <t>Date in</t>
  </si>
  <si>
    <t>Salvage</t>
  </si>
  <si>
    <t>Year</t>
  </si>
  <si>
    <t>Accumulated</t>
  </si>
  <si>
    <t>Service</t>
  </si>
  <si>
    <t>Value</t>
  </si>
  <si>
    <t>Life</t>
  </si>
  <si>
    <t>Fully</t>
  </si>
  <si>
    <t>Asset</t>
  </si>
  <si>
    <t>Monthly</t>
  </si>
  <si>
    <t>Test year</t>
  </si>
  <si>
    <t>%</t>
  </si>
  <si>
    <t>EOP</t>
  </si>
  <si>
    <t>Asset #</t>
  </si>
  <si>
    <t>Description</t>
  </si>
  <si>
    <t>Mo.</t>
  </si>
  <si>
    <t>Depreciated</t>
  </si>
  <si>
    <t>Cost</t>
  </si>
  <si>
    <t>Allo.</t>
  </si>
  <si>
    <t>Investment</t>
  </si>
  <si>
    <t>B</t>
  </si>
  <si>
    <t>C.</t>
  </si>
  <si>
    <t>OFFICE EQUIPMENT</t>
  </si>
  <si>
    <t>SL</t>
  </si>
  <si>
    <t>CANON 1C220 COPIER</t>
  </si>
  <si>
    <t>NETWORK SERVE-POE</t>
  </si>
  <si>
    <t>OFFICE WORKSTATIONS</t>
  </si>
  <si>
    <t>E DOCK SOFTWARE</t>
  </si>
  <si>
    <t>COMPUTER</t>
  </si>
  <si>
    <t>FLAT SCREEN MONITOR-LOB</t>
  </si>
  <si>
    <t>E DOCK SOFTWARE UPDATE</t>
  </si>
  <si>
    <t>PEACHTREE UPDATE</t>
  </si>
  <si>
    <t>CPI COMPUTER- OFFICE</t>
  </si>
  <si>
    <t>Office Furniture-Gabi's Office</t>
  </si>
  <si>
    <t>Copy Machine</t>
  </si>
  <si>
    <t>Telephone System</t>
  </si>
  <si>
    <t>Office Furniture</t>
  </si>
  <si>
    <t>Software Update</t>
  </si>
  <si>
    <t>Office Furniture-Angeles Furniture</t>
  </si>
  <si>
    <t>Storage Container</t>
  </si>
  <si>
    <t>Office Furniture-IKEA</t>
  </si>
  <si>
    <t>Helm-Software Update</t>
  </si>
  <si>
    <t>Photocopy Machine</t>
  </si>
  <si>
    <t>Peachtree Update</t>
  </si>
  <si>
    <t>Dell Computer</t>
  </si>
  <si>
    <t>Medical Testing Equipment</t>
  </si>
  <si>
    <t>Accounting Software</t>
  </si>
  <si>
    <t>Total Office Equipment</t>
  </si>
  <si>
    <t>VESSEL- WARRIOR</t>
  </si>
  <si>
    <t>U</t>
  </si>
  <si>
    <t>REBUILD-WARRIOR</t>
  </si>
  <si>
    <t>BOAT REPAIRS- WARRIOR</t>
  </si>
  <si>
    <t>WARRIOR ENGINE WORK</t>
  </si>
  <si>
    <t>TRANSMISSION-WARRIOR</t>
  </si>
  <si>
    <t>STEEL REPAIR- WARRIOR</t>
  </si>
  <si>
    <t>GEORGES DIESEL- WARRIOR</t>
  </si>
  <si>
    <t>Anchor Winch - Warrior</t>
  </si>
  <si>
    <t>Vessel - Motega</t>
  </si>
  <si>
    <t>Motega - Electrical</t>
  </si>
  <si>
    <t>Motega - Interior Lighting</t>
  </si>
  <si>
    <t>Motega - Hydraulic System</t>
  </si>
  <si>
    <t>Motega - Fire Detection System</t>
  </si>
  <si>
    <t>Motega - Video Surveillance System</t>
  </si>
  <si>
    <t>Motega - Cargo Tank Pump</t>
  </si>
  <si>
    <t>Motega-Cargo Fresh Water Pump</t>
  </si>
  <si>
    <t>Motega - Oil Boom</t>
  </si>
  <si>
    <t>Motega - Crane Scale</t>
  </si>
  <si>
    <t>Motega - New Steering System</t>
  </si>
  <si>
    <t>Motega - Crane Pump</t>
  </si>
  <si>
    <t>Motega-Rescue Ladder-Oil Boom</t>
  </si>
  <si>
    <t>Motega-Oil Boom &amp; Skiff Cover</t>
  </si>
  <si>
    <t>Motega-Rescue Lighting</t>
  </si>
  <si>
    <t>Motega-Haul &amp; Paint</t>
  </si>
  <si>
    <t>Motega-Refer &amp; Freezer</t>
  </si>
  <si>
    <t>Motega-Interior</t>
  </si>
  <si>
    <t>Motega-Boom Boat</t>
  </si>
  <si>
    <t>Motega-Rescue Suit</t>
  </si>
  <si>
    <t>Vacuum Tank &amp; Pump</t>
  </si>
  <si>
    <t>Motega-Z Drives</t>
  </si>
  <si>
    <t>Motega - Capital Improvements</t>
  </si>
  <si>
    <t>Motega - Z Drives</t>
  </si>
  <si>
    <t>Motega - Z Drive Improvements</t>
  </si>
  <si>
    <t>Pumps/Steam Cleaner for Vacuum System</t>
  </si>
  <si>
    <t>Motega Improvements</t>
  </si>
  <si>
    <t>Warrior - Capitalized Repairs</t>
  </si>
  <si>
    <t>Warrior - Winch</t>
  </si>
  <si>
    <t>Motega - Steel Plating</t>
  </si>
  <si>
    <t>Motega - Crane &amp; Electro Guard</t>
  </si>
  <si>
    <t>Engines - Warrior</t>
  </si>
  <si>
    <t>Total Unregulated Vessels</t>
  </si>
  <si>
    <t>Vessel - Crowe</t>
  </si>
  <si>
    <t>Vessel-Sioux</t>
  </si>
  <si>
    <t>Barge-Juneau</t>
  </si>
  <si>
    <t>Barge-Wolfpacker</t>
  </si>
  <si>
    <t>Sewage Tank</t>
  </si>
  <si>
    <t>VESSEL- CHEYENNE</t>
  </si>
  <si>
    <t>VESSEL - STRAIT</t>
  </si>
  <si>
    <t>Strait Arrow Radio Equipment</t>
  </si>
  <si>
    <t>FORK LIFT</t>
  </si>
  <si>
    <t>DIESEL PUMP</t>
  </si>
  <si>
    <t>TOTES</t>
  </si>
  <si>
    <t>VESSEL-STEALTH</t>
  </si>
  <si>
    <t>EQUIPMENT</t>
  </si>
  <si>
    <t>DUMPSTERS</t>
  </si>
  <si>
    <t>WELDER</t>
  </si>
  <si>
    <t>BOAT ENGINE- STRAIT</t>
  </si>
  <si>
    <t>FLYING FORKLIFTS</t>
  </si>
  <si>
    <t>BOOM TRUCK STABILIZERS</t>
  </si>
  <si>
    <t>TWO-WAY RADIO</t>
  </si>
  <si>
    <t>HONDA GENERATORS X2</t>
  </si>
  <si>
    <t>ENGINE REBUILD-STEALTH</t>
  </si>
  <si>
    <t>ENGINE REBUILD-SIOUX</t>
  </si>
  <si>
    <t>ENERPAC PIPE BENDER</t>
  </si>
  <si>
    <t>ARTICULATED BORESCOPE</t>
  </si>
  <si>
    <t>FORKLIFTS X2</t>
  </si>
  <si>
    <t>WELDER MODEL LN25</t>
  </si>
  <si>
    <t>TELEPHONE SYSTEM</t>
  </si>
  <si>
    <t>VESSEL- SWIFT 48'</t>
  </si>
  <si>
    <t>FORKLIFT- UR</t>
  </si>
  <si>
    <t>FORKLIFT- STRETCH</t>
  </si>
  <si>
    <t>WELDER 1/2 RED-D-ARC</t>
  </si>
  <si>
    <t>DROPBOX-CAPITAL IND</t>
  </si>
  <si>
    <t>RED-D-ARC WELDER</t>
  </si>
  <si>
    <t>2002 SPIRIT 9780 TRAILER</t>
  </si>
  <si>
    <t>CYLINDER RACK</t>
  </si>
  <si>
    <t>HYSTER H50XM FORKLIFT</t>
  </si>
  <si>
    <t>CYLINDER RACKS</t>
  </si>
  <si>
    <t>BOAT ADDITION</t>
  </si>
  <si>
    <t>TRANSMISSION- STRAIT</t>
  </si>
  <si>
    <t>BOAT REPAIRS-STRAIT</t>
  </si>
  <si>
    <t>BOAT REPAIRS- GENERAL</t>
  </si>
  <si>
    <t>BOAT REPAIRS- CHEYENNE</t>
  </si>
  <si>
    <t>BOAT REPAIRS- STEALTH</t>
  </si>
  <si>
    <t>HANDHELD RADIOS &amp; SUPPLIES</t>
  </si>
  <si>
    <t>AED RESCUE KITS X 6</t>
  </si>
  <si>
    <t>HYDRO CYLINDER REPLACEMENT</t>
  </si>
  <si>
    <t>BOAT REPAIRS- MISC UPGRADE</t>
  </si>
  <si>
    <t>BARGE DECK UPGRADES</t>
  </si>
  <si>
    <t>11 X 11 NETS X 4</t>
  </si>
  <si>
    <t>11 X 11 NETS X 6</t>
  </si>
  <si>
    <t>LIFESLING LIFTING TACKLE</t>
  </si>
  <si>
    <t>PFD LIGHTS</t>
  </si>
  <si>
    <t>HEMILIGHT PFD LIGHTS</t>
  </si>
  <si>
    <t>LIFESLING WHITE BAG X 8</t>
  </si>
  <si>
    <t>ENGINE REPAIRS- SOUND, SW</t>
  </si>
  <si>
    <t>LIFESLING LIFTING TACKLE X</t>
  </si>
  <si>
    <t>COLDWATER / ICE RESCUE SUIT</t>
  </si>
  <si>
    <t>PFD LIGHTS (ACR 3766)</t>
  </si>
  <si>
    <t>HEMILIGHTS PFD LIGHTS</t>
  </si>
  <si>
    <t>MISC REPAIRS- SWIFT</t>
  </si>
  <si>
    <t>GENERATORS</t>
  </si>
  <si>
    <t>BOAT REPAIRS</t>
  </si>
  <si>
    <t>BOAT REPAIRS- MISC</t>
  </si>
  <si>
    <t>11 X 11 NETS X 8</t>
  </si>
  <si>
    <t>4 NETS</t>
  </si>
  <si>
    <t>6- 11 X 11 NETS</t>
  </si>
  <si>
    <t>PORT MAIN ENGINE REBUILD</t>
  </si>
  <si>
    <t>INFLATABLE CREW BOAT</t>
  </si>
  <si>
    <t>COLD WATER / ICE SUITS</t>
  </si>
  <si>
    <t>SWIFT ARROW CONTROLS</t>
  </si>
  <si>
    <t>SWIFT ENGINE REBUILD</t>
  </si>
  <si>
    <t>BRAVE ARROW-NBV Depr over 3 yrs</t>
  </si>
  <si>
    <t>WARRIOR REPAIR</t>
  </si>
  <si>
    <t>NETS / STRAPS</t>
  </si>
  <si>
    <t>WINCH / MOUNT- BOOM TRUCK</t>
  </si>
  <si>
    <t>TRANSMISSION WORK - BOAT</t>
  </si>
  <si>
    <t>ACTUATOR- CHEYENNE ARROW</t>
  </si>
  <si>
    <t>ACTUATOR- SWIFT ARROW</t>
  </si>
  <si>
    <t>CONTROL HEAD- STRAIT ARROW</t>
  </si>
  <si>
    <t>CONTROL HEAD- STEALTH ARROW</t>
  </si>
  <si>
    <t>GLASS- BRAVE ARROW</t>
  </si>
  <si>
    <t>RADAR PARTS - BRAVE ARROW</t>
  </si>
  <si>
    <t>GARMIN- BRAVE ARROW</t>
  </si>
  <si>
    <t>PROP WORK</t>
  </si>
  <si>
    <t>FIRE EXTINGUISHERS</t>
  </si>
  <si>
    <t>ELECTRONICS- BRAVE</t>
  </si>
  <si>
    <t>LIFERAFT</t>
  </si>
  <si>
    <t>BOAT LAUNCH FEE</t>
  </si>
  <si>
    <t>HARRIS ELECTRIC- GARMIN 4</t>
  </si>
  <si>
    <t>HARRIS ELECTRIC- ANTENNA</t>
  </si>
  <si>
    <t>HARRIS ELECTRIC- COMNAV</t>
  </si>
  <si>
    <t>OLYMPIC SYNTHETIC PRODUT</t>
  </si>
  <si>
    <t>HARRIS ELECTRIC- ARPA RAD</t>
  </si>
  <si>
    <t>WIZTRONICS-RADIOS &amp; ANTENNA</t>
  </si>
  <si>
    <t>GEORGES DIESEL- 12-71 ENGINE</t>
  </si>
  <si>
    <t>GEORGES DIESEL- LEFT HAND</t>
  </si>
  <si>
    <t>GEORGES DIESEL- RIGHT HAND</t>
  </si>
  <si>
    <t>GEORGES DIESEL- TRANSMISSION</t>
  </si>
  <si>
    <t>GEORGES DIESEL- CONVERT</t>
  </si>
  <si>
    <t>GEORGES DIESEL- ASSEMBLE</t>
  </si>
  <si>
    <t>PINNACLE MARINE- ACTUATOR</t>
  </si>
  <si>
    <t>IDAHO TOTE TRAILER</t>
  </si>
  <si>
    <t>MARINE SANITATION-STRAIT</t>
  </si>
  <si>
    <t>EQUIPMENT UNLIMITED SUPPLY</t>
  </si>
  <si>
    <t>FLYING FORKS</t>
  </si>
  <si>
    <t>Actuator - Strait</t>
  </si>
  <si>
    <t>Olympic Synthetic 5 Nets - 20x20</t>
  </si>
  <si>
    <t>Marine Sanitation Devise-Crow</t>
  </si>
  <si>
    <t>Rebuild &amp; Welding on Crow</t>
  </si>
  <si>
    <t>10 3 Yard Dumpsters</t>
  </si>
  <si>
    <t>Eaton Motor - Warrior</t>
  </si>
  <si>
    <t>Propeller  - Sound Arrow</t>
  </si>
  <si>
    <t>Brave - Bilge Pump</t>
  </si>
  <si>
    <t>Pacific Arrow-Purchase</t>
  </si>
  <si>
    <t>Pacific Arrow Incidental Acquisition Costs-Trans</t>
  </si>
  <si>
    <t>Pacific Arrow-Use Tax</t>
  </si>
  <si>
    <t>Chief Arrow Purchase</t>
  </si>
  <si>
    <t>Chief Arrow-Incidental Acquisition Costs</t>
  </si>
  <si>
    <t>Chief Arrow-Use Tax</t>
  </si>
  <si>
    <t>Pacific Arrow-Improvements</t>
  </si>
  <si>
    <t>Pacific Arrow - Life raft</t>
  </si>
  <si>
    <t>Chief Arrow - Improvements</t>
  </si>
  <si>
    <t>Chief Arrow-Life raft</t>
  </si>
  <si>
    <t>Pacific-Improvements</t>
  </si>
  <si>
    <t>Engines for Sioux Arrow</t>
  </si>
  <si>
    <t>Wolfpacker Improvements</t>
  </si>
  <si>
    <t>Portable Storage Garage for Vacuum System</t>
  </si>
  <si>
    <t>Gooseneck Trailer</t>
  </si>
  <si>
    <t>Trailer</t>
  </si>
  <si>
    <t>Strait Arrow Capitalized Repairs</t>
  </si>
  <si>
    <t>Brave - Improvements</t>
  </si>
  <si>
    <t>Pacific Improvements</t>
  </si>
  <si>
    <t>Chief Improvements</t>
  </si>
  <si>
    <t>Sioux Arrow - Capitalized Repairs</t>
  </si>
  <si>
    <t>2010 Yale Forklift</t>
  </si>
  <si>
    <t>2014 LPG Mazda Forklift</t>
  </si>
  <si>
    <t>Brave - Capitalized Repairs</t>
  </si>
  <si>
    <t>Crow - Improvements</t>
  </si>
  <si>
    <t>Sealth Arrow - Imrpovements</t>
  </si>
  <si>
    <t>Pacific - Engine &amp; Improvements</t>
  </si>
  <si>
    <t>Cargo Netting</t>
  </si>
  <si>
    <t>Strait - Improvements</t>
  </si>
  <si>
    <t xml:space="preserve">Swift Arrow </t>
  </si>
  <si>
    <t>Brave Arrow - Capitalized Repairs</t>
  </si>
  <si>
    <t>Cheyenne - Capitalized Repairs</t>
  </si>
  <si>
    <t>Cheyenne-Aluminum Work</t>
  </si>
  <si>
    <t>Brave-Hydraulic Plumbing</t>
  </si>
  <si>
    <t>Swift-Exhaust System</t>
  </si>
  <si>
    <t>Sealth-Exhaust &amp; Engine Rebuild</t>
  </si>
  <si>
    <t>Pacific-Boarding Stairs</t>
  </si>
  <si>
    <t>Strait-Exhaust System</t>
  </si>
  <si>
    <t>Cheyenne - Engine Rebuild</t>
  </si>
  <si>
    <t>Vessel Falcon Arrow</t>
  </si>
  <si>
    <t>Vessel - Hawk Arrow</t>
  </si>
  <si>
    <t>Engines - Strait</t>
  </si>
  <si>
    <t>Engines - Sealth</t>
  </si>
  <si>
    <t>Engines - Pacific</t>
  </si>
  <si>
    <t>Engines - Sioux</t>
  </si>
  <si>
    <t>Hawk - Improvements</t>
  </si>
  <si>
    <t>Falcon - Improvements</t>
  </si>
  <si>
    <t xml:space="preserve">Brave-Paint/Exhaust </t>
  </si>
  <si>
    <t>Strait - Paint</t>
  </si>
  <si>
    <t>Sealth - Exhaust/Electrical Work/Windows</t>
  </si>
  <si>
    <t>Pacific - Engines-Transmissions</t>
  </si>
  <si>
    <t>Cheyenne-Engine</t>
  </si>
  <si>
    <t>Swift-Electrical Work</t>
  </si>
  <si>
    <t>Total Regulated Vessels</t>
  </si>
  <si>
    <t>Total Vessels and Equipment</t>
  </si>
  <si>
    <t>BOOM TRUCK</t>
  </si>
  <si>
    <t>1995 FORD F350</t>
  </si>
  <si>
    <t>SHOP UTILITY TRUCK</t>
  </si>
  <si>
    <t>CHEVY TRUCK</t>
  </si>
  <si>
    <t>2011 GMC YUKON XL- TRADE IN</t>
  </si>
  <si>
    <t>2010 GMC SIERRA</t>
  </si>
  <si>
    <t>AUTO REPAIRS- MISC</t>
  </si>
  <si>
    <t>CHEVY TRANSMISSION REPAIR</t>
  </si>
  <si>
    <t>2007 CHEVY C4500</t>
  </si>
  <si>
    <t>Cargo Trailer</t>
  </si>
  <si>
    <t>2013 Dodge Ram 3500</t>
  </si>
  <si>
    <t>1989 Ford Boom Truck</t>
  </si>
  <si>
    <t>2007 Dodge Pickup</t>
  </si>
  <si>
    <t>Boom Truck Improvements</t>
  </si>
  <si>
    <t>Boom Truck Rebuild</t>
  </si>
  <si>
    <t>Transit Van</t>
  </si>
  <si>
    <t>Boom Truck</t>
  </si>
  <si>
    <t>Dodge Ram Pickup</t>
  </si>
  <si>
    <t>Boom Truck - Rebuild</t>
  </si>
  <si>
    <t>Yale Forklift</t>
  </si>
  <si>
    <t>Total Service Vehicles</t>
  </si>
  <si>
    <t>BUILDING SUPPLIES</t>
  </si>
  <si>
    <t>BUILDING SUPPLIES- CABINET</t>
  </si>
  <si>
    <t>ABSOLUTE AIR-SHOP HEATER</t>
  </si>
  <si>
    <t>NUERA TECHNOLOGY</t>
  </si>
  <si>
    <t>FENCING</t>
  </si>
  <si>
    <t>Crane T-4-Primary Lease Term 5 year</t>
  </si>
  <si>
    <t>Office Remodel-Depr on Life on Lease</t>
  </si>
  <si>
    <t>Leasehold Imp-Office</t>
  </si>
  <si>
    <t>Parking Lot Improvement</t>
  </si>
  <si>
    <t>Shop Roof</t>
  </si>
  <si>
    <t>Total Facility Improvements</t>
  </si>
  <si>
    <t>Depreciation Allocation</t>
  </si>
  <si>
    <t>Unregulated</t>
  </si>
  <si>
    <t>Vessels</t>
  </si>
  <si>
    <t>Direct Allocation</t>
  </si>
  <si>
    <t>Office Equipment</t>
  </si>
  <si>
    <t>Allocated on Vessel Operating Hours</t>
  </si>
  <si>
    <t>Sevice Vehicles</t>
  </si>
  <si>
    <t>Real Estate</t>
  </si>
  <si>
    <t>per books</t>
  </si>
  <si>
    <t>Payroll</t>
  </si>
  <si>
    <t>Emp #</t>
  </si>
  <si>
    <t>Start</t>
  </si>
  <si>
    <t>Term</t>
  </si>
  <si>
    <t>Position</t>
  </si>
  <si>
    <t>Q4 2021</t>
  </si>
  <si>
    <t>Hours</t>
  </si>
  <si>
    <t>Q1 2022</t>
  </si>
  <si>
    <t>Q2 2022</t>
  </si>
  <si>
    <t>Q3 2022</t>
  </si>
  <si>
    <t>TY Wages</t>
  </si>
  <si>
    <t>TY Hours</t>
  </si>
  <si>
    <t>Deletions</t>
  </si>
  <si>
    <t>2/16/22 Raise</t>
  </si>
  <si>
    <t>Restated Wages</t>
  </si>
  <si>
    <t>1/1/23 Raise</t>
  </si>
  <si>
    <t>Additions</t>
  </si>
  <si>
    <t>Pro Forma Wages</t>
  </si>
  <si>
    <t>FT</t>
  </si>
  <si>
    <t>Captain</t>
  </si>
  <si>
    <t>PT</t>
  </si>
  <si>
    <t>Total Captains</t>
  </si>
  <si>
    <t>Deckhand</t>
  </si>
  <si>
    <t>Deckhand/Capt.</t>
  </si>
  <si>
    <t>Total Deckhands</t>
  </si>
  <si>
    <t>Shop</t>
  </si>
  <si>
    <t>Total Shop</t>
  </si>
  <si>
    <t>Dispatch</t>
  </si>
  <si>
    <t>Total Dispatch</t>
  </si>
  <si>
    <t>Total Boat Wages</t>
  </si>
  <si>
    <t>Office</t>
  </si>
  <si>
    <t>Office/Disp.</t>
  </si>
  <si>
    <t>Total Office Wages</t>
  </si>
  <si>
    <t>Officer</t>
  </si>
  <si>
    <t>Total Officer Wages</t>
  </si>
  <si>
    <t>Total Payroll</t>
  </si>
  <si>
    <t>Restating Adjustment</t>
  </si>
  <si>
    <t>Journal</t>
  </si>
  <si>
    <t>ALS_10_2021</t>
  </si>
  <si>
    <t>Phillips Burgess Phillips Burgess Government Relations</t>
  </si>
  <si>
    <t>lobbying</t>
  </si>
  <si>
    <t>ALS_11_2021</t>
  </si>
  <si>
    <t>MalMedical Review</t>
  </si>
  <si>
    <t>ALS_12_2021_IS</t>
  </si>
  <si>
    <t>ALS_02_2022</t>
  </si>
  <si>
    <t>Karen Rogers</t>
  </si>
  <si>
    <t>non-reg</t>
  </si>
  <si>
    <t>ALS_03_2022</t>
  </si>
  <si>
    <t>NATL Pollution</t>
  </si>
  <si>
    <t>Vendor Bill</t>
  </si>
  <si>
    <t>80888</t>
  </si>
  <si>
    <t>cics CICS Employment Services</t>
  </si>
  <si>
    <t>22-008</t>
  </si>
  <si>
    <t>Kalahiki Consulting Kalahiki Consulting LLC</t>
  </si>
  <si>
    <t>Check</t>
  </si>
  <si>
    <t>99429</t>
  </si>
  <si>
    <t>Karen Rogers Karen Rogers</t>
  </si>
  <si>
    <t>27167308</t>
  </si>
  <si>
    <t>express personnel Express Services, Inc.</t>
  </si>
  <si>
    <t>99431</t>
  </si>
  <si>
    <t>81147</t>
  </si>
  <si>
    <t>22-010</t>
  </si>
  <si>
    <t>99220</t>
  </si>
  <si>
    <t>99813</t>
  </si>
  <si>
    <t>81405</t>
  </si>
  <si>
    <t>22-016</t>
  </si>
  <si>
    <t>81900</t>
  </si>
  <si>
    <t>22-020</t>
  </si>
  <si>
    <t>27924831</t>
  </si>
  <si>
    <t>Total - 62500 - Professional Fees</t>
  </si>
  <si>
    <t>Rents</t>
  </si>
  <si>
    <t xml:space="preserve">Date </t>
  </si>
  <si>
    <t>Reference</t>
  </si>
  <si>
    <t>Trans. Description</t>
  </si>
  <si>
    <t>Amount</t>
  </si>
  <si>
    <t>914 Marine Dr</t>
  </si>
  <si>
    <t>916 Marine Dr</t>
  </si>
  <si>
    <t>T-4</t>
  </si>
  <si>
    <t xml:space="preserve">AMG* </t>
  </si>
  <si>
    <t>Misc</t>
  </si>
  <si>
    <t xml:space="preserve"> *formerly NH Diesel</t>
  </si>
  <si>
    <t>Anacortes Marine Group Lot 5 Storage</t>
  </si>
  <si>
    <t>Port Port Angeles 435 Marine Dr.</t>
  </si>
  <si>
    <t>Port Port Angeles 916 Marine Dr</t>
  </si>
  <si>
    <t>Port Port Angeles 914 Marine Dr</t>
  </si>
  <si>
    <t>Port Port Angeles T-4</t>
  </si>
  <si>
    <t>t4 11/21</t>
  </si>
  <si>
    <t>435 2/22</t>
  </si>
  <si>
    <t>916 2/22</t>
  </si>
  <si>
    <t>914 2/22</t>
  </si>
  <si>
    <t>t4 2/22</t>
  </si>
  <si>
    <t>15721</t>
  </si>
  <si>
    <t>Port PA Marine Terminal</t>
  </si>
  <si>
    <t>435 Marine</t>
  </si>
  <si>
    <t>916 Marine</t>
  </si>
  <si>
    <t xml:space="preserve">914 Marine </t>
  </si>
  <si>
    <t>t4 4/22</t>
  </si>
  <si>
    <t>Jack &amp; Terri Harmon Shop Rental 404 Ahlvers</t>
  </si>
  <si>
    <t>pro forma adjsutment</t>
  </si>
  <si>
    <t>non-regulated</t>
  </si>
  <si>
    <t>Anacortes</t>
  </si>
  <si>
    <t>Bellingham</t>
  </si>
  <si>
    <t>Port Angeles</t>
  </si>
  <si>
    <t>Seattle</t>
  </si>
  <si>
    <t>Everett</t>
  </si>
  <si>
    <t>Tacoma</t>
  </si>
  <si>
    <t>Das Vier, LLC</t>
  </si>
  <si>
    <t>Foss Waterway Marina</t>
  </si>
  <si>
    <t>PA Marine Moorage</t>
  </si>
  <si>
    <t>Port of Anacortes</t>
  </si>
  <si>
    <t>Port of Bellingham</t>
  </si>
  <si>
    <t>Port of Everett</t>
  </si>
  <si>
    <t xml:space="preserve">HN9814 </t>
  </si>
  <si>
    <t>Port of Seattle</t>
  </si>
  <si>
    <t>HM10004</t>
  </si>
  <si>
    <t>350</t>
  </si>
  <si>
    <t>372633</t>
  </si>
  <si>
    <t>183262</t>
  </si>
  <si>
    <t>183139</t>
  </si>
  <si>
    <t>992 12/21</t>
  </si>
  <si>
    <t>991 12/21</t>
  </si>
  <si>
    <t>970 12/21</t>
  </si>
  <si>
    <t>747 12/21</t>
  </si>
  <si>
    <t>24130</t>
  </si>
  <si>
    <t>HM10070</t>
  </si>
  <si>
    <t xml:space="preserve">1/22 373470 </t>
  </si>
  <si>
    <t>992 1/22</t>
  </si>
  <si>
    <t>HM10140</t>
  </si>
  <si>
    <t>184115</t>
  </si>
  <si>
    <t>992 2/22</t>
  </si>
  <si>
    <t>991 2/22</t>
  </si>
  <si>
    <t>970 2/22</t>
  </si>
  <si>
    <t>747 2/22</t>
  </si>
  <si>
    <t>26141 2/22</t>
  </si>
  <si>
    <t>24130 Feb 22</t>
  </si>
  <si>
    <t>992 3/1/22</t>
  </si>
  <si>
    <t>991 3/1/22</t>
  </si>
  <si>
    <t>970 3/1/22</t>
  </si>
  <si>
    <t>747 3/1/22</t>
  </si>
  <si>
    <t>INV26309</t>
  </si>
  <si>
    <t xml:space="preserve">HM10340 </t>
  </si>
  <si>
    <t>408</t>
  </si>
  <si>
    <t>375855 4/22</t>
  </si>
  <si>
    <t>184891</t>
  </si>
  <si>
    <t>185016</t>
  </si>
  <si>
    <t>992 4/22</t>
  </si>
  <si>
    <t>991 4/22</t>
  </si>
  <si>
    <t>970 4/22</t>
  </si>
  <si>
    <t>747 4/22</t>
  </si>
  <si>
    <t>RE022516</t>
  </si>
  <si>
    <t>14321 4/22</t>
  </si>
  <si>
    <t>10895</t>
  </si>
  <si>
    <t>24130 4/22</t>
  </si>
  <si>
    <t>HM10274</t>
  </si>
  <si>
    <t>HM10479</t>
  </si>
  <si>
    <t>18026</t>
  </si>
  <si>
    <t>992 6/22</t>
  </si>
  <si>
    <t>747 6/22</t>
  </si>
  <si>
    <t>991 6/22</t>
  </si>
  <si>
    <t>970 6/22</t>
  </si>
  <si>
    <t>14321 June</t>
  </si>
  <si>
    <t>24130 June</t>
  </si>
  <si>
    <t>HM10618</t>
  </si>
  <si>
    <t>991 July</t>
  </si>
  <si>
    <t>970 July</t>
  </si>
  <si>
    <t>992 July</t>
  </si>
  <si>
    <t>747 July</t>
  </si>
  <si>
    <t>August Moorage</t>
  </si>
  <si>
    <t>970 8/22</t>
  </si>
  <si>
    <t>747 8/22</t>
  </si>
  <si>
    <t>991 8/22</t>
  </si>
  <si>
    <t>992 8/22</t>
  </si>
  <si>
    <t>14321 8/22</t>
  </si>
  <si>
    <t>24130 8/22</t>
  </si>
  <si>
    <t>P380340</t>
  </si>
  <si>
    <t>Out of period</t>
  </si>
  <si>
    <t>Price Out</t>
  </si>
  <si>
    <t>Revenue at Proposed Rates</t>
  </si>
  <si>
    <t>Launches</t>
  </si>
  <si>
    <t>Overtime Launches</t>
  </si>
  <si>
    <t>Holiday Launches</t>
  </si>
  <si>
    <t>Overtime Holiday Launches</t>
  </si>
  <si>
    <t>Total Launches</t>
  </si>
  <si>
    <t>Deckhand(s)</t>
  </si>
  <si>
    <t>Overtime Deckhand(s)</t>
  </si>
  <si>
    <t>Holiday Deckhand(s)</t>
  </si>
  <si>
    <t>Overtime Holiday Deckhand(s)</t>
  </si>
  <si>
    <t>Total Deckhand</t>
  </si>
  <si>
    <t>Current Revenue per Price Out</t>
  </si>
  <si>
    <t>Difference</t>
  </si>
  <si>
    <t>Percentage</t>
  </si>
  <si>
    <t>Total Accounting Costs MEI Case</t>
  </si>
  <si>
    <t>Amortize over 5 years</t>
  </si>
  <si>
    <t>Per Year Amount</t>
  </si>
  <si>
    <t>Rate Period Amortization began 3-1-18</t>
  </si>
  <si>
    <t>Total Attorney Costs MEI Case</t>
  </si>
  <si>
    <t xml:space="preserve">Allocation Statistics </t>
  </si>
  <si>
    <t>Test Period Ending September 30, 2022</t>
  </si>
  <si>
    <t>Non-Regulated</t>
  </si>
  <si>
    <t>Vessel Operating Hours (1)</t>
  </si>
  <si>
    <t>Vessel Labor Hours (2)</t>
  </si>
  <si>
    <t>Revenue (3)</t>
  </si>
  <si>
    <t>Previously Allocated Costs (4)</t>
  </si>
  <si>
    <t>(1)</t>
  </si>
  <si>
    <t>Engine Hours is used to allocate fuel, repairs and boat supplies</t>
  </si>
  <si>
    <t>(2)</t>
  </si>
  <si>
    <t>Captain and Deckhand Hours are used to allocate payroll and related costs, officer wages and employee benefits</t>
  </si>
  <si>
    <t>(3)</t>
  </si>
  <si>
    <t>Revenue is used to allocate Washington B&amp;O Taxes, but is not included in the PAC Calculation</t>
  </si>
  <si>
    <t>(4)</t>
  </si>
  <si>
    <t>Previously Allocated Costs used to allocate all other costs</t>
  </si>
  <si>
    <t>Engine Hours</t>
  </si>
  <si>
    <t>Hours by Engine</t>
  </si>
  <si>
    <t>P</t>
  </si>
  <si>
    <t>S</t>
  </si>
  <si>
    <t>Combined</t>
  </si>
  <si>
    <t>Brave</t>
  </si>
  <si>
    <t>Cheyenne</t>
  </si>
  <si>
    <t>Chief</t>
  </si>
  <si>
    <t>Crow*</t>
  </si>
  <si>
    <t>Falcon</t>
  </si>
  <si>
    <t>Hawk</t>
  </si>
  <si>
    <t>Pacific</t>
  </si>
  <si>
    <t>Sealth</t>
  </si>
  <si>
    <t>Sioux</t>
  </si>
  <si>
    <t>Strait</t>
  </si>
  <si>
    <t>Swift</t>
  </si>
  <si>
    <t>*Single Engine Boat</t>
  </si>
  <si>
    <t>Source: WH Log Hour Meter Entries</t>
  </si>
  <si>
    <t>JA Johnson</t>
  </si>
  <si>
    <t>Crew Labor Hours by Vessel Type</t>
  </si>
  <si>
    <t>Hour Multiplier</t>
  </si>
  <si>
    <t>Weighted Hours</t>
  </si>
  <si>
    <t>Holiday (2x)</t>
  </si>
  <si>
    <t>Premium (1.5)</t>
  </si>
  <si>
    <t>Regular (1x)</t>
  </si>
  <si>
    <t>Special (2x)</t>
  </si>
  <si>
    <t>Travel (1x)</t>
  </si>
  <si>
    <t>Total Non-Regulated</t>
  </si>
  <si>
    <t>Total Regulated</t>
  </si>
  <si>
    <r>
      <rPr>
        <b/>
        <sz val="9"/>
        <color theme="1"/>
        <rFont val="Calibri"/>
        <family val="2"/>
        <scheme val="minor"/>
      </rPr>
      <t>Non-Regulated Vessels</t>
    </r>
    <r>
      <rPr>
        <sz val="9"/>
        <rFont val="Arial"/>
        <family val="2"/>
      </rPr>
      <t xml:space="preserve"> incl. MOTEGA, WARRIOR, WOLFPACKER</t>
    </r>
  </si>
  <si>
    <r>
      <rPr>
        <b/>
        <sz val="9"/>
        <color theme="1"/>
        <rFont val="Calibri"/>
        <family val="2"/>
        <scheme val="minor"/>
      </rPr>
      <t>Regulated Vessels</t>
    </r>
    <r>
      <rPr>
        <sz val="9"/>
        <rFont val="Arial"/>
        <family val="2"/>
      </rPr>
      <t xml:space="preserve"> All Others</t>
    </r>
  </si>
  <si>
    <t>2021 - 2022 Insurance Policy Cost Analysis</t>
  </si>
  <si>
    <t>Policy</t>
  </si>
  <si>
    <t>Rating Basis</t>
  </si>
  <si>
    <t>Policy Total</t>
  </si>
  <si>
    <t>ALS</t>
  </si>
  <si>
    <t>AMS</t>
  </si>
  <si>
    <t>Notes</t>
  </si>
  <si>
    <t>Marine General liablity</t>
  </si>
  <si>
    <t>Hull</t>
  </si>
  <si>
    <t>Vessels (ALS)</t>
  </si>
  <si>
    <t>USL&amp;H</t>
  </si>
  <si>
    <t>Classification of Duties</t>
  </si>
  <si>
    <t>boat build - ALS; Stevedoring - AMS</t>
  </si>
  <si>
    <t>Oil Spill Liability (COFR)</t>
  </si>
  <si>
    <t>Pollution</t>
  </si>
  <si>
    <t>Auto</t>
  </si>
  <si>
    <t>Per Scheduled Autos</t>
  </si>
  <si>
    <t>Aviation (Renews Dec 7)</t>
  </si>
  <si>
    <t>Use (ALS)</t>
  </si>
  <si>
    <t>Package</t>
  </si>
  <si>
    <t>Insured Values</t>
  </si>
  <si>
    <t>Executive Risk</t>
  </si>
  <si>
    <t>Property</t>
  </si>
  <si>
    <t>Subtotal Premium</t>
  </si>
  <si>
    <t>Bumbershoot/Excess</t>
  </si>
  <si>
    <t>Per Dollar of Premium</t>
  </si>
  <si>
    <t>Per Month</t>
  </si>
  <si>
    <t>Pro Forma Adjustment</t>
  </si>
  <si>
    <t>Dockets TS-160479 &amp; TS-200065</t>
  </si>
  <si>
    <t>% of sales</t>
  </si>
  <si>
    <t>Basis: CY 2020 #s</t>
  </si>
  <si>
    <t>2022 - 2023 Insurance Policy Cost Analysis</t>
  </si>
  <si>
    <t>from 2021-2022 Insurance Breakdown</t>
  </si>
  <si>
    <t>To adjust rate year expenses for increased rent expense</t>
  </si>
  <si>
    <t>To adjust rate year expenses for increased insurance expense</t>
  </si>
  <si>
    <t>UTC Fees</t>
  </si>
  <si>
    <t>UTC Regulatory Fees &amp; Rate Case Costs</t>
  </si>
  <si>
    <t>Restating entry to remove UTC Fees from Boat M&amp;R</t>
  </si>
  <si>
    <t>Restating entry to identify UTC Fees</t>
  </si>
  <si>
    <t>Revenue Requirement Increase</t>
  </si>
  <si>
    <t>UTC Fee</t>
  </si>
  <si>
    <t>UTC Regulatory Fees</t>
  </si>
  <si>
    <t>to correct accounting error for incorrect entry</t>
  </si>
  <si>
    <t xml:space="preserve">Restating Adjustments: </t>
  </si>
  <si>
    <t>Pro Forma Adjustment:</t>
  </si>
  <si>
    <t>to account for increased UTC fees for new revenue requirement</t>
  </si>
  <si>
    <t>Rate Case Costs</t>
  </si>
  <si>
    <t>Attorney Expenses</t>
  </si>
  <si>
    <t>Accounting Expenses</t>
  </si>
  <si>
    <t>Total Current Rate Case Expenses</t>
  </si>
  <si>
    <t>Amort - 2 years</t>
  </si>
  <si>
    <t>To record amortization of current rate case attorney expenses</t>
  </si>
  <si>
    <t>To record amortization of current rate case accounting expenses</t>
  </si>
  <si>
    <t>To adjust B&amp;O taxes for new revenue requirement</t>
  </si>
  <si>
    <t>To adjust regulatory fees for new revenue requirement</t>
  </si>
  <si>
    <t>B&amp;O Taxes</t>
  </si>
  <si>
    <t>to account for increased B&amp;O taxes for new revenue requirement</t>
  </si>
  <si>
    <t>B&amp;O Tax Rate</t>
  </si>
  <si>
    <t>Annualize raises given 2/16/22 to vessel employees</t>
  </si>
  <si>
    <t>Annualize raises given 2/16/22 to officers</t>
  </si>
  <si>
    <t>Remove terminated vessel employees</t>
  </si>
  <si>
    <t>Remove terminated admin employees</t>
  </si>
  <si>
    <t>Annualize raises given 2/16/22 to admin employees</t>
  </si>
  <si>
    <t>Remove non-regulated and unallowable expenses</t>
  </si>
  <si>
    <t>Remove unregulated rent expenses</t>
  </si>
  <si>
    <t xml:space="preserve">Remove out-of-period morrage expenses </t>
  </si>
  <si>
    <t>Amortization of MEI certificate case accounting expense</t>
  </si>
  <si>
    <t>Amortization of MEI certificate case attorney expense</t>
  </si>
  <si>
    <t>Correct an accounting error - regulatory fees posted to incorrect account</t>
  </si>
  <si>
    <t>Adjustment for new vessel hires and promotions</t>
  </si>
  <si>
    <t>Adjustment for 1/1/2023 raises for vessel employees</t>
  </si>
  <si>
    <t>Adjustment for 1/1/2023 raises for officers</t>
  </si>
  <si>
    <t>Adjustment for 1/1/2023 raises for admin employees</t>
  </si>
  <si>
    <t xml:space="preserve">Chief </t>
  </si>
  <si>
    <t>Crow</t>
  </si>
  <si>
    <t>Fuel Expenses</t>
  </si>
  <si>
    <t>Vessel</t>
  </si>
  <si>
    <t>Other</t>
  </si>
  <si>
    <t>Avg Cost/Gallon</t>
  </si>
  <si>
    <t>Gallons</t>
  </si>
  <si>
    <t>Totals</t>
  </si>
  <si>
    <t>January 2023 Average Price of Fuel</t>
  </si>
  <si>
    <t>Pro Forma Fuel Expense</t>
  </si>
  <si>
    <t>To adjust fuel expense for the rate year</t>
  </si>
  <si>
    <t>MEI Certificate Case - Accouting &amp; Attorney Costs</t>
  </si>
  <si>
    <t xml:space="preserve">Port Angeles Increase </t>
  </si>
  <si>
    <t>Port Angeles Rent Increase</t>
  </si>
  <si>
    <t>p-14</t>
  </si>
  <si>
    <t>To adjust rate year expense for increased moorage expense</t>
  </si>
  <si>
    <t>53800 - Bank Loan Fees</t>
  </si>
  <si>
    <t>Bank Loan Fees</t>
  </si>
  <si>
    <t>65000 - Taxes- Other</t>
  </si>
  <si>
    <t>Taxes - Other</t>
  </si>
  <si>
    <t>Remove out-of-period adjustment</t>
  </si>
  <si>
    <t>Proposed Revenue Requirement</t>
  </si>
  <si>
    <t>Tariff Rate</t>
  </si>
  <si>
    <t>TY Revenue</t>
  </si>
  <si>
    <t>TY per books Revenue</t>
  </si>
  <si>
    <t>Proposed Tariff Rate</t>
  </si>
  <si>
    <t>Proposed Revenue</t>
  </si>
  <si>
    <t>increase</t>
  </si>
  <si>
    <t>Test Period Tariff Billing Activity</t>
  </si>
  <si>
    <t>Grand Total</t>
  </si>
  <si>
    <t>Industry Increase</t>
  </si>
  <si>
    <t>Depr</t>
  </si>
  <si>
    <t>Sched</t>
  </si>
  <si>
    <t>Total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</si>
</sst>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[$-409]mmmm\ d\,\ yyyy;@"/>
    <numFmt numFmtId="167" formatCode="0.00;[Red]0.00"/>
    <numFmt numFmtId="168" formatCode="yyyy\-mm\-dd;@"/>
    <numFmt numFmtId="169" formatCode="[$-409]mmmm\-yy;@"/>
    <numFmt numFmtId="170" formatCode="_(* #,##0.0_);_(* \(#,##0.0\);_(* &quot;-&quot;??_);_(@_)"/>
    <numFmt numFmtId="171" formatCode="_(* #,##0.000_);_(* \(#,##0.000\);_(* &quot;-&quot;??_);_(@_)"/>
    <numFmt numFmtId="172" formatCode="_(* #,##0.000000_);_(* \(#,##0.000000\);_(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48"/>
      <name val="Arial"/>
      <family val="2"/>
    </font>
    <font>
      <sz val="12"/>
      <name val="Arial"/>
      <family val="2"/>
    </font>
    <font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2"/>
      <color indexed="52"/>
      <name val="Calibri"/>
      <family val="2"/>
    </font>
    <font>
      <sz val="18"/>
      <color indexed="54"/>
      <name val="Calibri Light"/>
      <family val="2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indexed="5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3"/>
      <color indexed="54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ashed">
        <color rgb="FFCCCCCC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/>
    <xf numFmtId="0" fontId="22" fillId="0" borderId="0"/>
    <xf numFmtId="43" fontId="22" fillId="0" borderId="0" applyFont="0" applyFill="0" applyBorder="0" applyAlignment="0" applyProtection="0"/>
    <xf numFmtId="0" fontId="23" fillId="2" borderId="0" applyNumberFormat="0" applyBorder="0" applyAlignment="0" applyProtection="0"/>
    <xf numFmtId="0" fontId="26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0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11" borderId="0" applyNumberFormat="0" applyBorder="0" applyAlignment="0" applyProtection="0"/>
    <xf numFmtId="0" fontId="46" fillId="29" borderId="0" applyNumberFormat="0" applyBorder="0" applyAlignment="0" applyProtection="0"/>
    <xf numFmtId="0" fontId="46" fillId="16" borderId="0" applyNumberFormat="0" applyBorder="0" applyAlignment="0" applyProtection="0"/>
    <xf numFmtId="0" fontId="46" fillId="26" borderId="0" applyNumberFormat="0" applyBorder="0" applyAlignment="0" applyProtection="0"/>
    <xf numFmtId="0" fontId="47" fillId="30" borderId="0" applyNumberFormat="0" applyBorder="0" applyAlignment="0" applyProtection="0"/>
    <xf numFmtId="0" fontId="48" fillId="20" borderId="12" applyNumberFormat="0" applyAlignment="0" applyProtection="0"/>
    <xf numFmtId="0" fontId="49" fillId="9" borderId="14" applyNumberFormat="0" applyAlignment="0" applyProtection="0"/>
    <xf numFmtId="0" fontId="50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42" fillId="0" borderId="15" applyNumberFormat="0" applyFill="0" applyAlignment="0" applyProtection="0"/>
    <xf numFmtId="0" fontId="51" fillId="0" borderId="11" applyNumberFormat="0" applyFill="0" applyAlignment="0" applyProtection="0"/>
    <xf numFmtId="0" fontId="43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52" fillId="20" borderId="12" applyNumberFormat="0" applyAlignment="0" applyProtection="0"/>
    <xf numFmtId="0" fontId="44" fillId="0" borderId="17" applyNumberFormat="0" applyFill="0" applyAlignment="0" applyProtection="0"/>
    <xf numFmtId="0" fontId="11" fillId="4" borderId="1" applyNumberFormat="0" applyFont="0" applyAlignment="0" applyProtection="0"/>
    <xf numFmtId="0" fontId="53" fillId="20" borderId="13" applyNumberFormat="0" applyAlignment="0" applyProtection="0"/>
    <xf numFmtId="0" fontId="45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54" fillId="0" borderId="0" applyNumberFormat="0" applyFill="0" applyBorder="0" applyAlignment="0" applyProtection="0"/>
  </cellStyleXfs>
  <cellXfs count="328">
    <xf numFmtId="0" fontId="0" fillId="0" borderId="0" xfId="0"/>
    <xf numFmtId="0" fontId="6" fillId="0" borderId="0" xfId="1" applyFont="1"/>
    <xf numFmtId="0" fontId="7" fillId="0" borderId="0" xfId="1" applyFont="1"/>
    <xf numFmtId="0" fontId="8" fillId="0" borderId="0" xfId="1" applyFont="1"/>
    <xf numFmtId="0" fontId="10" fillId="0" borderId="0" xfId="1" applyFont="1"/>
    <xf numFmtId="0" fontId="9" fillId="0" borderId="0" xfId="1" applyFont="1" applyAlignment="1">
      <alignment horizontal="centerContinuous"/>
    </xf>
    <xf numFmtId="164" fontId="9" fillId="0" borderId="0" xfId="2" applyNumberFormat="1" applyFont="1" applyAlignment="1">
      <alignment horizontal="centerContinuous"/>
    </xf>
    <xf numFmtId="0" fontId="9" fillId="5" borderId="0" xfId="1" applyFont="1" applyFill="1" applyAlignment="1">
      <alignment horizontal="left"/>
    </xf>
    <xf numFmtId="164" fontId="9" fillId="5" borderId="0" xfId="2" applyNumberFormat="1" applyFont="1" applyFill="1" applyAlignment="1">
      <alignment horizontal="right"/>
    </xf>
    <xf numFmtId="0" fontId="12" fillId="0" borderId="0" xfId="1" applyFont="1" applyAlignment="1">
      <alignment horizontal="left" vertical="center"/>
    </xf>
    <xf numFmtId="164" fontId="12" fillId="0" borderId="0" xfId="2" applyNumberFormat="1" applyFont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right" vertic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 vertical="center"/>
    </xf>
    <xf numFmtId="164" fontId="13" fillId="0" borderId="0" xfId="2" applyNumberFormat="1" applyFont="1" applyBorder="1" applyAlignment="1">
      <alignment horizontal="right" vertical="center"/>
    </xf>
    <xf numFmtId="164" fontId="13" fillId="0" borderId="0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 indent="1"/>
    </xf>
    <xf numFmtId="164" fontId="7" fillId="0" borderId="0" xfId="2" applyNumberFormat="1" applyFont="1" applyBorder="1" applyAlignment="1">
      <alignment horizontal="right" vertical="center"/>
    </xf>
    <xf numFmtId="164" fontId="7" fillId="0" borderId="0" xfId="2" applyNumberFormat="1" applyFont="1" applyFill="1" applyBorder="1" applyAlignment="1">
      <alignment horizontal="right" vertical="center"/>
    </xf>
    <xf numFmtId="164" fontId="7" fillId="0" borderId="2" xfId="2" applyNumberFormat="1" applyFont="1" applyBorder="1" applyAlignment="1">
      <alignment horizontal="right" vertical="center"/>
    </xf>
    <xf numFmtId="164" fontId="7" fillId="0" borderId="2" xfId="2" applyNumberFormat="1" applyFont="1" applyFill="1" applyBorder="1" applyAlignment="1">
      <alignment horizontal="right" vertical="center"/>
    </xf>
    <xf numFmtId="164" fontId="13" fillId="0" borderId="2" xfId="2" applyNumberFormat="1" applyFont="1" applyBorder="1" applyAlignment="1">
      <alignment horizontal="right" vertical="center"/>
    </xf>
    <xf numFmtId="0" fontId="12" fillId="0" borderId="3" xfId="1" applyFont="1" applyBorder="1" applyAlignment="1">
      <alignment horizontal="left"/>
    </xf>
    <xf numFmtId="0" fontId="12" fillId="0" borderId="3" xfId="1" applyFont="1" applyBorder="1" applyAlignment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164" fontId="9" fillId="0" borderId="0" xfId="2" applyNumberFormat="1" applyFont="1" applyFill="1" applyBorder="1" applyAlignment="1">
      <alignment horizontal="right" vertical="center"/>
    </xf>
    <xf numFmtId="43" fontId="7" fillId="0" borderId="0" xfId="1" applyNumberFormat="1" applyFont="1"/>
    <xf numFmtId="164" fontId="13" fillId="0" borderId="2" xfId="2" applyNumberFormat="1" applyFont="1" applyFill="1" applyBorder="1" applyAlignment="1">
      <alignment horizontal="right" vertical="center"/>
    </xf>
    <xf numFmtId="164" fontId="14" fillId="0" borderId="0" xfId="2" applyNumberFormat="1" applyFont="1" applyBorder="1" applyAlignment="1">
      <alignment horizontal="right" vertical="center"/>
    </xf>
    <xf numFmtId="0" fontId="3" fillId="0" borderId="0" xfId="1" applyFont="1" applyAlignment="1">
      <alignment horizontal="left"/>
    </xf>
    <xf numFmtId="164" fontId="7" fillId="0" borderId="4" xfId="2" applyNumberFormat="1" applyFont="1" applyBorder="1" applyAlignment="1">
      <alignment horizontal="right" vertical="center"/>
    </xf>
    <xf numFmtId="43" fontId="7" fillId="0" borderId="0" xfId="2" applyFont="1"/>
    <xf numFmtId="164" fontId="7" fillId="0" borderId="0" xfId="1" applyNumberFormat="1" applyFont="1"/>
    <xf numFmtId="0" fontId="13" fillId="0" borderId="2" xfId="1" applyFont="1" applyBorder="1" applyAlignment="1">
      <alignment horizontal="left" indent="1"/>
    </xf>
    <xf numFmtId="0" fontId="13" fillId="0" borderId="2" xfId="1" applyFont="1" applyBorder="1" applyAlignment="1">
      <alignment horizontal="left" vertical="center"/>
    </xf>
    <xf numFmtId="0" fontId="12" fillId="0" borderId="5" xfId="1" applyFont="1" applyBorder="1" applyAlignment="1">
      <alignment horizontal="left"/>
    </xf>
    <xf numFmtId="0" fontId="12" fillId="0" borderId="5" xfId="1" applyFont="1" applyBorder="1" applyAlignment="1">
      <alignment horizontal="left" vertical="center"/>
    </xf>
    <xf numFmtId="164" fontId="9" fillId="0" borderId="5" xfId="2" applyNumberFormat="1" applyFont="1" applyFill="1" applyBorder="1" applyAlignment="1">
      <alignment horizontal="right" vertical="center"/>
    </xf>
    <xf numFmtId="164" fontId="9" fillId="0" borderId="5" xfId="2" applyNumberFormat="1" applyFont="1" applyBorder="1" applyAlignment="1">
      <alignment horizontal="right" vertical="center"/>
    </xf>
    <xf numFmtId="164" fontId="9" fillId="0" borderId="6" xfId="2" applyNumberFormat="1" applyFont="1" applyBorder="1" applyAlignment="1">
      <alignment horizontal="right" vertical="center"/>
    </xf>
    <xf numFmtId="164" fontId="12" fillId="5" borderId="0" xfId="2" applyNumberFormat="1" applyFont="1" applyFill="1" applyBorder="1" applyAlignment="1">
      <alignment horizontal="right" vertical="center"/>
    </xf>
    <xf numFmtId="164" fontId="7" fillId="0" borderId="0" xfId="2" applyNumberFormat="1" applyFont="1"/>
    <xf numFmtId="10" fontId="7" fillId="0" borderId="0" xfId="3" applyNumberFormat="1" applyFont="1"/>
    <xf numFmtId="0" fontId="9" fillId="0" borderId="0" xfId="1" applyFont="1"/>
    <xf numFmtId="0" fontId="9" fillId="0" borderId="0" xfId="1" applyFont="1" applyAlignment="1">
      <alignment horizontal="center"/>
    </xf>
    <xf numFmtId="43" fontId="9" fillId="0" borderId="7" xfId="1" applyNumberFormat="1" applyFont="1" applyBorder="1"/>
    <xf numFmtId="43" fontId="9" fillId="0" borderId="7" xfId="2" applyFont="1" applyBorder="1"/>
    <xf numFmtId="43" fontId="9" fillId="0" borderId="0" xfId="1" applyNumberFormat="1" applyFont="1"/>
    <xf numFmtId="43" fontId="9" fillId="0" borderId="0" xfId="2" applyFont="1"/>
    <xf numFmtId="10" fontId="7" fillId="0" borderId="0" xfId="1" applyNumberFormat="1" applyFont="1"/>
    <xf numFmtId="43" fontId="9" fillId="0" borderId="8" xfId="1" applyNumberFormat="1" applyFont="1" applyBorder="1"/>
    <xf numFmtId="43" fontId="9" fillId="0" borderId="8" xfId="2" applyFont="1" applyBorder="1"/>
    <xf numFmtId="43" fontId="9" fillId="0" borderId="6" xfId="1" applyNumberFormat="1" applyFont="1" applyBorder="1"/>
    <xf numFmtId="0" fontId="15" fillId="0" borderId="0" xfId="1" applyFont="1"/>
    <xf numFmtId="0" fontId="16" fillId="0" borderId="0" xfId="1" applyFont="1"/>
    <xf numFmtId="0" fontId="17" fillId="0" borderId="0" xfId="1" applyFont="1"/>
    <xf numFmtId="0" fontId="4" fillId="0" borderId="0" xfId="1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7" fillId="0" borderId="0" xfId="1" applyFont="1" applyAlignment="1">
      <alignment horizontal="left"/>
    </xf>
    <xf numFmtId="37" fontId="7" fillId="0" borderId="0" xfId="1" applyNumberFormat="1" applyFont="1"/>
    <xf numFmtId="164" fontId="7" fillId="0" borderId="0" xfId="2" applyNumberFormat="1" applyFont="1" applyAlignment="1"/>
    <xf numFmtId="165" fontId="7" fillId="0" borderId="0" xfId="1" applyNumberFormat="1" applyFont="1"/>
    <xf numFmtId="164" fontId="7" fillId="0" borderId="0" xfId="2" applyNumberFormat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5" fillId="6" borderId="0" xfId="1" applyFill="1"/>
    <xf numFmtId="3" fontId="15" fillId="0" borderId="0" xfId="4" applyNumberFormat="1" applyFont="1" applyAlignment="1">
      <alignment horizontal="left"/>
    </xf>
    <xf numFmtId="3" fontId="9" fillId="0" borderId="0" xfId="4" applyNumberFormat="1" applyFont="1" applyAlignment="1">
      <alignment horizontal="centerContinuous"/>
    </xf>
    <xf numFmtId="3" fontId="7" fillId="0" borderId="0" xfId="4" applyNumberFormat="1" applyFont="1" applyAlignment="1">
      <alignment horizontal="centerContinuous"/>
    </xf>
    <xf numFmtId="3" fontId="7" fillId="0" borderId="0" xfId="4" applyNumberFormat="1" applyFont="1"/>
    <xf numFmtId="0" fontId="5" fillId="0" borderId="0" xfId="1"/>
    <xf numFmtId="3" fontId="16" fillId="0" borderId="0" xfId="4" applyNumberFormat="1" applyFont="1" applyAlignment="1">
      <alignment horizontal="left"/>
    </xf>
    <xf numFmtId="3" fontId="20" fillId="0" borderId="0" xfId="4" applyNumberFormat="1" applyFont="1"/>
    <xf numFmtId="3" fontId="20" fillId="0" borderId="0" xfId="4" applyNumberFormat="1" applyFont="1" applyAlignment="1">
      <alignment horizontal="left"/>
    </xf>
    <xf numFmtId="166" fontId="17" fillId="0" borderId="0" xfId="4" quotePrefix="1" applyNumberFormat="1" applyFont="1" applyAlignment="1">
      <alignment horizontal="left"/>
    </xf>
    <xf numFmtId="166" fontId="9" fillId="0" borderId="0" xfId="4" quotePrefix="1" applyNumberFormat="1" applyFont="1" applyAlignment="1">
      <alignment horizontal="centerContinuous"/>
    </xf>
    <xf numFmtId="3" fontId="7" fillId="0" borderId="0" xfId="4" applyNumberFormat="1" applyFont="1" applyAlignment="1">
      <alignment horizontal="center"/>
    </xf>
    <xf numFmtId="1" fontId="20" fillId="0" borderId="0" xfId="4" applyNumberFormat="1" applyFont="1"/>
    <xf numFmtId="3" fontId="9" fillId="0" borderId="0" xfId="4" applyNumberFormat="1" applyFont="1" applyAlignment="1">
      <alignment horizontal="center"/>
    </xf>
    <xf numFmtId="3" fontId="7" fillId="0" borderId="0" xfId="4" applyNumberFormat="1" applyFont="1" applyAlignment="1">
      <alignment horizontal="left"/>
    </xf>
    <xf numFmtId="3" fontId="9" fillId="0" borderId="0" xfId="4" applyNumberFormat="1" applyFont="1"/>
    <xf numFmtId="43" fontId="9" fillId="0" borderId="0" xfId="2" applyFont="1" applyAlignment="1">
      <alignment horizontal="left" indent="1"/>
    </xf>
    <xf numFmtId="14" fontId="9" fillId="0" borderId="0" xfId="4" quotePrefix="1" applyNumberFormat="1" applyFont="1" applyAlignment="1">
      <alignment horizontal="center"/>
    </xf>
    <xf numFmtId="14" fontId="9" fillId="0" borderId="0" xfId="4" applyNumberFormat="1" applyFont="1" applyAlignment="1">
      <alignment horizontal="center"/>
    </xf>
    <xf numFmtId="3" fontId="21" fillId="0" borderId="0" xfId="4" applyNumberFormat="1" applyFont="1" applyAlignment="1">
      <alignment horizontal="left"/>
    </xf>
    <xf numFmtId="1" fontId="7" fillId="0" borderId="0" xfId="4" applyNumberFormat="1" applyFont="1" applyAlignment="1">
      <alignment horizontal="center"/>
    </xf>
    <xf numFmtId="1" fontId="7" fillId="0" borderId="0" xfId="4" applyNumberFormat="1" applyFont="1"/>
    <xf numFmtId="4" fontId="7" fillId="0" borderId="0" xfId="4" applyNumberFormat="1" applyFont="1"/>
    <xf numFmtId="0" fontId="7" fillId="0" borderId="0" xfId="1" applyFont="1" applyAlignment="1">
      <alignment horizontal="center"/>
    </xf>
    <xf numFmtId="9" fontId="7" fillId="0" borderId="0" xfId="1" applyNumberFormat="1" applyFont="1"/>
    <xf numFmtId="9" fontId="7" fillId="0" borderId="0" xfId="3" applyFont="1" applyFill="1"/>
    <xf numFmtId="167" fontId="7" fillId="0" borderId="0" xfId="1" applyNumberFormat="1" applyFont="1"/>
    <xf numFmtId="14" fontId="7" fillId="0" borderId="0" xfId="1" applyNumberFormat="1" applyFont="1"/>
    <xf numFmtId="9" fontId="7" fillId="0" borderId="0" xfId="3" applyFont="1" applyFill="1" applyBorder="1"/>
    <xf numFmtId="0" fontId="4" fillId="0" borderId="0" xfId="1" applyFont="1"/>
    <xf numFmtId="14" fontId="4" fillId="0" borderId="0" xfId="1" applyNumberFormat="1" applyFont="1"/>
    <xf numFmtId="164" fontId="4" fillId="0" borderId="7" xfId="2" applyNumberFormat="1" applyFont="1" applyBorder="1"/>
    <xf numFmtId="164" fontId="4" fillId="0" borderId="0" xfId="2" applyNumberFormat="1" applyFont="1"/>
    <xf numFmtId="3" fontId="4" fillId="0" borderId="0" xfId="1" applyNumberFormat="1" applyFont="1"/>
    <xf numFmtId="167" fontId="9" fillId="0" borderId="0" xfId="1" applyNumberFormat="1" applyFont="1"/>
    <xf numFmtId="164" fontId="9" fillId="0" borderId="0" xfId="2" applyNumberFormat="1" applyFont="1"/>
    <xf numFmtId="164" fontId="9" fillId="0" borderId="7" xfId="2" applyNumberFormat="1" applyFont="1" applyBorder="1"/>
    <xf numFmtId="9" fontId="9" fillId="0" borderId="0" xfId="3" applyFont="1" applyFill="1" applyBorder="1"/>
    <xf numFmtId="164" fontId="4" fillId="0" borderId="8" xfId="2" applyNumberFormat="1" applyFont="1" applyBorder="1"/>
    <xf numFmtId="3" fontId="7" fillId="0" borderId="0" xfId="1" applyNumberFormat="1" applyFont="1"/>
    <xf numFmtId="164" fontId="4" fillId="0" borderId="0" xfId="2" applyNumberFormat="1" applyFont="1" applyBorder="1"/>
    <xf numFmtId="3" fontId="9" fillId="0" borderId="0" xfId="1" applyNumberFormat="1" applyFont="1"/>
    <xf numFmtId="4" fontId="9" fillId="0" borderId="0" xfId="1" applyNumberFormat="1" applyFont="1"/>
    <xf numFmtId="4" fontId="7" fillId="0" borderId="0" xfId="1" applyNumberFormat="1" applyFont="1"/>
    <xf numFmtId="164" fontId="4" fillId="0" borderId="9" xfId="2" applyNumberFormat="1" applyFont="1" applyBorder="1"/>
    <xf numFmtId="164" fontId="7" fillId="0" borderId="2" xfId="2" applyNumberFormat="1" applyFont="1" applyBorder="1"/>
    <xf numFmtId="164" fontId="7" fillId="0" borderId="7" xfId="2" applyNumberFormat="1" applyFont="1" applyBorder="1"/>
    <xf numFmtId="0" fontId="1" fillId="0" borderId="0" xfId="5" applyFont="1"/>
    <xf numFmtId="0" fontId="4" fillId="0" borderId="0" xfId="5" applyFont="1"/>
    <xf numFmtId="2" fontId="4" fillId="0" borderId="0" xfId="5" applyNumberFormat="1" applyFont="1"/>
    <xf numFmtId="14" fontId="1" fillId="0" borderId="0" xfId="5" applyNumberFormat="1" applyFont="1"/>
    <xf numFmtId="43" fontId="1" fillId="0" borderId="0" xfId="6" applyFont="1"/>
    <xf numFmtId="43" fontId="1" fillId="0" borderId="0" xfId="5" applyNumberFormat="1" applyFont="1"/>
    <xf numFmtId="43" fontId="1" fillId="0" borderId="0" xfId="6" applyFont="1" applyBorder="1"/>
    <xf numFmtId="0" fontId="4" fillId="0" borderId="0" xfId="5" applyFont="1" applyAlignment="1">
      <alignment horizontal="left" indent="1"/>
    </xf>
    <xf numFmtId="14" fontId="4" fillId="0" borderId="0" xfId="5" applyNumberFormat="1" applyFont="1"/>
    <xf numFmtId="43" fontId="4" fillId="0" borderId="0" xfId="6" applyFont="1"/>
    <xf numFmtId="43" fontId="4" fillId="0" borderId="0" xfId="5" applyNumberFormat="1" applyFont="1"/>
    <xf numFmtId="43" fontId="2" fillId="0" borderId="0" xfId="6" applyFont="1" applyFill="1"/>
    <xf numFmtId="0" fontId="25" fillId="0" borderId="0" xfId="5" applyFont="1" applyAlignment="1">
      <alignment horizontal="center"/>
    </xf>
    <xf numFmtId="0" fontId="1" fillId="0" borderId="0" xfId="9"/>
    <xf numFmtId="0" fontId="6" fillId="0" borderId="0" xfId="9" applyFont="1"/>
    <xf numFmtId="43" fontId="0" fillId="0" borderId="0" xfId="10" applyFont="1"/>
    <xf numFmtId="0" fontId="8" fillId="0" borderId="0" xfId="9" applyFont="1"/>
    <xf numFmtId="0" fontId="10" fillId="0" borderId="0" xfId="9" applyFont="1"/>
    <xf numFmtId="0" fontId="4" fillId="0" borderId="0" xfId="9" applyFont="1"/>
    <xf numFmtId="0" fontId="12" fillId="0" borderId="0" xfId="9" applyFont="1" applyAlignment="1">
      <alignment horizontal="left" vertical="center"/>
    </xf>
    <xf numFmtId="14" fontId="13" fillId="0" borderId="0" xfId="9" applyNumberFormat="1" applyFont="1" applyAlignment="1">
      <alignment horizontal="left" vertical="center"/>
    </xf>
    <xf numFmtId="0" fontId="13" fillId="0" borderId="0" xfId="9" applyFont="1" applyAlignment="1">
      <alignment horizontal="left" vertical="center"/>
    </xf>
    <xf numFmtId="43" fontId="13" fillId="0" borderId="0" xfId="10" applyFont="1" applyAlignment="1">
      <alignment horizontal="right" vertical="center"/>
    </xf>
    <xf numFmtId="7" fontId="13" fillId="0" borderId="0" xfId="9" applyNumberFormat="1" applyFont="1" applyAlignment="1">
      <alignment horizontal="right" vertical="center"/>
    </xf>
    <xf numFmtId="0" fontId="13" fillId="0" borderId="0" xfId="11" applyFont="1" applyFill="1" applyBorder="1" applyAlignment="1">
      <alignment horizontal="left" vertical="center"/>
    </xf>
    <xf numFmtId="43" fontId="13" fillId="0" borderId="0" xfId="10" applyFont="1" applyFill="1" applyBorder="1" applyAlignment="1">
      <alignment horizontal="right" vertical="center"/>
    </xf>
    <xf numFmtId="43" fontId="13" fillId="0" borderId="0" xfId="9" applyNumberFormat="1" applyFont="1" applyAlignment="1">
      <alignment horizontal="right" vertical="center"/>
    </xf>
    <xf numFmtId="14" fontId="13" fillId="0" borderId="0" xfId="11" applyNumberFormat="1" applyFont="1" applyFill="1" applyBorder="1" applyAlignment="1">
      <alignment horizontal="left" vertical="center"/>
    </xf>
    <xf numFmtId="0" fontId="12" fillId="0" borderId="10" xfId="9" applyFont="1" applyBorder="1" applyAlignment="1">
      <alignment horizontal="left" vertical="center"/>
    </xf>
    <xf numFmtId="14" fontId="12" fillId="0" borderId="0" xfId="9" applyNumberFormat="1" applyFont="1" applyAlignment="1">
      <alignment horizontal="left" vertical="center"/>
    </xf>
    <xf numFmtId="43" fontId="12" fillId="0" borderId="7" xfId="10" applyFont="1" applyBorder="1" applyAlignment="1">
      <alignment horizontal="right" vertical="center"/>
    </xf>
    <xf numFmtId="14" fontId="1" fillId="0" borderId="0" xfId="5" applyNumberFormat="1" applyFont="1" applyAlignment="1">
      <alignment horizontal="left"/>
    </xf>
    <xf numFmtId="0" fontId="1" fillId="0" borderId="0" xfId="5" applyFont="1" applyAlignment="1">
      <alignment horizontal="left"/>
    </xf>
    <xf numFmtId="43" fontId="1" fillId="0" borderId="0" xfId="6" applyFont="1" applyAlignment="1">
      <alignment horizontal="left"/>
    </xf>
    <xf numFmtId="14" fontId="4" fillId="0" borderId="0" xfId="5" applyNumberFormat="1" applyFont="1" applyAlignment="1">
      <alignment horizontal="left"/>
    </xf>
    <xf numFmtId="0" fontId="4" fillId="0" borderId="0" xfId="5" applyFont="1" applyAlignment="1">
      <alignment horizontal="left"/>
    </xf>
    <xf numFmtId="4" fontId="4" fillId="0" borderId="0" xfId="5" applyNumberFormat="1" applyFont="1" applyAlignment="1">
      <alignment horizontal="left"/>
    </xf>
    <xf numFmtId="43" fontId="4" fillId="0" borderId="0" xfId="6" applyFont="1" applyAlignment="1">
      <alignment horizontal="left"/>
    </xf>
    <xf numFmtId="0" fontId="1" fillId="0" borderId="0" xfId="5" applyFont="1" applyAlignment="1">
      <alignment horizontal="left" textRotation="45"/>
    </xf>
    <xf numFmtId="4" fontId="1" fillId="0" borderId="0" xfId="5" applyNumberFormat="1" applyFont="1" applyAlignment="1">
      <alignment horizontal="left"/>
    </xf>
    <xf numFmtId="13" fontId="1" fillId="0" borderId="0" xfId="5" applyNumberFormat="1" applyFont="1" applyAlignment="1">
      <alignment horizontal="left"/>
    </xf>
    <xf numFmtId="49" fontId="1" fillId="0" borderId="0" xfId="5" applyNumberFormat="1" applyFont="1" applyAlignment="1">
      <alignment horizontal="left"/>
    </xf>
    <xf numFmtId="43" fontId="25" fillId="0" borderId="0" xfId="6" applyFont="1" applyAlignment="1">
      <alignment horizontal="left"/>
    </xf>
    <xf numFmtId="43" fontId="1" fillId="0" borderId="7" xfId="6" applyFont="1" applyBorder="1" applyAlignment="1">
      <alignment horizontal="left"/>
    </xf>
    <xf numFmtId="43" fontId="4" fillId="0" borderId="7" xfId="6" applyFont="1" applyBorder="1" applyAlignment="1">
      <alignment horizontal="left"/>
    </xf>
    <xf numFmtId="43" fontId="1" fillId="0" borderId="0" xfId="5" applyNumberFormat="1" applyFont="1" applyAlignment="1">
      <alignment horizontal="left"/>
    </xf>
    <xf numFmtId="168" fontId="1" fillId="0" borderId="0" xfId="5" applyNumberFormat="1" applyFont="1" applyAlignment="1">
      <alignment horizontal="left"/>
    </xf>
    <xf numFmtId="2" fontId="1" fillId="0" borderId="0" xfId="5" applyNumberFormat="1" applyFont="1" applyAlignment="1">
      <alignment horizontal="left"/>
    </xf>
    <xf numFmtId="168" fontId="4" fillId="0" borderId="0" xfId="5" applyNumberFormat="1" applyFont="1" applyAlignment="1">
      <alignment horizontal="left"/>
    </xf>
    <xf numFmtId="2" fontId="4" fillId="0" borderId="0" xfId="5" applyNumberFormat="1" applyFont="1" applyAlignment="1">
      <alignment horizontal="left"/>
    </xf>
    <xf numFmtId="43" fontId="1" fillId="0" borderId="0" xfId="6" applyFont="1" applyAlignment="1">
      <alignment horizontal="left" textRotation="45"/>
    </xf>
    <xf numFmtId="43" fontId="1" fillId="0" borderId="0" xfId="6" applyFont="1" applyFill="1" applyAlignment="1">
      <alignment horizontal="left"/>
    </xf>
    <xf numFmtId="16" fontId="1" fillId="0" borderId="0" xfId="5" applyNumberFormat="1" applyFont="1" applyAlignment="1">
      <alignment horizontal="left"/>
    </xf>
    <xf numFmtId="0" fontId="1" fillId="0" borderId="0" xfId="12"/>
    <xf numFmtId="0" fontId="4" fillId="0" borderId="0" xfId="12" applyFont="1" applyAlignment="1">
      <alignment vertical="center"/>
    </xf>
    <xf numFmtId="4" fontId="1" fillId="0" borderId="0" xfId="12" applyNumberFormat="1"/>
    <xf numFmtId="39" fontId="7" fillId="0" borderId="0" xfId="13" applyNumberFormat="1" applyFont="1" applyBorder="1" applyAlignment="1">
      <alignment horizontal="right"/>
    </xf>
    <xf numFmtId="0" fontId="4" fillId="0" borderId="0" xfId="12" applyFont="1" applyAlignment="1">
      <alignment horizontal="centerContinuous"/>
    </xf>
    <xf numFmtId="14" fontId="1" fillId="0" borderId="0" xfId="12" applyNumberFormat="1"/>
    <xf numFmtId="169" fontId="1" fillId="0" borderId="0" xfId="12" quotePrefix="1" applyNumberFormat="1"/>
    <xf numFmtId="169" fontId="1" fillId="0" borderId="0" xfId="12" applyNumberFormat="1"/>
    <xf numFmtId="0" fontId="29" fillId="0" borderId="0" xfId="1" applyFont="1"/>
    <xf numFmtId="0" fontId="30" fillId="0" borderId="0" xfId="1" applyFont="1"/>
    <xf numFmtId="0" fontId="22" fillId="0" borderId="0" xfId="1" applyFont="1"/>
    <xf numFmtId="0" fontId="1" fillId="0" borderId="0" xfId="1" applyFont="1"/>
    <xf numFmtId="0" fontId="29" fillId="0" borderId="0" xfId="1" applyFont="1" applyAlignment="1">
      <alignment horizontal="centerContinuous"/>
    </xf>
    <xf numFmtId="0" fontId="5" fillId="0" borderId="0" xfId="1" applyAlignment="1">
      <alignment horizontal="centerContinuous"/>
    </xf>
    <xf numFmtId="0" fontId="31" fillId="0" borderId="0" xfId="1" applyFont="1"/>
    <xf numFmtId="0" fontId="7" fillId="0" borderId="0" xfId="1" applyFont="1" applyAlignment="1">
      <alignment horizontal="center" wrapText="1"/>
    </xf>
    <xf numFmtId="0" fontId="5" fillId="0" borderId="0" xfId="1" applyAlignment="1">
      <alignment horizontal="center"/>
    </xf>
    <xf numFmtId="3" fontId="5" fillId="0" borderId="0" xfId="1" applyNumberFormat="1"/>
    <xf numFmtId="0" fontId="32" fillId="0" borderId="0" xfId="1" quotePrefix="1" applyFont="1" applyAlignment="1">
      <alignment horizontal="right"/>
    </xf>
    <xf numFmtId="0" fontId="32" fillId="0" borderId="0" xfId="1" applyFont="1" applyAlignment="1">
      <alignment horizontal="right"/>
    </xf>
    <xf numFmtId="0" fontId="32" fillId="0" borderId="0" xfId="1" applyFont="1"/>
    <xf numFmtId="0" fontId="29" fillId="0" borderId="0" xfId="9" applyFont="1"/>
    <xf numFmtId="0" fontId="30" fillId="0" borderId="0" xfId="9" applyFont="1"/>
    <xf numFmtId="0" fontId="22" fillId="0" borderId="0" xfId="9" applyFont="1"/>
    <xf numFmtId="0" fontId="4" fillId="0" borderId="0" xfId="14" applyFont="1" applyAlignment="1">
      <alignment horizontal="center" vertical="center"/>
    </xf>
    <xf numFmtId="0" fontId="31" fillId="0" borderId="0" xfId="14" applyFont="1" applyAlignment="1">
      <alignment horizontal="center"/>
    </xf>
    <xf numFmtId="0" fontId="4" fillId="0" borderId="0" xfId="14" applyFont="1" applyAlignment="1">
      <alignment horizontal="center"/>
    </xf>
    <xf numFmtId="0" fontId="1" fillId="0" borderId="0" xfId="14"/>
    <xf numFmtId="0" fontId="1" fillId="0" borderId="0" xfId="9" applyAlignment="1">
      <alignment horizontal="left" vertical="center" indent="1"/>
    </xf>
    <xf numFmtId="164" fontId="1" fillId="0" borderId="0" xfId="10" applyNumberFormat="1" applyFont="1" applyBorder="1"/>
    <xf numFmtId="164" fontId="7" fillId="0" borderId="0" xfId="10" applyNumberFormat="1" applyFont="1" applyFill="1" applyBorder="1" applyAlignment="1">
      <alignment horizontal="right"/>
    </xf>
    <xf numFmtId="164" fontId="4" fillId="0" borderId="7" xfId="10" applyNumberFormat="1" applyFont="1" applyBorder="1"/>
    <xf numFmtId="164" fontId="4" fillId="0" borderId="7" xfId="10" applyNumberFormat="1" applyFont="1" applyFill="1" applyBorder="1" applyAlignment="1">
      <alignment horizontal="right"/>
    </xf>
    <xf numFmtId="10" fontId="1" fillId="0" borderId="0" xfId="15" applyNumberFormat="1" applyFont="1"/>
    <xf numFmtId="3" fontId="1" fillId="0" borderId="0" xfId="14" applyNumberFormat="1"/>
    <xf numFmtId="164" fontId="7" fillId="7" borderId="0" xfId="10" applyNumberFormat="1" applyFont="1" applyFill="1" applyBorder="1" applyAlignment="1">
      <alignment horizontal="right"/>
    </xf>
    <xf numFmtId="164" fontId="4" fillId="0" borderId="7" xfId="14" applyNumberFormat="1" applyFont="1" applyBorder="1"/>
    <xf numFmtId="0" fontId="33" fillId="0" borderId="0" xfId="14" applyFont="1"/>
    <xf numFmtId="0" fontId="29" fillId="0" borderId="0" xfId="14" applyFont="1"/>
    <xf numFmtId="0" fontId="30" fillId="0" borderId="0" xfId="14" applyFont="1"/>
    <xf numFmtId="0" fontId="22" fillId="0" borderId="0" xfId="14" applyFont="1"/>
    <xf numFmtId="0" fontId="4" fillId="0" borderId="0" xfId="14" applyFont="1"/>
    <xf numFmtId="170" fontId="0" fillId="0" borderId="0" xfId="10" applyNumberFormat="1" applyFont="1"/>
    <xf numFmtId="0" fontId="1" fillId="0" borderId="0" xfId="14" applyAlignment="1">
      <alignment horizontal="left" indent="1"/>
    </xf>
    <xf numFmtId="43" fontId="7" fillId="0" borderId="0" xfId="10" applyFont="1"/>
    <xf numFmtId="170" fontId="7" fillId="0" borderId="0" xfId="10" applyNumberFormat="1" applyFont="1"/>
    <xf numFmtId="10" fontId="7" fillId="0" borderId="0" xfId="15" applyNumberFormat="1" applyFont="1"/>
    <xf numFmtId="43" fontId="4" fillId="0" borderId="7" xfId="10" applyFont="1" applyBorder="1"/>
    <xf numFmtId="170" fontId="4" fillId="0" borderId="0" xfId="10" applyNumberFormat="1" applyFont="1"/>
    <xf numFmtId="0" fontId="37" fillId="0" borderId="0" xfId="16" applyFont="1" applyAlignment="1">
      <alignment horizontal="left" vertical="top"/>
    </xf>
    <xf numFmtId="0" fontId="38" fillId="0" borderId="0" xfId="16" applyFont="1" applyAlignment="1">
      <alignment horizontal="center" vertical="top"/>
    </xf>
    <xf numFmtId="43" fontId="37" fillId="0" borderId="0" xfId="17" applyFont="1" applyAlignment="1">
      <alignment horizontal="left" vertical="top"/>
    </xf>
    <xf numFmtId="0" fontId="39" fillId="0" borderId="0" xfId="16" applyFont="1" applyAlignment="1">
      <alignment horizontal="left" vertical="top"/>
    </xf>
    <xf numFmtId="43" fontId="39" fillId="0" borderId="7" xfId="17" applyFont="1" applyBorder="1" applyAlignment="1">
      <alignment horizontal="left" vertical="top"/>
    </xf>
    <xf numFmtId="43" fontId="39" fillId="0" borderId="0" xfId="17" applyFont="1" applyAlignment="1">
      <alignment horizontal="left" vertical="top"/>
    </xf>
    <xf numFmtId="43" fontId="39" fillId="0" borderId="0" xfId="17" applyFont="1" applyBorder="1" applyAlignment="1">
      <alignment horizontal="left" vertical="top"/>
    </xf>
    <xf numFmtId="10" fontId="37" fillId="0" borderId="0" xfId="18" applyNumberFormat="1" applyFont="1" applyAlignment="1">
      <alignment horizontal="center" vertical="top"/>
    </xf>
    <xf numFmtId="0" fontId="38" fillId="0" borderId="0" xfId="16" applyFont="1" applyAlignment="1">
      <alignment horizontal="left" vertical="top"/>
    </xf>
    <xf numFmtId="43" fontId="38" fillId="0" borderId="9" xfId="16" applyNumberFormat="1" applyFont="1" applyBorder="1" applyAlignment="1">
      <alignment horizontal="left" vertical="top"/>
    </xf>
    <xf numFmtId="10" fontId="7" fillId="0" borderId="0" xfId="20" applyNumberFormat="1" applyFont="1"/>
    <xf numFmtId="43" fontId="1" fillId="0" borderId="0" xfId="19" applyFont="1"/>
    <xf numFmtId="0" fontId="7" fillId="0" borderId="0" xfId="7" applyFont="1" applyFill="1"/>
    <xf numFmtId="0" fontId="7" fillId="0" borderId="0" xfId="5" applyFont="1"/>
    <xf numFmtId="14" fontId="7" fillId="0" borderId="0" xfId="7" applyNumberFormat="1" applyFont="1" applyFill="1"/>
    <xf numFmtId="43" fontId="7" fillId="0" borderId="0" xfId="5" applyNumberFormat="1" applyFont="1"/>
    <xf numFmtId="43" fontId="1" fillId="0" borderId="0" xfId="19" applyFont="1" applyFill="1"/>
    <xf numFmtId="43" fontId="7" fillId="0" borderId="0" xfId="19" applyFont="1"/>
    <xf numFmtId="14" fontId="7" fillId="0" borderId="0" xfId="5" applyNumberFormat="1" applyFont="1"/>
    <xf numFmtId="43" fontId="7" fillId="0" borderId="0" xfId="6" applyFont="1" applyBorder="1"/>
    <xf numFmtId="10" fontId="1" fillId="0" borderId="0" xfId="20" applyNumberFormat="1" applyFont="1"/>
    <xf numFmtId="43" fontId="24" fillId="5" borderId="0" xfId="6" applyFont="1" applyFill="1"/>
    <xf numFmtId="43" fontId="24" fillId="5" borderId="0" xfId="5" applyNumberFormat="1" applyFont="1" applyFill="1"/>
    <xf numFmtId="0" fontId="24" fillId="5" borderId="0" xfId="9" applyFont="1" applyFill="1"/>
    <xf numFmtId="43" fontId="24" fillId="5" borderId="0" xfId="10" applyFont="1" applyFill="1"/>
    <xf numFmtId="43" fontId="24" fillId="5" borderId="0" xfId="9" applyNumberFormat="1" applyFont="1" applyFill="1"/>
    <xf numFmtId="164" fontId="24" fillId="5" borderId="7" xfId="2" applyNumberFormat="1" applyFont="1" applyFill="1" applyBorder="1"/>
    <xf numFmtId="0" fontId="24" fillId="5" borderId="0" xfId="1" applyFont="1" applyFill="1"/>
    <xf numFmtId="43" fontId="33" fillId="0" borderId="0" xfId="6" applyFont="1" applyAlignment="1">
      <alignment horizontal="left"/>
    </xf>
    <xf numFmtId="0" fontId="24" fillId="5" borderId="0" xfId="5" applyFont="1" applyFill="1" applyAlignment="1">
      <alignment horizontal="center"/>
    </xf>
    <xf numFmtId="4" fontId="24" fillId="5" borderId="0" xfId="5" applyNumberFormat="1" applyFont="1" applyFill="1" applyAlignment="1">
      <alignment horizontal="left"/>
    </xf>
    <xf numFmtId="43" fontId="24" fillId="5" borderId="0" xfId="6" applyFont="1" applyFill="1" applyAlignment="1">
      <alignment horizontal="left"/>
    </xf>
    <xf numFmtId="4" fontId="24" fillId="5" borderId="2" xfId="12" applyNumberFormat="1" applyFont="1" applyFill="1" applyBorder="1"/>
    <xf numFmtId="0" fontId="24" fillId="5" borderId="0" xfId="12" applyFont="1" applyFill="1"/>
    <xf numFmtId="43" fontId="7" fillId="0" borderId="0" xfId="2" applyFont="1" applyFill="1"/>
    <xf numFmtId="43" fontId="7" fillId="0" borderId="0" xfId="6" applyFont="1" applyFill="1"/>
    <xf numFmtId="43" fontId="1" fillId="0" borderId="0" xfId="6" applyFont="1" applyFill="1"/>
    <xf numFmtId="43" fontId="7" fillId="0" borderId="0" xfId="6" applyFont="1" applyFill="1" applyBorder="1"/>
    <xf numFmtId="43" fontId="1" fillId="0" borderId="0" xfId="6" applyFont="1" applyFill="1" applyBorder="1"/>
    <xf numFmtId="43" fontId="4" fillId="0" borderId="0" xfId="6" applyFont="1" applyFill="1"/>
    <xf numFmtId="43" fontId="24" fillId="0" borderId="7" xfId="10" applyFont="1" applyBorder="1" applyAlignment="1">
      <alignment horizontal="right" vertical="center"/>
    </xf>
    <xf numFmtId="9" fontId="37" fillId="0" borderId="0" xfId="20" applyFont="1" applyAlignment="1">
      <alignment horizontal="right" vertical="top"/>
    </xf>
    <xf numFmtId="0" fontId="37" fillId="0" borderId="0" xfId="16" applyFont="1" applyAlignment="1">
      <alignment vertical="top"/>
    </xf>
    <xf numFmtId="0" fontId="40" fillId="0" borderId="0" xfId="16" applyFont="1"/>
    <xf numFmtId="0" fontId="40" fillId="0" borderId="0" xfId="16" applyFont="1" applyAlignment="1">
      <alignment horizontal="left"/>
    </xf>
    <xf numFmtId="9" fontId="37" fillId="0" borderId="0" xfId="20" applyFont="1" applyAlignment="1">
      <alignment horizontal="center" vertical="top"/>
    </xf>
    <xf numFmtId="43" fontId="24" fillId="5" borderId="0" xfId="17" applyFont="1" applyFill="1" applyAlignment="1">
      <alignment horizontal="left" vertical="top"/>
    </xf>
    <xf numFmtId="43" fontId="0" fillId="0" borderId="0" xfId="19" applyFont="1"/>
    <xf numFmtId="0" fontId="4" fillId="0" borderId="0" xfId="0" applyFont="1"/>
    <xf numFmtId="43" fontId="24" fillId="5" borderId="0" xfId="19" applyFont="1" applyFill="1"/>
    <xf numFmtId="0" fontId="24" fillId="5" borderId="0" xfId="0" applyFont="1" applyFill="1"/>
    <xf numFmtId="171" fontId="0" fillId="0" borderId="0" xfId="19" applyNumberFormat="1" applyFont="1"/>
    <xf numFmtId="164" fontId="0" fillId="0" borderId="0" xfId="19" applyNumberFormat="1" applyFont="1"/>
    <xf numFmtId="0" fontId="41" fillId="0" borderId="0" xfId="0" applyFont="1"/>
    <xf numFmtId="164" fontId="1" fillId="0" borderId="0" xfId="19" applyNumberFormat="1"/>
    <xf numFmtId="164" fontId="1" fillId="0" borderId="7" xfId="19" applyNumberFormat="1" applyBorder="1"/>
    <xf numFmtId="164" fontId="24" fillId="5" borderId="7" xfId="19" applyNumberFormat="1" applyFont="1" applyFill="1" applyBorder="1"/>
    <xf numFmtId="0" fontId="4" fillId="0" borderId="0" xfId="12" applyFont="1"/>
    <xf numFmtId="164" fontId="24" fillId="5" borderId="0" xfId="19" applyNumberFormat="1" applyFont="1" applyFill="1"/>
    <xf numFmtId="4" fontId="24" fillId="5" borderId="0" xfId="12" applyNumberFormat="1" applyFont="1" applyFill="1"/>
    <xf numFmtId="0" fontId="0" fillId="8" borderId="0" xfId="0" applyFill="1"/>
    <xf numFmtId="172" fontId="0" fillId="0" borderId="0" xfId="19" applyNumberFormat="1" applyFont="1"/>
    <xf numFmtId="0" fontId="4" fillId="0" borderId="0" xfId="0" applyFont="1" applyAlignment="1">
      <alignment horizontal="center"/>
    </xf>
    <xf numFmtId="43" fontId="4" fillId="0" borderId="7" xfId="19" applyFont="1" applyBorder="1"/>
    <xf numFmtId="43" fontId="0" fillId="0" borderId="7" xfId="19" applyFont="1" applyBorder="1"/>
    <xf numFmtId="43" fontId="4" fillId="0" borderId="0" xfId="19" applyFont="1" applyBorder="1"/>
    <xf numFmtId="0" fontId="1" fillId="8" borderId="0" xfId="12" applyFill="1"/>
    <xf numFmtId="4" fontId="1" fillId="8" borderId="0" xfId="12" applyNumberFormat="1" applyFill="1"/>
    <xf numFmtId="43" fontId="1" fillId="0" borderId="0" xfId="6" applyFont="1" applyBorder="1" applyAlignment="1">
      <alignment horizontal="left"/>
    </xf>
    <xf numFmtId="10" fontId="1" fillId="0" borderId="0" xfId="6" applyNumberFormat="1" applyFont="1" applyAlignment="1">
      <alignment horizontal="right"/>
    </xf>
    <xf numFmtId="43" fontId="24" fillId="5" borderId="7" xfId="6" applyFont="1" applyFill="1" applyBorder="1" applyAlignment="1">
      <alignment horizontal="left"/>
    </xf>
    <xf numFmtId="10" fontId="1" fillId="0" borderId="0" xfId="6" applyNumberFormat="1" applyFont="1" applyAlignment="1">
      <alignment horizontal="center"/>
    </xf>
    <xf numFmtId="43" fontId="24" fillId="5" borderId="0" xfId="19" applyFont="1" applyFill="1" applyAlignment="1">
      <alignment horizontal="right"/>
    </xf>
    <xf numFmtId="0" fontId="9" fillId="0" borderId="0" xfId="1" applyFont="1" applyAlignment="1">
      <alignment horizontal="left"/>
    </xf>
    <xf numFmtId="164" fontId="9" fillId="0" borderId="0" xfId="2" applyNumberFormat="1" applyFont="1" applyFill="1" applyAlignment="1">
      <alignment horizontal="right"/>
    </xf>
    <xf numFmtId="164" fontId="7" fillId="0" borderId="0" xfId="2" applyNumberFormat="1" applyFont="1" applyFill="1"/>
    <xf numFmtId="44" fontId="7" fillId="0" borderId="0" xfId="13" applyFont="1" applyFill="1" applyBorder="1" applyAlignment="1"/>
    <xf numFmtId="44" fontId="9" fillId="0" borderId="0" xfId="13" applyFont="1" applyFill="1" applyBorder="1" applyAlignment="1"/>
    <xf numFmtId="0" fontId="7" fillId="0" borderId="0" xfId="12" applyFont="1"/>
    <xf numFmtId="0" fontId="55" fillId="0" borderId="0" xfId="12" applyFont="1"/>
    <xf numFmtId="4" fontId="7" fillId="0" borderId="0" xfId="12" applyNumberFormat="1" applyFont="1"/>
    <xf numFmtId="0" fontId="9" fillId="0" borderId="0" xfId="12" applyFont="1" applyAlignment="1">
      <alignment horizontal="center" vertical="center"/>
    </xf>
    <xf numFmtId="0" fontId="9" fillId="0" borderId="0" xfId="12" applyFont="1" applyAlignment="1">
      <alignment horizontal="left" vertical="center"/>
    </xf>
    <xf numFmtId="43" fontId="7" fillId="0" borderId="0" xfId="19" applyFont="1" applyBorder="1" applyAlignment="1">
      <alignment horizontal="right" vertical="center"/>
    </xf>
    <xf numFmtId="43" fontId="7" fillId="0" borderId="0" xfId="19" applyFont="1" applyBorder="1" applyAlignment="1">
      <alignment horizontal="left" vertical="center"/>
    </xf>
    <xf numFmtId="43" fontId="7" fillId="0" borderId="0" xfId="19" applyFont="1" applyBorder="1" applyAlignment="1">
      <alignment horizontal="right"/>
    </xf>
    <xf numFmtId="43" fontId="7" fillId="0" borderId="0" xfId="19" applyFont="1" applyBorder="1" applyAlignment="1"/>
    <xf numFmtId="43" fontId="7" fillId="5" borderId="0" xfId="19" applyFont="1" applyFill="1" applyBorder="1" applyAlignment="1"/>
    <xf numFmtId="10" fontId="7" fillId="0" borderId="0" xfId="20" applyNumberFormat="1" applyFont="1" applyBorder="1" applyAlignment="1"/>
    <xf numFmtId="43" fontId="1" fillId="0" borderId="0" xfId="19" applyAlignment="1"/>
    <xf numFmtId="0" fontId="9" fillId="5" borderId="0" xfId="12" applyFont="1" applyFill="1" applyAlignment="1">
      <alignment horizontal="center" vertical="center"/>
    </xf>
    <xf numFmtId="0" fontId="9" fillId="0" borderId="0" xfId="12" applyFont="1" applyAlignment="1">
      <alignment vertical="center"/>
    </xf>
    <xf numFmtId="0" fontId="9" fillId="0" borderId="0" xfId="12" applyFont="1"/>
    <xf numFmtId="0" fontId="9" fillId="5" borderId="0" xfId="12" applyFont="1" applyFill="1" applyAlignment="1">
      <alignment horizontal="center"/>
    </xf>
    <xf numFmtId="43" fontId="9" fillId="0" borderId="0" xfId="19" applyFont="1" applyBorder="1" applyAlignment="1">
      <alignment horizontal="center"/>
    </xf>
    <xf numFmtId="43" fontId="9" fillId="5" borderId="0" xfId="19" applyFont="1" applyFill="1" applyBorder="1" applyAlignment="1"/>
    <xf numFmtId="43" fontId="9" fillId="0" borderId="7" xfId="19" applyFont="1" applyBorder="1" applyAlignment="1">
      <alignment horizontal="left" vertical="center"/>
    </xf>
    <xf numFmtId="43" fontId="9" fillId="0" borderId="7" xfId="19" applyFont="1" applyBorder="1" applyAlignment="1">
      <alignment horizontal="right"/>
    </xf>
    <xf numFmtId="43" fontId="9" fillId="0" borderId="7" xfId="19" applyFont="1" applyBorder="1" applyAlignment="1"/>
    <xf numFmtId="43" fontId="25" fillId="5" borderId="0" xfId="19" applyFont="1" applyFill="1" applyBorder="1" applyAlignment="1"/>
    <xf numFmtId="171" fontId="7" fillId="0" borderId="0" xfId="19" applyNumberFormat="1" applyFont="1" applyBorder="1" applyAlignment="1"/>
    <xf numFmtId="164" fontId="7" fillId="0" borderId="0" xfId="2" applyNumberFormat="1" applyFont="1" applyFill="1" applyBorder="1"/>
    <xf numFmtId="43" fontId="38" fillId="0" borderId="0" xfId="16" applyNumberFormat="1" applyFont="1" applyAlignment="1">
      <alignment horizontal="left" vertical="top"/>
    </xf>
    <xf numFmtId="43" fontId="37" fillId="0" borderId="0" xfId="16" applyNumberFormat="1" applyFont="1" applyAlignment="1">
      <alignment horizontal="left" vertical="top"/>
    </xf>
    <xf numFmtId="43" fontId="38" fillId="0" borderId="7" xfId="16" applyNumberFormat="1" applyFont="1" applyBorder="1" applyAlignment="1">
      <alignment horizontal="left" vertical="top"/>
    </xf>
    <xf numFmtId="43" fontId="7" fillId="0" borderId="0" xfId="12" applyNumberFormat="1" applyFont="1"/>
    <xf numFmtId="0" fontId="9" fillId="0" borderId="0" xfId="1" applyFont="1" applyAlignment="1">
      <alignment horizontal="center"/>
    </xf>
    <xf numFmtId="0" fontId="18" fillId="6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3" fontId="20" fillId="0" borderId="0" xfId="4" applyNumberFormat="1" applyFont="1" applyAlignment="1">
      <alignment horizontal="left"/>
    </xf>
    <xf numFmtId="0" fontId="4" fillId="0" borderId="0" xfId="12" applyFont="1" applyAlignment="1">
      <alignment horizontal="center"/>
    </xf>
    <xf numFmtId="0" fontId="32" fillId="0" borderId="0" xfId="1" applyFont="1" applyAlignment="1">
      <alignment horizontal="left"/>
    </xf>
    <xf numFmtId="0" fontId="32" fillId="0" borderId="0" xfId="1" applyFont="1" applyAlignment="1">
      <alignment horizontal="left" wrapText="1"/>
    </xf>
    <xf numFmtId="0" fontId="4" fillId="0" borderId="0" xfId="14" applyFont="1" applyAlignment="1">
      <alignment horizontal="center" vertical="center"/>
    </xf>
  </cellXfs>
  <cellStyles count="61">
    <cellStyle name="20% - Accent1 2" xfId="21" xr:uid="{67345F89-F8A0-4AD2-BB60-9C83FCC3FBA6}"/>
    <cellStyle name="20% - Accent2 2" xfId="22" xr:uid="{06DAD45F-2BA1-46C8-920E-8C3A9ADC6555}"/>
    <cellStyle name="20% - Accent3 2" xfId="23" xr:uid="{C1BDC17A-B87D-49CE-A62C-EB7A19326296}"/>
    <cellStyle name="20% - Accent4 2" xfId="24" xr:uid="{F7214791-58AD-438B-B141-0504668F332F}"/>
    <cellStyle name="20% - Accent5 2" xfId="25" xr:uid="{B323E1CC-FE57-4F1B-8A1D-C4AFEB857EB4}"/>
    <cellStyle name="20% - Accent6 2" xfId="26" xr:uid="{FEBD3A03-4587-4272-9DDC-8E0657B3A69B}"/>
    <cellStyle name="40% - Accent1 2" xfId="27" xr:uid="{95977F69-7BD0-4944-ACE2-4F9BCB596BB0}"/>
    <cellStyle name="40% - Accent2 2" xfId="28" xr:uid="{A5115280-3FD5-4197-A309-5BD119B27204}"/>
    <cellStyle name="40% - Accent3 2" xfId="29" xr:uid="{767C79E6-4EC9-4914-99CB-5D245EB40430}"/>
    <cellStyle name="40% - Accent4 2" xfId="30" xr:uid="{1F7FDF57-51D1-45A8-8C02-07C24FB26AAB}"/>
    <cellStyle name="40% - Accent5 2" xfId="31" xr:uid="{A8F36EA4-2ABB-4CA1-B44D-7DE91C6D379A}"/>
    <cellStyle name="40% - Accent6 2" xfId="32" xr:uid="{B42750E8-DDE9-4118-A7D7-85BB6FC87994}"/>
    <cellStyle name="60% - Accent1 2" xfId="33" xr:uid="{06E6C271-92E4-43B8-91F7-B8E1521232B8}"/>
    <cellStyle name="60% - Accent2 2" xfId="34" xr:uid="{1E33B71C-7677-41EE-8718-3422CCFDBB63}"/>
    <cellStyle name="60% - Accent3 2" xfId="35" xr:uid="{68B3FDBF-C4A8-43DA-AFC1-E2C62236756D}"/>
    <cellStyle name="60% - Accent4 2" xfId="36" xr:uid="{2AB9843C-5A50-4718-A38C-498F56AA9370}"/>
    <cellStyle name="60% - Accent5 2" xfId="37" xr:uid="{4FAC466F-D940-44CF-A711-DC705CAB315A}"/>
    <cellStyle name="60% - Accent6 2" xfId="38" xr:uid="{90A3D34A-5ECC-400B-B4A0-4DA3273109C0}"/>
    <cellStyle name="Accent1 2" xfId="39" xr:uid="{39EB6CFA-129F-4ECE-893B-7DD318295E28}"/>
    <cellStyle name="Accent2 2" xfId="40" xr:uid="{0AFDEDA9-9319-4FD0-8A10-52C21D49EA64}"/>
    <cellStyle name="Accent3 2" xfId="41" xr:uid="{2757B571-EF5C-482D-BCA7-ED4788601DC8}"/>
    <cellStyle name="Accent4 2" xfId="42" xr:uid="{25F77FA5-A893-44E7-AF8C-602124FC769E}"/>
    <cellStyle name="Accent5 2" xfId="43" xr:uid="{51B28D43-1A17-4892-B307-9A6D1037DE73}"/>
    <cellStyle name="Accent6 2" xfId="44" xr:uid="{84961F5E-115B-449E-BA4B-A7CD022388F8}"/>
    <cellStyle name="Bad 2" xfId="45" xr:uid="{397016E7-AD53-4531-9E93-D73306EE645C}"/>
    <cellStyle name="Calculation 2" xfId="46" xr:uid="{6C49C1C8-360A-4CCB-B473-8C59AE309694}"/>
    <cellStyle name="Check Cell 2" xfId="47" xr:uid="{F69DD346-CD6F-4761-8F8E-1C635D47F306}"/>
    <cellStyle name="Comma" xfId="19" builtinId="3"/>
    <cellStyle name="Comma 2" xfId="2" xr:uid="{EE9CBDAB-3317-416D-85D7-4EE376B92FAC}"/>
    <cellStyle name="Comma 2 2" xfId="6" xr:uid="{070C3DBC-4C6F-4F14-9A82-D3A66448ECEC}"/>
    <cellStyle name="Comma 3" xfId="10" xr:uid="{A3C0A47D-B576-4E1C-BD86-DF92B435A97C}"/>
    <cellStyle name="Comma 4" xfId="17" xr:uid="{3D4B8B56-EDA7-4B3A-A43A-698380395C40}"/>
    <cellStyle name="Currency 2" xfId="13" xr:uid="{06888A15-4A11-42AB-91F0-B07A95D0FDF2}"/>
    <cellStyle name="Explanatory Text 2" xfId="48" xr:uid="{25B615A0-0ADF-43C1-AFB0-BC2F24BA448E}"/>
    <cellStyle name="Good 2" xfId="7" xr:uid="{09C2C535-503E-4F60-A940-B948E3505530}"/>
    <cellStyle name="Good 3" xfId="49" xr:uid="{2750BDEE-C9BA-4D66-87E7-196DC9CD04F0}"/>
    <cellStyle name="Heading 1 2" xfId="50" xr:uid="{3B8EFB47-D651-4238-822F-8274DC4F008D}"/>
    <cellStyle name="Heading 2 2" xfId="51" xr:uid="{FBF04D3F-DFF8-4BD9-8183-492CF27E8736}"/>
    <cellStyle name="Heading 3 2" xfId="52" xr:uid="{CEC070F6-88D8-4C26-B19C-B8DB87C329EF}"/>
    <cellStyle name="Heading 4 2" xfId="53" xr:uid="{AF9F3509-4904-43A1-B77E-29B574D94193}"/>
    <cellStyle name="Input 2" xfId="54" xr:uid="{42CEAD2D-3D5A-4B1D-B5A7-12A7DD59C099}"/>
    <cellStyle name="Linked Cell 2" xfId="55" xr:uid="{CCB0EF0F-03A9-44A6-AC16-3EB3C3074E43}"/>
    <cellStyle name="Neutral 2" xfId="8" xr:uid="{97664B84-849A-481D-888C-63DE1CAC3F51}"/>
    <cellStyle name="Normal" xfId="0" builtinId="0"/>
    <cellStyle name="Normal 2" xfId="1" xr:uid="{D2516152-5D96-4FAC-944A-39D21CF4E337}"/>
    <cellStyle name="Normal 2 2" xfId="5" xr:uid="{9246942D-43F1-4611-93C5-C3A27C2150EF}"/>
    <cellStyle name="Normal 2 2 2" xfId="14" xr:uid="{8E9490BE-09E2-4843-84B2-9E2C7129B36E}"/>
    <cellStyle name="Normal 3" xfId="9" xr:uid="{460D82B9-7C52-4041-8251-901804210862}"/>
    <cellStyle name="Normal 4" xfId="16" xr:uid="{5EF23739-4023-4465-B5D0-132A1BEEB40A}"/>
    <cellStyle name="Normal 5" xfId="12" xr:uid="{98AB1C74-633E-4E94-9963-23E773C4922B}"/>
    <cellStyle name="Normal_Sheet2" xfId="4" xr:uid="{12CEEAA0-1E93-4289-A9A9-DF3F740E9216}"/>
    <cellStyle name="Note 2" xfId="11" xr:uid="{CCABAC7B-40A0-4967-A702-5D8F56C4084B}"/>
    <cellStyle name="Note 3" xfId="56" xr:uid="{57D16829-2665-4CE0-9588-1D97F2AF903F}"/>
    <cellStyle name="Output 2" xfId="57" xr:uid="{70EF1199-137A-4CD5-8993-B10D8E0A92E1}"/>
    <cellStyle name="Percent" xfId="20" builtinId="5"/>
    <cellStyle name="Percent 2" xfId="3" xr:uid="{278C2E0A-1063-4F60-AF61-B022E1212136}"/>
    <cellStyle name="Percent 2 2" xfId="15" xr:uid="{E5FBE1E0-EF52-4FE7-B394-CC020FC94FE5}"/>
    <cellStyle name="Percent 3" xfId="18" xr:uid="{6B9EDDEB-857F-49FD-BB91-BFF994AF3C2D}"/>
    <cellStyle name="Title 2" xfId="58" xr:uid="{47EDD636-9772-44BA-AE42-6FD17DDC2360}"/>
    <cellStyle name="Total 2" xfId="59" xr:uid="{8895361E-84CD-46E7-92BB-D81614FA391D}"/>
    <cellStyle name="Warning Text 2" xfId="60" xr:uid="{648F5021-E65D-4535-A5B9-398D89FC5DE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22</xdr:row>
      <xdr:rowOff>219075</xdr:rowOff>
    </xdr:from>
    <xdr:to>
      <xdr:col>16</xdr:col>
      <xdr:colOff>428625</xdr:colOff>
      <xdr:row>22</xdr:row>
      <xdr:rowOff>704850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87E40B88-69F8-41FD-BE7E-AD51F41E6B2A}"/>
            </a:ext>
          </a:extLst>
        </xdr:cNvPr>
        <xdr:cNvSpPr/>
      </xdr:nvSpPr>
      <xdr:spPr>
        <a:xfrm>
          <a:off x="6324600" y="3362325"/>
          <a:ext cx="2638425" cy="4857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nca\Documents\Kalahiki%20Consulting%20LLC\Arrow\2023%20Rate%20Case\Pro%20Forma\ALS%20-%20UTC%20Pro%20Forma%20TYE%202022-09-30%20-%202023-02-06.xlsx" TargetMode="External"/><Relationship Id="rId1" Type="http://schemas.openxmlformats.org/officeDocument/2006/relationships/externalLinkPath" Target="/Users/annca/Documents/Kalahiki%20Consulting%20LLC/Arrow/2023%20Rate%20Case/Pro%20Forma/ALS%20-%20UTC%20Pro%20Forma%20TYE%202022-09-30%20-%20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12-month P&amp;L-Alloc"/>
      <sheetName val="Results of Operations"/>
      <sheetName val="Restating Adj"/>
      <sheetName val="Pro Forma Adj"/>
      <sheetName val="Support"/>
      <sheetName val="Reg Depr"/>
      <sheetName val="Payroll"/>
      <sheetName val="Professional Fees"/>
      <sheetName val="Rents"/>
      <sheetName val="Moorage"/>
      <sheetName val="Price Out"/>
      <sheetName val="MEI-Accting Alloc"/>
      <sheetName val="MEI-Legal Alloc"/>
      <sheetName val="Allocators"/>
      <sheetName val="Eng Hours"/>
      <sheetName val="Crew Hours"/>
      <sheetName val="Insurance '21-'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D8">
            <v>0.87370000000000003</v>
          </cell>
        </row>
        <row r="10">
          <cell r="D10">
            <v>0.87890000000000001</v>
          </cell>
        </row>
        <row r="12">
          <cell r="D12">
            <v>0.80933992066633509</v>
          </cell>
        </row>
        <row r="14">
          <cell r="D14">
            <v>0.7429984606894694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736C-EE9B-4B46-BA0A-EBCCBEAFD542}">
  <sheetPr>
    <pageSetUpPr fitToPage="1"/>
  </sheetPr>
  <dimension ref="B1:R207"/>
  <sheetViews>
    <sheetView tabSelected="1" zoomScale="102" workbookViewId="0">
      <pane xSplit="2" ySplit="6" topLeftCell="C138" activePane="bottomRight" state="frozen"/>
      <selection pane="topRight" activeCell="C1" sqref="C1"/>
      <selection pane="bottomLeft" activeCell="A7" sqref="A7"/>
      <selection pane="bottomRight" activeCell="P163" sqref="P163"/>
    </sheetView>
  </sheetViews>
  <sheetFormatPr defaultColWidth="10.28515625" defaultRowHeight="15" x14ac:dyDescent="0.25"/>
  <cols>
    <col min="1" max="1" width="2.42578125" style="2" customWidth="1"/>
    <col min="2" max="2" width="40.85546875" style="2" bestFit="1" customWidth="1"/>
    <col min="3" max="3" width="2.85546875" style="2" customWidth="1"/>
    <col min="4" max="4" width="9.85546875" style="42" customWidth="1"/>
    <col min="5" max="5" width="10.42578125" style="42" customWidth="1"/>
    <col min="6" max="6" width="10.140625" style="42" customWidth="1"/>
    <col min="7" max="7" width="9.7109375" style="42" customWidth="1"/>
    <col min="8" max="8" width="10.140625" style="42" customWidth="1"/>
    <col min="9" max="9" width="10.42578125" style="42" customWidth="1"/>
    <col min="10" max="10" width="10" style="42" customWidth="1"/>
    <col min="11" max="11" width="10.7109375" style="42" customWidth="1"/>
    <col min="12" max="12" width="9.85546875" style="42" customWidth="1"/>
    <col min="13" max="13" width="9.7109375" style="42" customWidth="1"/>
    <col min="14" max="14" width="10.28515625" style="42" customWidth="1"/>
    <col min="15" max="15" width="10.5703125" style="42" customWidth="1"/>
    <col min="16" max="16" width="11.7109375" style="42" customWidth="1"/>
    <col min="17" max="17" width="10.28515625" style="2"/>
    <col min="18" max="18" width="11.7109375" style="2" bestFit="1" customWidth="1"/>
    <col min="19" max="16384" width="10.28515625" style="2"/>
  </cols>
  <sheetData>
    <row r="1" spans="2:18" ht="18.7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15.75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5.75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15.75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x14ac:dyDescent="0.25">
      <c r="B5" s="5" t="s">
        <v>3</v>
      </c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8" x14ac:dyDescent="0.25">
      <c r="B6" s="7" t="s">
        <v>4</v>
      </c>
      <c r="C6" s="7"/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</row>
    <row r="7" spans="2:18" x14ac:dyDescent="0.25">
      <c r="B7" s="287"/>
      <c r="C7" s="287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</row>
    <row r="8" spans="2:18" x14ac:dyDescent="0.25">
      <c r="B8" s="12" t="s">
        <v>18</v>
      </c>
      <c r="C8" s="13"/>
      <c r="D8" s="14"/>
      <c r="E8" s="14"/>
      <c r="F8" s="14"/>
      <c r="G8" s="14"/>
      <c r="H8" s="14"/>
      <c r="I8" s="14"/>
      <c r="J8" s="15"/>
      <c r="K8" s="14"/>
      <c r="L8" s="14"/>
      <c r="M8" s="14"/>
      <c r="N8" s="14"/>
      <c r="O8" s="14"/>
      <c r="P8" s="14"/>
    </row>
    <row r="9" spans="2:18" x14ac:dyDescent="0.25">
      <c r="B9" s="16"/>
      <c r="C9" s="13"/>
      <c r="D9" s="14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2:18" x14ac:dyDescent="0.25">
      <c r="B10" s="12" t="s">
        <v>19</v>
      </c>
      <c r="C10" s="9"/>
      <c r="D10" s="10"/>
      <c r="E10" s="10"/>
      <c r="F10" s="10"/>
      <c r="G10" s="10"/>
      <c r="H10" s="10"/>
      <c r="I10" s="10"/>
      <c r="J10" s="11"/>
      <c r="K10" s="10"/>
      <c r="L10" s="10"/>
      <c r="M10" s="10"/>
      <c r="N10" s="10"/>
      <c r="O10" s="10"/>
      <c r="P10" s="10"/>
    </row>
    <row r="11" spans="2:18" x14ac:dyDescent="0.25">
      <c r="B11" s="17" t="s">
        <v>20</v>
      </c>
      <c r="C11" s="13"/>
      <c r="D11" s="18">
        <v>103456.89</v>
      </c>
      <c r="E11" s="18">
        <v>151954.54</v>
      </c>
      <c r="F11" s="18">
        <v>111551.15</v>
      </c>
      <c r="G11" s="18">
        <v>147553.65</v>
      </c>
      <c r="H11" s="18">
        <v>145848.14000000001</v>
      </c>
      <c r="I11" s="18">
        <v>95656.33</v>
      </c>
      <c r="J11" s="19">
        <v>150931.91999999998</v>
      </c>
      <c r="K11" s="18">
        <v>123131.65</v>
      </c>
      <c r="L11" s="18">
        <v>107382.03</v>
      </c>
      <c r="M11" s="18">
        <v>111380.84000000001</v>
      </c>
      <c r="N11" s="19">
        <v>109616.79</v>
      </c>
      <c r="O11" s="18">
        <v>124404.39</v>
      </c>
      <c r="P11" s="14">
        <f>SUM(D11:O11)</f>
        <v>1482868.3199999998</v>
      </c>
    </row>
    <row r="12" spans="2:18" x14ac:dyDescent="0.25">
      <c r="B12" s="17" t="s">
        <v>21</v>
      </c>
      <c r="C12" s="13"/>
      <c r="D12" s="18">
        <v>34163.26</v>
      </c>
      <c r="E12" s="18">
        <v>29466.76</v>
      </c>
      <c r="F12" s="18">
        <v>40602</v>
      </c>
      <c r="G12" s="18">
        <v>21664.880000000001</v>
      </c>
      <c r="H12" s="18">
        <v>37003.89</v>
      </c>
      <c r="I12" s="18">
        <v>30716.63</v>
      </c>
      <c r="J12" s="19">
        <v>20111.629999999997</v>
      </c>
      <c r="K12" s="18">
        <v>14506.130000000001</v>
      </c>
      <c r="L12" s="18">
        <v>35329.26</v>
      </c>
      <c r="M12" s="18">
        <v>26967</v>
      </c>
      <c r="N12" s="18">
        <v>36406.130000000005</v>
      </c>
      <c r="O12" s="18">
        <v>24694.5</v>
      </c>
      <c r="P12" s="14">
        <f t="shared" ref="P12:P27" si="0">SUM(D12:O12)</f>
        <v>351632.07</v>
      </c>
    </row>
    <row r="13" spans="2:18" x14ac:dyDescent="0.25">
      <c r="B13" s="17" t="s">
        <v>22</v>
      </c>
      <c r="C13" s="13"/>
      <c r="D13" s="18">
        <v>11445</v>
      </c>
      <c r="E13" s="18">
        <v>9600</v>
      </c>
      <c r="F13" s="18">
        <v>13920</v>
      </c>
      <c r="G13" s="18">
        <v>6232.5</v>
      </c>
      <c r="H13" s="18">
        <v>12810</v>
      </c>
      <c r="I13" s="18">
        <v>9030</v>
      </c>
      <c r="J13" s="19">
        <v>6922.5</v>
      </c>
      <c r="K13" s="18">
        <v>5475</v>
      </c>
      <c r="L13" s="18">
        <v>14610</v>
      </c>
      <c r="M13" s="18">
        <v>9810</v>
      </c>
      <c r="N13" s="18">
        <v>10695</v>
      </c>
      <c r="O13" s="18">
        <v>9765</v>
      </c>
      <c r="P13" s="14">
        <f t="shared" si="0"/>
        <v>120315</v>
      </c>
    </row>
    <row r="14" spans="2:18" x14ac:dyDescent="0.25">
      <c r="B14" s="17" t="s">
        <v>23</v>
      </c>
      <c r="C14" s="13"/>
      <c r="D14" s="18">
        <v>22620</v>
      </c>
      <c r="E14" s="18">
        <v>32085</v>
      </c>
      <c r="F14" s="18">
        <v>23820</v>
      </c>
      <c r="G14" s="18">
        <v>29310</v>
      </c>
      <c r="H14" s="18">
        <v>29467.5</v>
      </c>
      <c r="I14" s="18">
        <v>18937.5</v>
      </c>
      <c r="J14" s="19">
        <v>33052.5</v>
      </c>
      <c r="K14" s="18">
        <v>34192.5</v>
      </c>
      <c r="L14" s="18">
        <v>28230</v>
      </c>
      <c r="M14" s="18">
        <v>25057.5</v>
      </c>
      <c r="N14" s="18">
        <v>26512.5</v>
      </c>
      <c r="O14" s="18">
        <v>30135</v>
      </c>
      <c r="P14" s="14">
        <f t="shared" si="0"/>
        <v>333420</v>
      </c>
    </row>
    <row r="15" spans="2:18" x14ac:dyDescent="0.25">
      <c r="B15" s="17" t="s">
        <v>24</v>
      </c>
      <c r="C15" s="13"/>
      <c r="D15" s="18">
        <v>12432.75</v>
      </c>
      <c r="E15" s="18">
        <v>5082</v>
      </c>
      <c r="F15" s="18">
        <v>17333.25</v>
      </c>
      <c r="G15" s="18">
        <v>35483.26</v>
      </c>
      <c r="H15" s="18">
        <v>7776.25</v>
      </c>
      <c r="I15" s="18">
        <v>7398.51</v>
      </c>
      <c r="J15" s="19">
        <v>13920.380000000001</v>
      </c>
      <c r="K15" s="18">
        <v>49389.01</v>
      </c>
      <c r="L15" s="18">
        <v>17826.48</v>
      </c>
      <c r="M15" s="18">
        <v>9090</v>
      </c>
      <c r="N15" s="18">
        <v>2196.75</v>
      </c>
      <c r="O15" s="18">
        <v>14960.630000000001</v>
      </c>
      <c r="P15" s="14">
        <f t="shared" si="0"/>
        <v>192889.27000000002</v>
      </c>
    </row>
    <row r="16" spans="2:18" x14ac:dyDescent="0.25">
      <c r="B16" s="17" t="s">
        <v>25</v>
      </c>
      <c r="C16" s="13"/>
      <c r="D16" s="18">
        <v>17157.38</v>
      </c>
      <c r="E16" s="18">
        <v>55903.5</v>
      </c>
      <c r="F16" s="18">
        <v>61887.75</v>
      </c>
      <c r="G16" s="18">
        <v>24656.63</v>
      </c>
      <c r="H16" s="18">
        <v>44095.75</v>
      </c>
      <c r="I16" s="18">
        <v>25868.63</v>
      </c>
      <c r="J16" s="19">
        <v>32610.38</v>
      </c>
      <c r="K16" s="18">
        <v>50880.11</v>
      </c>
      <c r="L16" s="18">
        <v>48788.130000000005</v>
      </c>
      <c r="M16" s="18">
        <v>33673.509999999995</v>
      </c>
      <c r="N16" s="18">
        <v>33831.08</v>
      </c>
      <c r="O16" s="18">
        <v>50345.939999999995</v>
      </c>
      <c r="P16" s="14">
        <f t="shared" si="0"/>
        <v>479698.79000000004</v>
      </c>
    </row>
    <row r="17" spans="2:16" x14ac:dyDescent="0.25">
      <c r="B17" s="17" t="s">
        <v>26</v>
      </c>
      <c r="C17" s="13"/>
      <c r="D17" s="18">
        <v>6438.75</v>
      </c>
      <c r="E17" s="18">
        <v>5454</v>
      </c>
      <c r="F17" s="18">
        <v>4848</v>
      </c>
      <c r="G17" s="18">
        <v>5605.5</v>
      </c>
      <c r="H17" s="18">
        <v>6438.76</v>
      </c>
      <c r="I17" s="18">
        <v>5984.25</v>
      </c>
      <c r="J17" s="19">
        <v>3333</v>
      </c>
      <c r="K17" s="18">
        <v>606</v>
      </c>
      <c r="L17" s="18">
        <v>4166.25</v>
      </c>
      <c r="M17" s="18">
        <v>7272</v>
      </c>
      <c r="N17" s="18">
        <v>11286.75</v>
      </c>
      <c r="O17" s="18">
        <v>4355.63</v>
      </c>
      <c r="P17" s="14">
        <f t="shared" si="0"/>
        <v>65788.89</v>
      </c>
    </row>
    <row r="18" spans="2:16" x14ac:dyDescent="0.25">
      <c r="B18" s="17" t="s">
        <v>27</v>
      </c>
      <c r="C18" s="13"/>
      <c r="D18" s="18">
        <v>1635</v>
      </c>
      <c r="E18" s="18">
        <v>1260</v>
      </c>
      <c r="F18" s="18">
        <v>1140</v>
      </c>
      <c r="G18" s="18">
        <v>1665</v>
      </c>
      <c r="H18" s="18">
        <v>2025</v>
      </c>
      <c r="I18" s="18">
        <v>1695</v>
      </c>
      <c r="J18" s="19">
        <v>870</v>
      </c>
      <c r="K18" s="18">
        <v>120</v>
      </c>
      <c r="L18" s="18">
        <v>1710</v>
      </c>
      <c r="M18" s="18">
        <v>1920</v>
      </c>
      <c r="N18" s="18">
        <v>2955</v>
      </c>
      <c r="O18" s="18">
        <v>1612.5</v>
      </c>
      <c r="P18" s="14">
        <f t="shared" si="0"/>
        <v>18607.5</v>
      </c>
    </row>
    <row r="19" spans="2:16" x14ac:dyDescent="0.25">
      <c r="B19" s="17" t="s">
        <v>28</v>
      </c>
      <c r="C19" s="13"/>
      <c r="D19" s="18">
        <v>4027.5</v>
      </c>
      <c r="E19" s="18">
        <v>11070</v>
      </c>
      <c r="F19" s="18">
        <v>12405</v>
      </c>
      <c r="G19" s="18">
        <v>5025</v>
      </c>
      <c r="H19" s="18">
        <v>8895</v>
      </c>
      <c r="I19" s="18">
        <v>5482.5</v>
      </c>
      <c r="J19" s="19">
        <v>6457.5</v>
      </c>
      <c r="K19" s="18">
        <v>10515</v>
      </c>
      <c r="L19" s="18">
        <v>10350</v>
      </c>
      <c r="M19" s="18">
        <v>5482.5</v>
      </c>
      <c r="N19" s="18">
        <v>7147.5</v>
      </c>
      <c r="O19" s="18">
        <v>9675</v>
      </c>
      <c r="P19" s="14">
        <f t="shared" si="0"/>
        <v>96532.5</v>
      </c>
    </row>
    <row r="20" spans="2:16" x14ac:dyDescent="0.25">
      <c r="B20" s="17" t="s">
        <v>29</v>
      </c>
      <c r="C20" s="13"/>
      <c r="D20" s="18">
        <v>145978.96</v>
      </c>
      <c r="E20" s="18">
        <v>156272.32000000001</v>
      </c>
      <c r="F20" s="18">
        <v>131234.32</v>
      </c>
      <c r="G20" s="18">
        <v>119805.05</v>
      </c>
      <c r="H20" s="18">
        <v>121578.81</v>
      </c>
      <c r="I20" s="18">
        <v>117223.21</v>
      </c>
      <c r="J20" s="19">
        <v>112296.45</v>
      </c>
      <c r="K20" s="18">
        <v>124242.81</v>
      </c>
      <c r="L20" s="18">
        <v>96694.930000000008</v>
      </c>
      <c r="M20" s="18">
        <v>90104.650000000009</v>
      </c>
      <c r="N20" s="18">
        <v>117904.92000000001</v>
      </c>
      <c r="O20" s="18">
        <v>61698.43</v>
      </c>
      <c r="P20" s="14">
        <f t="shared" si="0"/>
        <v>1395034.8599999996</v>
      </c>
    </row>
    <row r="21" spans="2:16" x14ac:dyDescent="0.25">
      <c r="B21" s="17" t="s">
        <v>30</v>
      </c>
      <c r="C21" s="13"/>
      <c r="D21" s="18">
        <v>9544.5</v>
      </c>
      <c r="E21" s="18">
        <v>8029.5</v>
      </c>
      <c r="F21" s="18">
        <v>9696</v>
      </c>
      <c r="G21" s="18">
        <v>5529.75</v>
      </c>
      <c r="H21" s="18">
        <v>10150.5</v>
      </c>
      <c r="I21" s="18">
        <v>11438.25</v>
      </c>
      <c r="J21" s="19">
        <v>6552.38</v>
      </c>
      <c r="K21" s="18">
        <v>5832.75</v>
      </c>
      <c r="L21" s="18">
        <v>2727</v>
      </c>
      <c r="M21" s="18">
        <v>0</v>
      </c>
      <c r="N21" s="18">
        <v>7044.75</v>
      </c>
      <c r="O21" s="18">
        <v>2007.38</v>
      </c>
      <c r="P21" s="14">
        <f t="shared" si="0"/>
        <v>78552.760000000009</v>
      </c>
    </row>
    <row r="22" spans="2:16" x14ac:dyDescent="0.25">
      <c r="B22" s="17" t="s">
        <v>31</v>
      </c>
      <c r="C22" s="13"/>
      <c r="D22" s="18">
        <v>3180</v>
      </c>
      <c r="E22" s="18">
        <v>2265</v>
      </c>
      <c r="F22" s="18">
        <v>2145</v>
      </c>
      <c r="G22" s="18">
        <v>2415</v>
      </c>
      <c r="H22" s="18">
        <v>2700</v>
      </c>
      <c r="I22" s="18">
        <v>2595</v>
      </c>
      <c r="J22" s="19">
        <v>1927.5</v>
      </c>
      <c r="K22" s="18">
        <v>1155</v>
      </c>
      <c r="L22" s="18">
        <v>540</v>
      </c>
      <c r="M22" s="18">
        <v>0</v>
      </c>
      <c r="N22" s="18">
        <v>1575</v>
      </c>
      <c r="O22" s="18">
        <v>795</v>
      </c>
      <c r="P22" s="14">
        <f t="shared" si="0"/>
        <v>21292.5</v>
      </c>
    </row>
    <row r="23" spans="2:16" x14ac:dyDescent="0.25">
      <c r="B23" s="17" t="s">
        <v>32</v>
      </c>
      <c r="C23" s="13"/>
      <c r="D23" s="18">
        <v>29895</v>
      </c>
      <c r="E23" s="18">
        <v>32490</v>
      </c>
      <c r="F23" s="18">
        <v>30015</v>
      </c>
      <c r="G23" s="18">
        <v>23340</v>
      </c>
      <c r="H23" s="18">
        <v>24360.9</v>
      </c>
      <c r="I23" s="18">
        <v>23362.5</v>
      </c>
      <c r="J23" s="19">
        <v>22492.5</v>
      </c>
      <c r="K23" s="18">
        <v>25777.5</v>
      </c>
      <c r="L23" s="18">
        <v>19207.5</v>
      </c>
      <c r="M23" s="18">
        <v>17842.5</v>
      </c>
      <c r="N23" s="18">
        <v>23347.5</v>
      </c>
      <c r="O23" s="18">
        <v>12217.5</v>
      </c>
      <c r="P23" s="14">
        <f t="shared" si="0"/>
        <v>284348.40000000002</v>
      </c>
    </row>
    <row r="24" spans="2:16" x14ac:dyDescent="0.25">
      <c r="B24" s="17" t="s">
        <v>33</v>
      </c>
      <c r="C24" s="13"/>
      <c r="D24" s="18">
        <v>117109.6</v>
      </c>
      <c r="E24" s="18">
        <v>91922.66</v>
      </c>
      <c r="F24" s="18">
        <v>84234.05</v>
      </c>
      <c r="G24" s="18">
        <v>77795.289999999994</v>
      </c>
      <c r="H24" s="18">
        <v>81006.14</v>
      </c>
      <c r="I24" s="18">
        <v>79310.28</v>
      </c>
      <c r="J24" s="19">
        <v>76330.92</v>
      </c>
      <c r="K24" s="18">
        <v>92320.52</v>
      </c>
      <c r="L24" s="18">
        <v>53214.400000000001</v>
      </c>
      <c r="M24" s="18">
        <v>32193.78</v>
      </c>
      <c r="N24" s="18">
        <v>33254.29</v>
      </c>
      <c r="O24" s="18">
        <v>48783.03</v>
      </c>
      <c r="P24" s="14">
        <f t="shared" si="0"/>
        <v>867474.9600000002</v>
      </c>
    </row>
    <row r="25" spans="2:16" x14ac:dyDescent="0.25">
      <c r="B25" s="17" t="s">
        <v>34</v>
      </c>
      <c r="C25" s="13"/>
      <c r="D25" s="18">
        <v>7196.25</v>
      </c>
      <c r="E25" s="18">
        <v>11514</v>
      </c>
      <c r="F25" s="18">
        <v>18028.5</v>
      </c>
      <c r="G25" s="18">
        <v>13104.75</v>
      </c>
      <c r="H25" s="18">
        <v>14722.38</v>
      </c>
      <c r="I25" s="18">
        <v>11892.75</v>
      </c>
      <c r="J25" s="19">
        <v>7770.38</v>
      </c>
      <c r="K25" s="18">
        <v>13142.63</v>
      </c>
      <c r="L25" s="18">
        <v>8559.75</v>
      </c>
      <c r="M25" s="18">
        <v>0</v>
      </c>
      <c r="N25" s="18">
        <v>7764.38</v>
      </c>
      <c r="O25" s="18">
        <v>4317.75</v>
      </c>
      <c r="P25" s="14">
        <f t="shared" si="0"/>
        <v>118013.52000000002</v>
      </c>
    </row>
    <row r="26" spans="2:16" x14ac:dyDescent="0.25">
      <c r="B26" s="17" t="s">
        <v>35</v>
      </c>
      <c r="C26" s="13"/>
      <c r="D26" s="18">
        <v>1845</v>
      </c>
      <c r="E26" s="18">
        <v>3765</v>
      </c>
      <c r="F26" s="18">
        <v>6195</v>
      </c>
      <c r="G26" s="18">
        <v>4080</v>
      </c>
      <c r="H26" s="18">
        <v>3487.5</v>
      </c>
      <c r="I26" s="18">
        <v>4035</v>
      </c>
      <c r="J26" s="19">
        <v>1770</v>
      </c>
      <c r="K26" s="18">
        <v>4035</v>
      </c>
      <c r="L26" s="18">
        <v>3105</v>
      </c>
      <c r="M26" s="18">
        <v>0</v>
      </c>
      <c r="N26" s="18">
        <v>3075</v>
      </c>
      <c r="O26" s="18">
        <v>1590</v>
      </c>
      <c r="P26" s="14">
        <f t="shared" si="0"/>
        <v>36982.5</v>
      </c>
    </row>
    <row r="27" spans="2:16" x14ac:dyDescent="0.25">
      <c r="B27" s="17" t="s">
        <v>36</v>
      </c>
      <c r="C27" s="13"/>
      <c r="D27" s="20">
        <v>23852.25</v>
      </c>
      <c r="E27" s="20">
        <v>18202.5</v>
      </c>
      <c r="F27" s="20">
        <v>17397.75</v>
      </c>
      <c r="G27" s="20">
        <v>15405</v>
      </c>
      <c r="H27" s="20">
        <v>16200</v>
      </c>
      <c r="I27" s="20">
        <v>15705</v>
      </c>
      <c r="J27" s="21">
        <v>15270</v>
      </c>
      <c r="K27" s="20">
        <v>18000</v>
      </c>
      <c r="L27" s="20">
        <v>10537.5</v>
      </c>
      <c r="M27" s="20">
        <v>6375</v>
      </c>
      <c r="N27" s="20">
        <v>6585</v>
      </c>
      <c r="O27" s="20">
        <v>9600</v>
      </c>
      <c r="P27" s="22">
        <f t="shared" si="0"/>
        <v>173130</v>
      </c>
    </row>
    <row r="28" spans="2:16" x14ac:dyDescent="0.25">
      <c r="B28" s="23" t="s">
        <v>37</v>
      </c>
      <c r="C28" s="24"/>
      <c r="D28" s="25">
        <f t="shared" ref="D28:P28" si="1">SUM(D11:D27)</f>
        <v>551978.09</v>
      </c>
      <c r="E28" s="25">
        <f t="shared" si="1"/>
        <v>626336.78</v>
      </c>
      <c r="F28" s="26">
        <f t="shared" si="1"/>
        <v>586452.77</v>
      </c>
      <c r="G28" s="25">
        <f t="shared" si="1"/>
        <v>538671.26</v>
      </c>
      <c r="H28" s="25">
        <f t="shared" si="1"/>
        <v>568566.52</v>
      </c>
      <c r="I28" s="25">
        <f t="shared" si="1"/>
        <v>466331.34000000008</v>
      </c>
      <c r="J28" s="26">
        <f t="shared" si="1"/>
        <v>512619.94</v>
      </c>
      <c r="K28" s="26">
        <f t="shared" si="1"/>
        <v>573321.61</v>
      </c>
      <c r="L28" s="26">
        <f t="shared" si="1"/>
        <v>462978.23000000004</v>
      </c>
      <c r="M28" s="26">
        <f t="shared" si="1"/>
        <v>377169.28</v>
      </c>
      <c r="N28" s="26">
        <f t="shared" si="1"/>
        <v>441198.34</v>
      </c>
      <c r="O28" s="26">
        <f t="shared" si="1"/>
        <v>410957.68000000005</v>
      </c>
      <c r="P28" s="10">
        <f t="shared" si="1"/>
        <v>6116581.8399999999</v>
      </c>
    </row>
    <row r="29" spans="2:16" x14ac:dyDescent="0.25">
      <c r="B29" s="12"/>
      <c r="C29" s="9"/>
      <c r="D29" s="10"/>
      <c r="E29" s="10"/>
      <c r="F29" s="10"/>
      <c r="G29" s="10"/>
      <c r="H29" s="10"/>
      <c r="I29" s="10"/>
      <c r="J29" s="11"/>
      <c r="K29" s="10"/>
      <c r="L29" s="10"/>
      <c r="M29" s="10"/>
      <c r="N29" s="10"/>
      <c r="O29" s="10"/>
      <c r="P29" s="10"/>
    </row>
    <row r="30" spans="2:16" x14ac:dyDescent="0.25">
      <c r="B30" s="12" t="s">
        <v>38</v>
      </c>
      <c r="C30" s="9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2:16" x14ac:dyDescent="0.25">
      <c r="B31" s="17" t="s">
        <v>39</v>
      </c>
      <c r="C31" s="13"/>
      <c r="D31" s="18">
        <v>19027.5</v>
      </c>
      <c r="E31" s="18">
        <v>21850</v>
      </c>
      <c r="F31" s="18">
        <v>23842.5</v>
      </c>
      <c r="G31" s="18">
        <v>18670</v>
      </c>
      <c r="H31" s="18">
        <v>25222.5</v>
      </c>
      <c r="I31" s="18">
        <v>16210</v>
      </c>
      <c r="J31" s="19">
        <v>19792.5</v>
      </c>
      <c r="K31" s="18">
        <v>23255</v>
      </c>
      <c r="L31" s="18">
        <v>24842.5</v>
      </c>
      <c r="M31" s="19">
        <v>18797.5</v>
      </c>
      <c r="N31" s="18">
        <v>26047.25</v>
      </c>
      <c r="O31" s="18">
        <v>24805</v>
      </c>
      <c r="P31" s="14">
        <f>SUM(D31:O31)</f>
        <v>262362.25</v>
      </c>
    </row>
    <row r="32" spans="2:16" x14ac:dyDescent="0.25">
      <c r="B32" s="17" t="s">
        <v>40</v>
      </c>
      <c r="C32" s="13"/>
      <c r="D32" s="18">
        <v>1755</v>
      </c>
      <c r="E32" s="18">
        <v>3315</v>
      </c>
      <c r="F32" s="18">
        <v>3510</v>
      </c>
      <c r="G32" s="18">
        <v>2145</v>
      </c>
      <c r="H32" s="18">
        <v>3510</v>
      </c>
      <c r="I32" s="18">
        <v>1890</v>
      </c>
      <c r="J32" s="19">
        <v>2940</v>
      </c>
      <c r="K32" s="18">
        <v>2940</v>
      </c>
      <c r="L32" s="18">
        <v>3507.46</v>
      </c>
      <c r="M32" s="18">
        <v>5880</v>
      </c>
      <c r="N32" s="18">
        <v>4977.46</v>
      </c>
      <c r="O32" s="18">
        <v>2038.48</v>
      </c>
      <c r="P32" s="14">
        <f t="shared" ref="P32:P33" si="2">SUM(D32:O32)</f>
        <v>38408.400000000001</v>
      </c>
    </row>
    <row r="33" spans="2:17" x14ac:dyDescent="0.25">
      <c r="B33" s="17" t="s">
        <v>41</v>
      </c>
      <c r="C33" s="13"/>
      <c r="D33" s="20">
        <v>6775</v>
      </c>
      <c r="E33" s="20">
        <v>7610</v>
      </c>
      <c r="F33" s="20">
        <v>8332.5</v>
      </c>
      <c r="G33" s="20">
        <v>6560</v>
      </c>
      <c r="H33" s="20">
        <v>8505</v>
      </c>
      <c r="I33" s="20">
        <v>5376.35</v>
      </c>
      <c r="J33" s="21">
        <v>6830</v>
      </c>
      <c r="K33" s="20">
        <v>8730</v>
      </c>
      <c r="L33" s="20">
        <v>8925</v>
      </c>
      <c r="M33" s="20">
        <v>6965</v>
      </c>
      <c r="N33" s="20">
        <v>8966.5</v>
      </c>
      <c r="O33" s="20">
        <v>8222.5</v>
      </c>
      <c r="P33" s="22">
        <f t="shared" si="2"/>
        <v>91797.85</v>
      </c>
    </row>
    <row r="34" spans="2:17" x14ac:dyDescent="0.25">
      <c r="B34" s="23" t="s">
        <v>42</v>
      </c>
      <c r="C34" s="24"/>
      <c r="D34" s="25">
        <f t="shared" ref="D34:P34" si="3">SUM(D31:D33)</f>
        <v>27557.5</v>
      </c>
      <c r="E34" s="25">
        <f t="shared" si="3"/>
        <v>32775</v>
      </c>
      <c r="F34" s="25">
        <f t="shared" si="3"/>
        <v>35685</v>
      </c>
      <c r="G34" s="25">
        <f t="shared" si="3"/>
        <v>27375</v>
      </c>
      <c r="H34" s="25">
        <f t="shared" si="3"/>
        <v>37237.5</v>
      </c>
      <c r="I34" s="25">
        <f t="shared" si="3"/>
        <v>23476.35</v>
      </c>
      <c r="J34" s="25">
        <f t="shared" si="3"/>
        <v>29562.5</v>
      </c>
      <c r="K34" s="25">
        <f t="shared" si="3"/>
        <v>34925</v>
      </c>
      <c r="L34" s="25">
        <f t="shared" si="3"/>
        <v>37274.959999999999</v>
      </c>
      <c r="M34" s="25">
        <f t="shared" si="3"/>
        <v>31642.5</v>
      </c>
      <c r="N34" s="25">
        <f t="shared" si="3"/>
        <v>39991.21</v>
      </c>
      <c r="O34" s="25">
        <f t="shared" si="3"/>
        <v>35065.979999999996</v>
      </c>
      <c r="P34" s="10">
        <f t="shared" si="3"/>
        <v>392568.5</v>
      </c>
    </row>
    <row r="35" spans="2:17" x14ac:dyDescent="0.25">
      <c r="B35" s="12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2:17" x14ac:dyDescent="0.25">
      <c r="B36" s="16" t="s">
        <v>43</v>
      </c>
      <c r="C36" s="13"/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47000</v>
      </c>
      <c r="M36" s="18">
        <v>0</v>
      </c>
      <c r="N36" s="18">
        <v>0</v>
      </c>
      <c r="O36" s="18">
        <v>0</v>
      </c>
      <c r="P36" s="14">
        <f>SUM(D36:O36)</f>
        <v>47000</v>
      </c>
      <c r="Q36" s="27"/>
    </row>
    <row r="37" spans="2:17" x14ac:dyDescent="0.25">
      <c r="B37" s="16" t="s">
        <v>44</v>
      </c>
      <c r="C37" s="13"/>
      <c r="D37" s="18">
        <v>18566.25</v>
      </c>
      <c r="E37" s="18">
        <v>6460.43</v>
      </c>
      <c r="F37" s="18">
        <v>13386.2</v>
      </c>
      <c r="G37" s="18">
        <v>3364</v>
      </c>
      <c r="H37" s="18">
        <v>12394.95</v>
      </c>
      <c r="I37" s="18">
        <v>11241.8</v>
      </c>
      <c r="J37" s="19">
        <v>27961.69</v>
      </c>
      <c r="K37" s="18">
        <v>6028.55</v>
      </c>
      <c r="L37" s="18">
        <v>3759.71</v>
      </c>
      <c r="M37" s="19">
        <v>13912</v>
      </c>
      <c r="N37" s="18">
        <v>12088.009999999998</v>
      </c>
      <c r="O37" s="18">
        <v>51175.92</v>
      </c>
      <c r="P37" s="14">
        <f t="shared" ref="P37:P38" si="4">SUM(D37:O37)</f>
        <v>180339.51</v>
      </c>
    </row>
    <row r="38" spans="2:17" x14ac:dyDescent="0.25">
      <c r="B38" s="16" t="s">
        <v>45</v>
      </c>
      <c r="C38" s="13"/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6808.2599999999984</v>
      </c>
      <c r="O38" s="21">
        <v>8755.7800000000007</v>
      </c>
      <c r="P38" s="28">
        <f t="shared" si="4"/>
        <v>15564.039999999999</v>
      </c>
    </row>
    <row r="39" spans="2:17" x14ac:dyDescent="0.25">
      <c r="B39" s="16"/>
      <c r="C39" s="13"/>
      <c r="D39" s="10">
        <f>SUM(D36:D38)</f>
        <v>18566.25</v>
      </c>
      <c r="E39" s="10">
        <f t="shared" ref="E39:P39" si="5">SUM(E36:E38)</f>
        <v>6460.43</v>
      </c>
      <c r="F39" s="10">
        <f t="shared" si="5"/>
        <v>13386.2</v>
      </c>
      <c r="G39" s="10">
        <f t="shared" si="5"/>
        <v>3364</v>
      </c>
      <c r="H39" s="10">
        <f t="shared" si="5"/>
        <v>12394.95</v>
      </c>
      <c r="I39" s="10">
        <f t="shared" si="5"/>
        <v>11241.8</v>
      </c>
      <c r="J39" s="10">
        <f t="shared" si="5"/>
        <v>27961.69</v>
      </c>
      <c r="K39" s="10">
        <f t="shared" si="5"/>
        <v>6028.55</v>
      </c>
      <c r="L39" s="10">
        <f t="shared" si="5"/>
        <v>50759.71</v>
      </c>
      <c r="M39" s="10">
        <f t="shared" si="5"/>
        <v>13912</v>
      </c>
      <c r="N39" s="10">
        <f t="shared" si="5"/>
        <v>18896.269999999997</v>
      </c>
      <c r="O39" s="29">
        <f t="shared" si="5"/>
        <v>59931.7</v>
      </c>
      <c r="P39" s="10">
        <f t="shared" si="5"/>
        <v>242903.55000000002</v>
      </c>
    </row>
    <row r="40" spans="2:17" x14ac:dyDescent="0.25">
      <c r="B40" s="16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2:17" x14ac:dyDescent="0.25">
      <c r="B41" s="12" t="s">
        <v>46</v>
      </c>
      <c r="C41" s="9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2:17" x14ac:dyDescent="0.25">
      <c r="B42" s="17" t="s">
        <v>47</v>
      </c>
      <c r="C42" s="13"/>
      <c r="D42" s="18">
        <v>10055</v>
      </c>
      <c r="E42" s="18">
        <v>63058.75</v>
      </c>
      <c r="F42" s="18">
        <v>20771.25</v>
      </c>
      <c r="G42" s="18">
        <v>21491.25</v>
      </c>
      <c r="H42" s="18">
        <v>28763.88</v>
      </c>
      <c r="I42" s="18">
        <v>20881.25</v>
      </c>
      <c r="J42" s="18">
        <v>16818.75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4">
        <f>SUM(D42:O42)</f>
        <v>181840.13</v>
      </c>
    </row>
    <row r="43" spans="2:17" x14ac:dyDescent="0.25">
      <c r="B43" s="17" t="s">
        <v>48</v>
      </c>
      <c r="C43" s="13"/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22591.25</v>
      </c>
      <c r="L43" s="18">
        <v>40141.25</v>
      </c>
      <c r="M43" s="18">
        <v>4972.5</v>
      </c>
      <c r="N43" s="18">
        <v>38291.4</v>
      </c>
      <c r="O43" s="18">
        <v>26013.53</v>
      </c>
      <c r="P43" s="14">
        <f t="shared" ref="P43:P48" si="6">SUM(D43:O43)</f>
        <v>132009.93</v>
      </c>
    </row>
    <row r="44" spans="2:17" x14ac:dyDescent="0.25">
      <c r="B44" s="17" t="s">
        <v>49</v>
      </c>
      <c r="C44" s="13"/>
      <c r="D44" s="18">
        <v>1815</v>
      </c>
      <c r="E44" s="18">
        <v>6975</v>
      </c>
      <c r="F44" s="18">
        <v>5190</v>
      </c>
      <c r="G44" s="18">
        <v>5235</v>
      </c>
      <c r="H44" s="18">
        <v>7620</v>
      </c>
      <c r="I44" s="18">
        <v>4650</v>
      </c>
      <c r="J44" s="18">
        <v>2340</v>
      </c>
      <c r="K44" s="18">
        <v>6630</v>
      </c>
      <c r="L44" s="18">
        <v>5370</v>
      </c>
      <c r="M44" s="18">
        <v>2265</v>
      </c>
      <c r="N44" s="18">
        <v>4485</v>
      </c>
      <c r="O44" s="18">
        <v>4890</v>
      </c>
      <c r="P44" s="14">
        <f t="shared" si="6"/>
        <v>57465</v>
      </c>
    </row>
    <row r="45" spans="2:17" x14ac:dyDescent="0.25">
      <c r="B45" s="17" t="s">
        <v>50</v>
      </c>
      <c r="C45" s="13"/>
      <c r="D45" s="18">
        <v>700</v>
      </c>
      <c r="E45" s="18">
        <v>4243.75</v>
      </c>
      <c r="F45" s="18">
        <v>2012.5</v>
      </c>
      <c r="G45" s="18">
        <v>2900</v>
      </c>
      <c r="H45" s="18">
        <v>2975</v>
      </c>
      <c r="I45" s="18">
        <v>2375</v>
      </c>
      <c r="J45" s="18">
        <v>1225</v>
      </c>
      <c r="K45" s="18">
        <v>3995</v>
      </c>
      <c r="L45" s="18">
        <v>3530</v>
      </c>
      <c r="M45" s="18">
        <v>1350</v>
      </c>
      <c r="N45" s="18">
        <v>3501.5</v>
      </c>
      <c r="O45" s="18">
        <v>2972.75</v>
      </c>
      <c r="P45" s="14">
        <f t="shared" si="6"/>
        <v>31780.5</v>
      </c>
    </row>
    <row r="46" spans="2:17" x14ac:dyDescent="0.25">
      <c r="B46" s="17" t="s">
        <v>51</v>
      </c>
      <c r="C46" s="13"/>
      <c r="D46" s="18">
        <v>265</v>
      </c>
      <c r="E46" s="18">
        <v>1395</v>
      </c>
      <c r="F46" s="18">
        <v>690</v>
      </c>
      <c r="G46" s="18">
        <v>1000</v>
      </c>
      <c r="H46" s="18">
        <v>1020</v>
      </c>
      <c r="I46" s="18">
        <v>820</v>
      </c>
      <c r="J46" s="18">
        <v>420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4">
        <f t="shared" si="6"/>
        <v>5610</v>
      </c>
    </row>
    <row r="47" spans="2:17" x14ac:dyDescent="0.25">
      <c r="B47" s="17" t="s">
        <v>52</v>
      </c>
      <c r="C47" s="13"/>
      <c r="D47" s="18">
        <v>270</v>
      </c>
      <c r="E47" s="18">
        <v>1555</v>
      </c>
      <c r="F47" s="18">
        <v>810</v>
      </c>
      <c r="G47" s="18">
        <v>877</v>
      </c>
      <c r="H47" s="18">
        <v>1115</v>
      </c>
      <c r="I47" s="18">
        <v>792</v>
      </c>
      <c r="J47" s="18">
        <v>490</v>
      </c>
      <c r="K47" s="18">
        <v>1165</v>
      </c>
      <c r="L47" s="18">
        <v>792</v>
      </c>
      <c r="M47" s="18">
        <v>440</v>
      </c>
      <c r="N47" s="18">
        <v>902.5</v>
      </c>
      <c r="O47" s="18">
        <v>742.5</v>
      </c>
      <c r="P47" s="14">
        <f t="shared" si="6"/>
        <v>9951</v>
      </c>
    </row>
    <row r="48" spans="2:17" x14ac:dyDescent="0.25">
      <c r="B48" s="17" t="s">
        <v>53</v>
      </c>
      <c r="C48" s="13"/>
      <c r="D48" s="20">
        <v>0</v>
      </c>
      <c r="E48" s="20">
        <v>390</v>
      </c>
      <c r="F48" s="20">
        <v>0</v>
      </c>
      <c r="G48" s="20">
        <v>0</v>
      </c>
      <c r="H48" s="20">
        <v>0</v>
      </c>
      <c r="I48" s="20">
        <v>210</v>
      </c>
      <c r="J48" s="20">
        <v>0</v>
      </c>
      <c r="K48" s="20">
        <v>210</v>
      </c>
      <c r="L48" s="20">
        <v>0</v>
      </c>
      <c r="M48" s="20">
        <v>0</v>
      </c>
      <c r="N48" s="20">
        <v>840</v>
      </c>
      <c r="O48" s="20">
        <v>0</v>
      </c>
      <c r="P48" s="22">
        <f t="shared" si="6"/>
        <v>1650</v>
      </c>
    </row>
    <row r="49" spans="2:16" x14ac:dyDescent="0.25">
      <c r="B49" s="23" t="s">
        <v>54</v>
      </c>
      <c r="C49" s="24"/>
      <c r="D49" s="25">
        <f t="shared" ref="D49:P49" si="7">SUM(D42:D48)</f>
        <v>13105</v>
      </c>
      <c r="E49" s="25">
        <f t="shared" si="7"/>
        <v>77617.5</v>
      </c>
      <c r="F49" s="25">
        <f t="shared" si="7"/>
        <v>29473.75</v>
      </c>
      <c r="G49" s="25">
        <f t="shared" si="7"/>
        <v>31503.25</v>
      </c>
      <c r="H49" s="25">
        <f t="shared" si="7"/>
        <v>41493.880000000005</v>
      </c>
      <c r="I49" s="25">
        <f t="shared" si="7"/>
        <v>29728.25</v>
      </c>
      <c r="J49" s="25">
        <f t="shared" si="7"/>
        <v>21293.75</v>
      </c>
      <c r="K49" s="26">
        <f t="shared" si="7"/>
        <v>34591.25</v>
      </c>
      <c r="L49" s="26">
        <f t="shared" si="7"/>
        <v>49833.25</v>
      </c>
      <c r="M49" s="26">
        <f t="shared" si="7"/>
        <v>9027.5</v>
      </c>
      <c r="N49" s="26">
        <f t="shared" si="7"/>
        <v>48020.4</v>
      </c>
      <c r="O49" s="26">
        <f t="shared" si="7"/>
        <v>34618.78</v>
      </c>
      <c r="P49" s="10">
        <f t="shared" si="7"/>
        <v>420306.56</v>
      </c>
    </row>
    <row r="50" spans="2:16" x14ac:dyDescent="0.25">
      <c r="B50" s="30"/>
      <c r="C50" s="9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2:16" x14ac:dyDescent="0.25">
      <c r="B51" s="12" t="s">
        <v>55</v>
      </c>
      <c r="C51" s="9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2:16" x14ac:dyDescent="0.25">
      <c r="B52" s="17" t="s">
        <v>56</v>
      </c>
      <c r="C52" s="13"/>
      <c r="D52" s="18">
        <v>32391.25</v>
      </c>
      <c r="E52" s="18">
        <v>43722</v>
      </c>
      <c r="F52" s="18">
        <v>18571.25</v>
      </c>
      <c r="G52" s="18">
        <v>57629.85</v>
      </c>
      <c r="H52" s="18">
        <v>54288.75</v>
      </c>
      <c r="I52" s="18">
        <v>60938.13</v>
      </c>
      <c r="J52" s="18"/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4">
        <f>SUM(D52:O52)</f>
        <v>267541.23</v>
      </c>
    </row>
    <row r="53" spans="2:16" x14ac:dyDescent="0.25">
      <c r="B53" s="17" t="s">
        <v>57</v>
      </c>
      <c r="C53" s="13"/>
      <c r="D53" s="18">
        <v>0</v>
      </c>
      <c r="E53" s="19"/>
      <c r="F53" s="18">
        <v>0</v>
      </c>
      <c r="G53" s="18">
        <v>0</v>
      </c>
      <c r="H53" s="18">
        <v>0</v>
      </c>
      <c r="I53" s="18">
        <v>0</v>
      </c>
      <c r="J53" s="18">
        <v>51294.380000000005</v>
      </c>
      <c r="K53" s="18">
        <v>63775</v>
      </c>
      <c r="L53" s="18">
        <v>44310.219999999994</v>
      </c>
      <c r="M53" s="18">
        <v>22376.880000000001</v>
      </c>
      <c r="N53" s="18">
        <v>75977.440000000017</v>
      </c>
      <c r="O53" s="18">
        <v>56342.43</v>
      </c>
      <c r="P53" s="15">
        <f>SUM(D53:O53)</f>
        <v>314076.35000000003</v>
      </c>
    </row>
    <row r="54" spans="2:16" x14ac:dyDescent="0.25">
      <c r="B54" s="17" t="s">
        <v>58</v>
      </c>
      <c r="C54" s="13"/>
      <c r="D54" s="18">
        <v>6270</v>
      </c>
      <c r="E54" s="18">
        <v>5250</v>
      </c>
      <c r="F54" s="18">
        <v>4170</v>
      </c>
      <c r="G54" s="18">
        <v>5760</v>
      </c>
      <c r="H54" s="18">
        <v>4245</v>
      </c>
      <c r="I54" s="18">
        <v>4455</v>
      </c>
      <c r="J54" s="18">
        <v>8047.5</v>
      </c>
      <c r="K54" s="18">
        <v>8145</v>
      </c>
      <c r="L54" s="18">
        <v>5122.5</v>
      </c>
      <c r="M54" s="18">
        <v>1905</v>
      </c>
      <c r="N54" s="18">
        <v>8355</v>
      </c>
      <c r="O54" s="18">
        <v>5670</v>
      </c>
      <c r="P54" s="14">
        <f t="shared" ref="P54:P58" si="8">SUM(D54:O54)</f>
        <v>67395</v>
      </c>
    </row>
    <row r="55" spans="2:16" x14ac:dyDescent="0.25">
      <c r="B55" s="17" t="s">
        <v>59</v>
      </c>
      <c r="C55" s="13"/>
      <c r="D55" s="18">
        <v>2100</v>
      </c>
      <c r="E55" s="18">
        <v>2275</v>
      </c>
      <c r="F55" s="18">
        <v>1925</v>
      </c>
      <c r="G55" s="18">
        <v>2975</v>
      </c>
      <c r="H55" s="18">
        <v>1575</v>
      </c>
      <c r="I55" s="18">
        <v>2800</v>
      </c>
      <c r="J55" s="18">
        <v>4165</v>
      </c>
      <c r="K55" s="18">
        <v>4172.5</v>
      </c>
      <c r="L55" s="18">
        <v>2467.5</v>
      </c>
      <c r="M55" s="18">
        <v>1115</v>
      </c>
      <c r="N55" s="18">
        <v>5275.75</v>
      </c>
      <c r="O55" s="18">
        <v>4202</v>
      </c>
      <c r="P55" s="14">
        <f t="shared" si="8"/>
        <v>35047.75</v>
      </c>
    </row>
    <row r="56" spans="2:16" x14ac:dyDescent="0.25">
      <c r="B56" s="17" t="s">
        <v>60</v>
      </c>
      <c r="C56" s="13"/>
      <c r="D56" s="18">
        <v>720</v>
      </c>
      <c r="E56" s="18">
        <v>780</v>
      </c>
      <c r="F56" s="18">
        <v>540</v>
      </c>
      <c r="G56" s="18">
        <v>960</v>
      </c>
      <c r="H56" s="18">
        <v>540</v>
      </c>
      <c r="I56" s="18">
        <v>900</v>
      </c>
      <c r="J56" s="18">
        <v>240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4">
        <f t="shared" si="8"/>
        <v>4680</v>
      </c>
    </row>
    <row r="57" spans="2:16" x14ac:dyDescent="0.25">
      <c r="B57" s="17" t="s">
        <v>61</v>
      </c>
      <c r="C57" s="13"/>
      <c r="D57" s="18">
        <v>760</v>
      </c>
      <c r="E57" s="18">
        <v>930</v>
      </c>
      <c r="F57" s="18">
        <v>915</v>
      </c>
      <c r="G57" s="18">
        <v>1235</v>
      </c>
      <c r="H57" s="18">
        <v>810</v>
      </c>
      <c r="I57" s="18">
        <v>1150</v>
      </c>
      <c r="J57" s="18">
        <v>1250</v>
      </c>
      <c r="K57" s="18">
        <v>1115</v>
      </c>
      <c r="L57" s="18">
        <v>965</v>
      </c>
      <c r="M57" s="18">
        <v>305</v>
      </c>
      <c r="N57" s="18">
        <v>1428</v>
      </c>
      <c r="O57" s="18">
        <v>984.5</v>
      </c>
      <c r="P57" s="14">
        <f t="shared" si="8"/>
        <v>11847.5</v>
      </c>
    </row>
    <row r="58" spans="2:16" x14ac:dyDescent="0.25">
      <c r="B58" s="17" t="s">
        <v>62</v>
      </c>
      <c r="C58" s="13"/>
      <c r="D58" s="20">
        <v>0</v>
      </c>
      <c r="E58" s="20">
        <v>390</v>
      </c>
      <c r="F58" s="20">
        <v>0</v>
      </c>
      <c r="G58" s="20">
        <v>1365</v>
      </c>
      <c r="H58" s="20">
        <v>780</v>
      </c>
      <c r="I58" s="20">
        <v>2100</v>
      </c>
      <c r="J58" s="20">
        <v>420</v>
      </c>
      <c r="K58" s="20">
        <v>1050</v>
      </c>
      <c r="L58" s="20">
        <v>1050</v>
      </c>
      <c r="M58" s="20">
        <v>840</v>
      </c>
      <c r="N58" s="20">
        <v>420</v>
      </c>
      <c r="O58" s="20">
        <v>0</v>
      </c>
      <c r="P58" s="22">
        <f t="shared" si="8"/>
        <v>8415</v>
      </c>
    </row>
    <row r="59" spans="2:16" x14ac:dyDescent="0.25">
      <c r="B59" s="23" t="s">
        <v>63</v>
      </c>
      <c r="C59" s="24"/>
      <c r="D59" s="25">
        <f t="shared" ref="D59:P59" si="9">SUM(D52:D58)</f>
        <v>42241.25</v>
      </c>
      <c r="E59" s="26">
        <f t="shared" si="9"/>
        <v>53347</v>
      </c>
      <c r="F59" s="25">
        <f t="shared" si="9"/>
        <v>26121.25</v>
      </c>
      <c r="G59" s="25">
        <f t="shared" si="9"/>
        <v>69924.850000000006</v>
      </c>
      <c r="H59" s="25">
        <f t="shared" si="9"/>
        <v>62238.75</v>
      </c>
      <c r="I59" s="25">
        <f t="shared" si="9"/>
        <v>72343.13</v>
      </c>
      <c r="J59" s="26">
        <f t="shared" si="9"/>
        <v>65416.880000000005</v>
      </c>
      <c r="K59" s="26">
        <f t="shared" si="9"/>
        <v>78257.5</v>
      </c>
      <c r="L59" s="26">
        <f t="shared" si="9"/>
        <v>53915.219999999994</v>
      </c>
      <c r="M59" s="26">
        <f t="shared" si="9"/>
        <v>26541.88</v>
      </c>
      <c r="N59" s="26">
        <f t="shared" si="9"/>
        <v>91456.190000000017</v>
      </c>
      <c r="O59" s="26">
        <f t="shared" si="9"/>
        <v>67198.929999999993</v>
      </c>
      <c r="P59" s="10">
        <f t="shared" si="9"/>
        <v>709002.83000000007</v>
      </c>
    </row>
    <row r="60" spans="2:16" x14ac:dyDescent="0.25">
      <c r="B60" s="12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2:16" x14ac:dyDescent="0.25">
      <c r="B61" s="16" t="s">
        <v>64</v>
      </c>
      <c r="C61" s="13"/>
      <c r="D61" s="19">
        <v>202.25</v>
      </c>
      <c r="E61" s="19">
        <v>0</v>
      </c>
      <c r="F61" s="19">
        <v>450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4">
        <f>SUM(D61:O61)</f>
        <v>652.25</v>
      </c>
    </row>
    <row r="62" spans="2:16" x14ac:dyDescent="0.25">
      <c r="B62" s="16" t="s">
        <v>65</v>
      </c>
      <c r="C62" s="13"/>
      <c r="D62" s="19">
        <v>0</v>
      </c>
      <c r="E62" s="19">
        <v>0</v>
      </c>
      <c r="F62" s="19">
        <v>-83.78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4">
        <f t="shared" ref="P62:P65" si="10">SUM(D62:O62)</f>
        <v>-83.78</v>
      </c>
    </row>
    <row r="63" spans="2:16" x14ac:dyDescent="0.25">
      <c r="B63" s="16" t="s">
        <v>66</v>
      </c>
      <c r="C63" s="13"/>
      <c r="D63" s="19">
        <v>559.05999999999995</v>
      </c>
      <c r="E63" s="19">
        <v>401.73</v>
      </c>
      <c r="F63" s="19">
        <v>507.36</v>
      </c>
      <c r="G63" s="19">
        <v>924.29</v>
      </c>
      <c r="H63" s="19">
        <v>942.84</v>
      </c>
      <c r="I63" s="19">
        <v>821.42</v>
      </c>
      <c r="J63" s="19">
        <v>832.88</v>
      </c>
      <c r="K63" s="19">
        <v>184.56</v>
      </c>
      <c r="L63" s="19">
        <v>512.85</v>
      </c>
      <c r="M63" s="19">
        <v>181.42</v>
      </c>
      <c r="N63" s="19">
        <v>0</v>
      </c>
      <c r="O63" s="19">
        <v>0</v>
      </c>
      <c r="P63" s="18">
        <f t="shared" si="10"/>
        <v>5868.4100000000008</v>
      </c>
    </row>
    <row r="64" spans="2:16" x14ac:dyDescent="0.25">
      <c r="B64" s="16" t="s">
        <v>67</v>
      </c>
      <c r="C64" s="13"/>
      <c r="D64" s="19">
        <v>3326.55</v>
      </c>
      <c r="E64" s="19">
        <v>8280.83</v>
      </c>
      <c r="F64" s="19">
        <v>16.190000000000001</v>
      </c>
      <c r="G64" s="19">
        <v>-41</v>
      </c>
      <c r="H64" s="19">
        <v>1119.21</v>
      </c>
      <c r="I64" s="19">
        <v>193.07</v>
      </c>
      <c r="J64" s="19">
        <v>1.8</v>
      </c>
      <c r="K64" s="19">
        <v>-0.57000000000000006</v>
      </c>
      <c r="L64" s="19">
        <v>172.01</v>
      </c>
      <c r="M64" s="19">
        <v>12.63</v>
      </c>
      <c r="N64" s="19">
        <v>6.5</v>
      </c>
      <c r="O64" s="19">
        <v>-80.31</v>
      </c>
      <c r="P64" s="18">
        <f t="shared" si="10"/>
        <v>13006.910000000002</v>
      </c>
    </row>
    <row r="65" spans="2:16" x14ac:dyDescent="0.25">
      <c r="B65" s="16" t="s">
        <v>68</v>
      </c>
      <c r="C65" s="13"/>
      <c r="D65" s="21">
        <v>0</v>
      </c>
      <c r="E65" s="21">
        <v>0</v>
      </c>
      <c r="F65" s="21">
        <v>64.69</v>
      </c>
      <c r="G65" s="21">
        <v>20.79</v>
      </c>
      <c r="H65" s="21">
        <v>0.47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0">
        <f t="shared" si="10"/>
        <v>85.949999999999989</v>
      </c>
    </row>
    <row r="66" spans="2:16" x14ac:dyDescent="0.25">
      <c r="B66" s="16"/>
      <c r="C66" s="13"/>
      <c r="D66" s="25">
        <f>SUM(D61:D65)</f>
        <v>4087.86</v>
      </c>
      <c r="E66" s="25">
        <f t="shared" ref="E66:P66" si="11">SUM(E61:E65)</f>
        <v>8682.56</v>
      </c>
      <c r="F66" s="25">
        <f t="shared" si="11"/>
        <v>954.46</v>
      </c>
      <c r="G66" s="25">
        <f t="shared" si="11"/>
        <v>904.07999999999993</v>
      </c>
      <c r="H66" s="25">
        <f t="shared" si="11"/>
        <v>2062.52</v>
      </c>
      <c r="I66" s="25">
        <f t="shared" si="11"/>
        <v>1014.49</v>
      </c>
      <c r="J66" s="25">
        <f t="shared" si="11"/>
        <v>834.68</v>
      </c>
      <c r="K66" s="25">
        <f t="shared" si="11"/>
        <v>183.99</v>
      </c>
      <c r="L66" s="25">
        <f t="shared" si="11"/>
        <v>684.86</v>
      </c>
      <c r="M66" s="25">
        <f t="shared" si="11"/>
        <v>194.04999999999998</v>
      </c>
      <c r="N66" s="25">
        <f t="shared" si="11"/>
        <v>6.5</v>
      </c>
      <c r="O66" s="25">
        <f t="shared" si="11"/>
        <v>-80.31</v>
      </c>
      <c r="P66" s="25">
        <f t="shared" si="11"/>
        <v>19529.740000000002</v>
      </c>
    </row>
    <row r="67" spans="2:16" ht="15.75" thickBot="1" x14ac:dyDescent="0.3">
      <c r="B67" s="16"/>
      <c r="C67" s="13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2:16" x14ac:dyDescent="0.25">
      <c r="B68" s="23" t="s">
        <v>69</v>
      </c>
      <c r="C68" s="24"/>
      <c r="D68" s="25">
        <f t="shared" ref="D68:P68" si="12">SUM(D28,D34,D39,D49,D59,D66)</f>
        <v>657535.94999999995</v>
      </c>
      <c r="E68" s="26">
        <f t="shared" si="12"/>
        <v>805219.27000000014</v>
      </c>
      <c r="F68" s="26">
        <f t="shared" si="12"/>
        <v>692073.42999999993</v>
      </c>
      <c r="G68" s="25">
        <f t="shared" si="12"/>
        <v>671742.44</v>
      </c>
      <c r="H68" s="25">
        <f t="shared" si="12"/>
        <v>723994.12</v>
      </c>
      <c r="I68" s="25">
        <f t="shared" si="12"/>
        <v>604135.36</v>
      </c>
      <c r="J68" s="26">
        <f t="shared" si="12"/>
        <v>657689.43999999994</v>
      </c>
      <c r="K68" s="26">
        <f t="shared" si="12"/>
        <v>727307.9</v>
      </c>
      <c r="L68" s="26">
        <f t="shared" si="12"/>
        <v>655446.23</v>
      </c>
      <c r="M68" s="26">
        <f t="shared" si="12"/>
        <v>458487.21</v>
      </c>
      <c r="N68" s="26">
        <f t="shared" si="12"/>
        <v>639568.91000000015</v>
      </c>
      <c r="O68" s="26">
        <f t="shared" si="12"/>
        <v>607692.76</v>
      </c>
      <c r="P68" s="26">
        <f t="shared" si="12"/>
        <v>7900893.0199999996</v>
      </c>
    </row>
    <row r="69" spans="2:16" x14ac:dyDescent="0.25">
      <c r="B69" s="12"/>
      <c r="C69" s="9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2:16" x14ac:dyDescent="0.25">
      <c r="B70" s="12" t="s">
        <v>70</v>
      </c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 x14ac:dyDescent="0.25">
      <c r="B71" s="17" t="s">
        <v>71</v>
      </c>
      <c r="C71" s="13"/>
      <c r="D71" s="18">
        <v>38</v>
      </c>
      <c r="E71" s="18">
        <v>0</v>
      </c>
      <c r="F71" s="18">
        <v>39.6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39.6</v>
      </c>
      <c r="N71" s="18">
        <v>41.6</v>
      </c>
      <c r="O71" s="18">
        <v>0</v>
      </c>
      <c r="P71" s="14">
        <f>SUM(D71:O71)</f>
        <v>158.79999999999998</v>
      </c>
    </row>
    <row r="72" spans="2:16" x14ac:dyDescent="0.25">
      <c r="B72" s="17" t="s">
        <v>72</v>
      </c>
      <c r="C72" s="13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363</v>
      </c>
      <c r="J72" s="18">
        <v>394.94</v>
      </c>
      <c r="K72" s="18">
        <v>0</v>
      </c>
      <c r="L72" s="18">
        <v>1311.77</v>
      </c>
      <c r="M72" s="18">
        <v>0</v>
      </c>
      <c r="N72" s="18">
        <v>0</v>
      </c>
      <c r="O72" s="18">
        <v>0</v>
      </c>
      <c r="P72" s="14">
        <f t="shared" ref="P72:P135" si="13">SUM(D72:O72)</f>
        <v>2069.71</v>
      </c>
    </row>
    <row r="73" spans="2:16" x14ac:dyDescent="0.25">
      <c r="B73" s="17" t="s">
        <v>73</v>
      </c>
      <c r="C73" s="13"/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1754.04</v>
      </c>
      <c r="M73" s="18">
        <v>0</v>
      </c>
      <c r="N73" s="18">
        <v>5091.59</v>
      </c>
      <c r="O73" s="18">
        <v>-340.5</v>
      </c>
      <c r="P73" s="14">
        <f t="shared" si="13"/>
        <v>6505.13</v>
      </c>
    </row>
    <row r="74" spans="2:16" x14ac:dyDescent="0.25">
      <c r="B74" s="17" t="s">
        <v>74</v>
      </c>
      <c r="C74" s="13"/>
      <c r="D74" s="18">
        <v>2672.38</v>
      </c>
      <c r="E74" s="18">
        <v>1002.14</v>
      </c>
      <c r="F74" s="18">
        <v>1973.95</v>
      </c>
      <c r="G74" s="18">
        <v>1703.48</v>
      </c>
      <c r="H74" s="18">
        <v>1779.53</v>
      </c>
      <c r="I74" s="18">
        <v>1641.88</v>
      </c>
      <c r="J74" s="18">
        <v>2158.3000000000002</v>
      </c>
      <c r="K74" s="18">
        <v>1660.82</v>
      </c>
      <c r="L74" s="18">
        <v>1779.5</v>
      </c>
      <c r="M74" s="18">
        <v>2372.6</v>
      </c>
      <c r="N74" s="18">
        <v>2016.75</v>
      </c>
      <c r="O74" s="18">
        <v>0</v>
      </c>
      <c r="P74" s="14">
        <f t="shared" si="13"/>
        <v>20761.329999999998</v>
      </c>
    </row>
    <row r="75" spans="2:16" x14ac:dyDescent="0.25">
      <c r="B75" s="17" t="s">
        <v>75</v>
      </c>
      <c r="C75" s="13"/>
      <c r="D75" s="18">
        <v>326.08999999999997</v>
      </c>
      <c r="E75" s="19">
        <v>172.96</v>
      </c>
      <c r="F75" s="19">
        <v>-364.25</v>
      </c>
      <c r="G75" s="19">
        <v>0</v>
      </c>
      <c r="H75" s="18">
        <v>305.93</v>
      </c>
      <c r="I75" s="18">
        <v>312.62</v>
      </c>
      <c r="J75" s="18">
        <v>388.95</v>
      </c>
      <c r="K75" s="18">
        <v>125.14</v>
      </c>
      <c r="L75" s="18">
        <v>0</v>
      </c>
      <c r="M75" s="18">
        <v>368.39</v>
      </c>
      <c r="N75" s="18">
        <v>114</v>
      </c>
      <c r="O75" s="18">
        <v>0</v>
      </c>
      <c r="P75" s="14">
        <f t="shared" si="13"/>
        <v>1749.83</v>
      </c>
    </row>
    <row r="76" spans="2:16" x14ac:dyDescent="0.25">
      <c r="B76" s="17" t="s">
        <v>76</v>
      </c>
      <c r="C76" s="13"/>
      <c r="D76" s="18">
        <v>1403.91</v>
      </c>
      <c r="E76" s="19">
        <v>0</v>
      </c>
      <c r="F76" s="19">
        <v>1910.55</v>
      </c>
      <c r="G76" s="19">
        <v>800</v>
      </c>
      <c r="H76" s="18">
        <v>1918.28</v>
      </c>
      <c r="I76" s="18">
        <v>958.54</v>
      </c>
      <c r="J76" s="18">
        <v>0</v>
      </c>
      <c r="K76" s="18">
        <v>1174.4100000000001</v>
      </c>
      <c r="L76" s="18">
        <v>642.70000000000005</v>
      </c>
      <c r="M76" s="18">
        <v>1370.84</v>
      </c>
      <c r="N76" s="18">
        <v>1058.4100000000001</v>
      </c>
      <c r="O76" s="18">
        <v>1060.5999999999999</v>
      </c>
      <c r="P76" s="14">
        <f t="shared" si="13"/>
        <v>12298.24</v>
      </c>
    </row>
    <row r="77" spans="2:16" x14ac:dyDescent="0.25">
      <c r="B77" s="17" t="s">
        <v>77</v>
      </c>
      <c r="C77" s="13"/>
      <c r="D77" s="18">
        <v>1090.29</v>
      </c>
      <c r="E77" s="18">
        <v>2469.71</v>
      </c>
      <c r="F77" s="18">
        <v>2338.04</v>
      </c>
      <c r="G77" s="18">
        <v>1116.05</v>
      </c>
      <c r="H77" s="18">
        <v>2524.3000000000002</v>
      </c>
      <c r="I77" s="18">
        <v>1121.48</v>
      </c>
      <c r="J77" s="18">
        <v>4282.91</v>
      </c>
      <c r="K77" s="18">
        <v>0</v>
      </c>
      <c r="L77" s="18">
        <v>1295.98</v>
      </c>
      <c r="M77" s="18">
        <v>1848.12</v>
      </c>
      <c r="N77" s="18">
        <v>843.37</v>
      </c>
      <c r="O77" s="18">
        <v>2506.9899999999998</v>
      </c>
      <c r="P77" s="14">
        <f t="shared" si="13"/>
        <v>21437.239999999998</v>
      </c>
    </row>
    <row r="78" spans="2:16" x14ac:dyDescent="0.25">
      <c r="B78" s="17" t="s">
        <v>78</v>
      </c>
      <c r="C78" s="13"/>
      <c r="D78" s="18">
        <v>0</v>
      </c>
      <c r="E78" s="18">
        <v>744.19</v>
      </c>
      <c r="F78" s="18">
        <v>0</v>
      </c>
      <c r="G78" s="18">
        <v>0</v>
      </c>
      <c r="H78" s="18">
        <v>0</v>
      </c>
      <c r="I78" s="18">
        <v>963.33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4">
        <f t="shared" si="13"/>
        <v>1707.52</v>
      </c>
    </row>
    <row r="79" spans="2:16" x14ac:dyDescent="0.25">
      <c r="B79" s="17" t="s">
        <v>79</v>
      </c>
      <c r="C79" s="13"/>
      <c r="D79" s="18">
        <v>3242.15</v>
      </c>
      <c r="E79" s="18">
        <v>3494.38</v>
      </c>
      <c r="F79" s="18">
        <v>759.67</v>
      </c>
      <c r="G79" s="18">
        <v>3094.21</v>
      </c>
      <c r="H79" s="18">
        <v>3293.9</v>
      </c>
      <c r="I79" s="18">
        <v>2312.21</v>
      </c>
      <c r="J79" s="18">
        <v>1199.04</v>
      </c>
      <c r="K79" s="18">
        <v>1664</v>
      </c>
      <c r="L79" s="18">
        <v>1662.68</v>
      </c>
      <c r="M79" s="18">
        <v>0</v>
      </c>
      <c r="N79" s="18">
        <v>0</v>
      </c>
      <c r="O79" s="18">
        <v>850.17</v>
      </c>
      <c r="P79" s="14">
        <f t="shared" si="13"/>
        <v>21572.41</v>
      </c>
    </row>
    <row r="80" spans="2:16" x14ac:dyDescent="0.25">
      <c r="B80" s="17" t="s">
        <v>80</v>
      </c>
      <c r="C80" s="13"/>
      <c r="D80" s="18">
        <v>490.49</v>
      </c>
      <c r="E80" s="18">
        <v>1575.79</v>
      </c>
      <c r="F80" s="18">
        <v>-454.78</v>
      </c>
      <c r="G80" s="18">
        <v>0</v>
      </c>
      <c r="H80" s="18">
        <v>1060.01</v>
      </c>
      <c r="I80" s="18">
        <v>2115.66</v>
      </c>
      <c r="J80" s="18">
        <v>0</v>
      </c>
      <c r="K80" s="18">
        <v>1740.96</v>
      </c>
      <c r="L80" s="18">
        <v>0</v>
      </c>
      <c r="M80" s="18">
        <v>0</v>
      </c>
      <c r="N80" s="18">
        <v>1042.3</v>
      </c>
      <c r="O80" s="18">
        <v>1350.28</v>
      </c>
      <c r="P80" s="14">
        <f t="shared" si="13"/>
        <v>8920.7100000000009</v>
      </c>
    </row>
    <row r="81" spans="2:16" x14ac:dyDescent="0.25">
      <c r="B81" s="17" t="s">
        <v>81</v>
      </c>
      <c r="C81" s="13"/>
      <c r="D81" s="18">
        <v>-779.42</v>
      </c>
      <c r="E81" s="18">
        <v>9370.17</v>
      </c>
      <c r="F81" s="18">
        <v>17133.009999999998</v>
      </c>
      <c r="G81" s="18">
        <v>17085.79</v>
      </c>
      <c r="H81" s="18">
        <v>11375.64</v>
      </c>
      <c r="I81" s="18">
        <v>13860.15</v>
      </c>
      <c r="J81" s="18">
        <v>11453.49</v>
      </c>
      <c r="K81" s="18">
        <v>15760.93</v>
      </c>
      <c r="L81" s="18">
        <v>22106.17</v>
      </c>
      <c r="M81" s="18">
        <v>19420.53</v>
      </c>
      <c r="N81" s="18">
        <v>16498.849999999999</v>
      </c>
      <c r="O81" s="18">
        <v>9802.34</v>
      </c>
      <c r="P81" s="14">
        <f t="shared" si="13"/>
        <v>163087.65000000002</v>
      </c>
    </row>
    <row r="82" spans="2:16" x14ac:dyDescent="0.25">
      <c r="B82" s="17" t="s">
        <v>82</v>
      </c>
      <c r="C82" s="13"/>
      <c r="D82" s="18">
        <v>0</v>
      </c>
      <c r="E82" s="18">
        <v>0</v>
      </c>
      <c r="F82" s="18">
        <v>-448.91</v>
      </c>
      <c r="G82" s="18">
        <v>0</v>
      </c>
      <c r="H82" s="18">
        <v>558.42999999999995</v>
      </c>
      <c r="I82" s="18">
        <v>8276.11</v>
      </c>
      <c r="J82" s="18">
        <v>4920.6099999999997</v>
      </c>
      <c r="K82" s="18">
        <v>0</v>
      </c>
      <c r="L82" s="18">
        <v>1153.5</v>
      </c>
      <c r="M82" s="18">
        <v>2795.93</v>
      </c>
      <c r="N82" s="18">
        <v>2357.4299999999998</v>
      </c>
      <c r="O82" s="18">
        <v>3599.99</v>
      </c>
      <c r="P82" s="14">
        <f t="shared" si="13"/>
        <v>23213.090000000004</v>
      </c>
    </row>
    <row r="83" spans="2:16" x14ac:dyDescent="0.25">
      <c r="B83" s="17" t="s">
        <v>83</v>
      </c>
      <c r="C83" s="13"/>
      <c r="D83" s="18">
        <v>9249.0300000000007</v>
      </c>
      <c r="E83" s="18">
        <v>12730.06</v>
      </c>
      <c r="F83" s="18">
        <v>10459.26</v>
      </c>
      <c r="G83" s="18">
        <v>10270.790000000001</v>
      </c>
      <c r="H83" s="18">
        <v>8612.31</v>
      </c>
      <c r="I83" s="18">
        <v>2911.69</v>
      </c>
      <c r="J83" s="18">
        <v>5449.45</v>
      </c>
      <c r="K83" s="18">
        <v>8599.52</v>
      </c>
      <c r="L83" s="18">
        <v>5818.93</v>
      </c>
      <c r="M83" s="18">
        <v>0</v>
      </c>
      <c r="N83" s="18">
        <v>7650.29</v>
      </c>
      <c r="O83" s="18">
        <v>2483.35</v>
      </c>
      <c r="P83" s="14">
        <f t="shared" si="13"/>
        <v>84234.680000000008</v>
      </c>
    </row>
    <row r="84" spans="2:16" x14ac:dyDescent="0.25">
      <c r="B84" s="17" t="s">
        <v>84</v>
      </c>
      <c r="C84" s="13"/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4537.22</v>
      </c>
      <c r="K84" s="18">
        <v>3444.98</v>
      </c>
      <c r="L84" s="18">
        <v>1530.84</v>
      </c>
      <c r="M84" s="18">
        <v>4822.92</v>
      </c>
      <c r="N84" s="18">
        <v>4661.58</v>
      </c>
      <c r="O84" s="18">
        <v>0</v>
      </c>
      <c r="P84" s="14">
        <f t="shared" si="13"/>
        <v>18997.54</v>
      </c>
    </row>
    <row r="85" spans="2:16" x14ac:dyDescent="0.25">
      <c r="B85" s="17" t="s">
        <v>85</v>
      </c>
      <c r="C85" s="13"/>
      <c r="D85" s="18">
        <v>2417.11</v>
      </c>
      <c r="E85" s="18">
        <v>0</v>
      </c>
      <c r="F85" s="18">
        <v>2515.0700000000002</v>
      </c>
      <c r="G85" s="18">
        <v>2553.42</v>
      </c>
      <c r="H85" s="18">
        <v>0</v>
      </c>
      <c r="I85" s="18">
        <v>5995.38</v>
      </c>
      <c r="J85" s="18">
        <v>0</v>
      </c>
      <c r="K85" s="18">
        <v>3816.09</v>
      </c>
      <c r="L85" s="18">
        <v>1202.3900000000001</v>
      </c>
      <c r="M85" s="18">
        <v>1194.83</v>
      </c>
      <c r="N85" s="18">
        <v>3366.18</v>
      </c>
      <c r="O85" s="18">
        <v>4539.4799999999996</v>
      </c>
      <c r="P85" s="14">
        <f t="shared" si="13"/>
        <v>27599.95</v>
      </c>
    </row>
    <row r="86" spans="2:16" x14ac:dyDescent="0.25">
      <c r="B86" s="17" t="s">
        <v>86</v>
      </c>
      <c r="C86" s="13"/>
      <c r="D86" s="18">
        <v>1415.34</v>
      </c>
      <c r="E86" s="18">
        <v>1010.87</v>
      </c>
      <c r="F86" s="18">
        <v>898.06</v>
      </c>
      <c r="G86" s="18">
        <v>1260.9100000000001</v>
      </c>
      <c r="H86" s="18">
        <v>1037.83</v>
      </c>
      <c r="I86" s="18">
        <v>906.22</v>
      </c>
      <c r="J86" s="18">
        <v>946.57</v>
      </c>
      <c r="K86" s="18">
        <v>512.13</v>
      </c>
      <c r="L86" s="18">
        <v>0</v>
      </c>
      <c r="M86" s="18">
        <v>0</v>
      </c>
      <c r="N86" s="18">
        <v>0</v>
      </c>
      <c r="O86" s="18">
        <v>0</v>
      </c>
      <c r="P86" s="14">
        <f t="shared" si="13"/>
        <v>7987.93</v>
      </c>
    </row>
    <row r="87" spans="2:16" x14ac:dyDescent="0.25">
      <c r="B87" s="17" t="s">
        <v>87</v>
      </c>
      <c r="C87" s="13"/>
      <c r="D87" s="18">
        <v>4105.17</v>
      </c>
      <c r="E87" s="18">
        <v>4625.24</v>
      </c>
      <c r="F87" s="18">
        <v>6186.34</v>
      </c>
      <c r="G87" s="18">
        <v>4173.3900000000003</v>
      </c>
      <c r="H87" s="18">
        <v>2998.99</v>
      </c>
      <c r="I87" s="18">
        <v>3995.87</v>
      </c>
      <c r="J87" s="18">
        <v>5020.38</v>
      </c>
      <c r="K87" s="18">
        <v>2998.69</v>
      </c>
      <c r="L87" s="18">
        <v>5898.92</v>
      </c>
      <c r="M87" s="18">
        <v>3876.11</v>
      </c>
      <c r="N87" s="18">
        <v>0</v>
      </c>
      <c r="O87" s="18">
        <v>1690.81</v>
      </c>
      <c r="P87" s="14">
        <f t="shared" si="13"/>
        <v>45569.909999999996</v>
      </c>
    </row>
    <row r="88" spans="2:16" x14ac:dyDescent="0.25">
      <c r="B88" s="17" t="s">
        <v>88</v>
      </c>
      <c r="C88" s="13"/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747.8</v>
      </c>
      <c r="J88" s="18">
        <v>1154.3900000000001</v>
      </c>
      <c r="K88" s="18">
        <v>2133.21</v>
      </c>
      <c r="L88" s="18">
        <v>866.36</v>
      </c>
      <c r="M88" s="18">
        <v>2178.75</v>
      </c>
      <c r="N88" s="18">
        <v>620.49</v>
      </c>
      <c r="O88" s="18">
        <v>1808.57</v>
      </c>
      <c r="P88" s="14">
        <f t="shared" si="13"/>
        <v>9509.57</v>
      </c>
    </row>
    <row r="89" spans="2:16" x14ac:dyDescent="0.25">
      <c r="B89" s="17" t="s">
        <v>89</v>
      </c>
      <c r="C89" s="13"/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3530.56</v>
      </c>
      <c r="J89" s="18">
        <v>0</v>
      </c>
      <c r="K89" s="18">
        <v>0</v>
      </c>
      <c r="L89" s="18">
        <v>1851.24</v>
      </c>
      <c r="M89" s="18">
        <v>1393.23</v>
      </c>
      <c r="N89" s="18">
        <v>818.02</v>
      </c>
      <c r="O89" s="18">
        <v>702.13</v>
      </c>
      <c r="P89" s="14">
        <f t="shared" si="13"/>
        <v>8295.18</v>
      </c>
    </row>
    <row r="90" spans="2:16" x14ac:dyDescent="0.25">
      <c r="B90" s="17" t="s">
        <v>90</v>
      </c>
      <c r="C90" s="13"/>
      <c r="D90" s="18">
        <v>7590.31</v>
      </c>
      <c r="E90" s="18">
        <v>7589.3</v>
      </c>
      <c r="F90" s="18">
        <v>7459.13</v>
      </c>
      <c r="G90" s="18">
        <v>9727.82</v>
      </c>
      <c r="H90" s="18">
        <v>9514.17</v>
      </c>
      <c r="I90" s="18">
        <v>9242.02</v>
      </c>
      <c r="J90" s="18">
        <v>9171.9599999999991</v>
      </c>
      <c r="K90" s="18">
        <v>0</v>
      </c>
      <c r="L90" s="18">
        <v>0</v>
      </c>
      <c r="M90" s="18">
        <v>1886.29</v>
      </c>
      <c r="N90" s="18">
        <v>6843.48</v>
      </c>
      <c r="O90" s="18">
        <v>0</v>
      </c>
      <c r="P90" s="14">
        <f t="shared" si="13"/>
        <v>69024.479999999996</v>
      </c>
    </row>
    <row r="91" spans="2:16" x14ac:dyDescent="0.25">
      <c r="B91" s="17" t="s">
        <v>91</v>
      </c>
      <c r="C91" s="13"/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9223.75</v>
      </c>
      <c r="L91" s="18">
        <v>5630.3</v>
      </c>
      <c r="M91" s="18">
        <v>9212.4</v>
      </c>
      <c r="N91" s="18">
        <v>9182.02</v>
      </c>
      <c r="O91" s="18">
        <v>9200.81</v>
      </c>
      <c r="P91" s="14">
        <f t="shared" si="13"/>
        <v>42449.279999999999</v>
      </c>
    </row>
    <row r="92" spans="2:16" x14ac:dyDescent="0.25">
      <c r="B92" s="17" t="s">
        <v>92</v>
      </c>
      <c r="C92" s="13"/>
      <c r="D92" s="18">
        <v>288.08</v>
      </c>
      <c r="E92" s="18">
        <v>0</v>
      </c>
      <c r="F92" s="18">
        <v>0</v>
      </c>
      <c r="G92" s="18">
        <v>272.08</v>
      </c>
      <c r="H92" s="18">
        <v>1327.43</v>
      </c>
      <c r="I92" s="18">
        <v>1277.3599999999999</v>
      </c>
      <c r="J92" s="18">
        <v>1072.4100000000001</v>
      </c>
      <c r="K92" s="18">
        <v>812.03</v>
      </c>
      <c r="L92" s="18">
        <v>948.76</v>
      </c>
      <c r="M92" s="18">
        <v>697.94</v>
      </c>
      <c r="N92" s="18">
        <v>735.17</v>
      </c>
      <c r="O92" s="18">
        <v>666.66</v>
      </c>
      <c r="P92" s="14">
        <f t="shared" si="13"/>
        <v>8097.92</v>
      </c>
    </row>
    <row r="93" spans="2:16" x14ac:dyDescent="0.25">
      <c r="B93" s="17" t="s">
        <v>93</v>
      </c>
      <c r="C93" s="13"/>
      <c r="D93" s="18">
        <v>1809.04</v>
      </c>
      <c r="E93" s="18">
        <v>1941</v>
      </c>
      <c r="F93" s="18">
        <v>1887.45</v>
      </c>
      <c r="G93" s="18">
        <v>2081</v>
      </c>
      <c r="H93" s="18">
        <v>2779.53</v>
      </c>
      <c r="I93" s="18">
        <v>2430.9699999999998</v>
      </c>
      <c r="J93" s="18">
        <v>2009.26</v>
      </c>
      <c r="K93" s="18">
        <v>2387.27</v>
      </c>
      <c r="L93" s="18">
        <v>1948.61</v>
      </c>
      <c r="M93" s="18">
        <v>0</v>
      </c>
      <c r="N93" s="18">
        <v>0</v>
      </c>
      <c r="O93" s="18">
        <v>1747.84</v>
      </c>
      <c r="P93" s="14">
        <f t="shared" si="13"/>
        <v>21021.97</v>
      </c>
    </row>
    <row r="94" spans="2:16" x14ac:dyDescent="0.25">
      <c r="B94" s="17" t="s">
        <v>94</v>
      </c>
      <c r="C94" s="13"/>
      <c r="D94" s="18">
        <v>1938.03</v>
      </c>
      <c r="E94" s="18">
        <v>2525.41</v>
      </c>
      <c r="F94" s="18">
        <v>1938.03</v>
      </c>
      <c r="G94" s="18">
        <v>2035.35</v>
      </c>
      <c r="H94" s="18">
        <v>2798.69</v>
      </c>
      <c r="I94" s="18">
        <v>2035.35</v>
      </c>
      <c r="J94" s="18">
        <v>2040.35</v>
      </c>
      <c r="K94" s="18">
        <v>2852.2</v>
      </c>
      <c r="L94" s="18">
        <v>2035.35</v>
      </c>
      <c r="M94" s="18">
        <v>2035.35</v>
      </c>
      <c r="N94" s="18">
        <v>2035.35</v>
      </c>
      <c r="O94" s="18">
        <v>2035.35</v>
      </c>
      <c r="P94" s="14">
        <f t="shared" si="13"/>
        <v>26304.809999999994</v>
      </c>
    </row>
    <row r="95" spans="2:16" x14ac:dyDescent="0.25">
      <c r="B95" s="17" t="s">
        <v>95</v>
      </c>
      <c r="C95" s="13"/>
      <c r="D95" s="18">
        <v>375.45</v>
      </c>
      <c r="E95" s="18">
        <v>375.45</v>
      </c>
      <c r="F95" s="18">
        <v>666.52</v>
      </c>
      <c r="G95" s="18">
        <v>387.29</v>
      </c>
      <c r="H95" s="18">
        <v>0</v>
      </c>
      <c r="I95" s="18">
        <v>0</v>
      </c>
      <c r="J95" s="18">
        <v>558.91</v>
      </c>
      <c r="K95" s="18">
        <v>0</v>
      </c>
      <c r="L95" s="18">
        <v>412.28</v>
      </c>
      <c r="M95" s="18">
        <v>387.29</v>
      </c>
      <c r="N95" s="18">
        <v>473.52</v>
      </c>
      <c r="O95" s="18">
        <v>387.29</v>
      </c>
      <c r="P95" s="14">
        <f t="shared" si="13"/>
        <v>4023.9999999999995</v>
      </c>
    </row>
    <row r="96" spans="2:16" x14ac:dyDescent="0.25">
      <c r="B96" s="17" t="s">
        <v>96</v>
      </c>
      <c r="C96" s="13"/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156.03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4">
        <f t="shared" si="13"/>
        <v>156.03</v>
      </c>
    </row>
    <row r="97" spans="2:16" x14ac:dyDescent="0.25">
      <c r="B97" s="17" t="s">
        <v>97</v>
      </c>
      <c r="C97" s="13"/>
      <c r="D97" s="18">
        <v>2537</v>
      </c>
      <c r="E97" s="18">
        <v>2629.48</v>
      </c>
      <c r="F97" s="18">
        <v>2650.84</v>
      </c>
      <c r="G97" s="18">
        <v>2643.24</v>
      </c>
      <c r="H97" s="18">
        <v>2671.59</v>
      </c>
      <c r="I97" s="18">
        <v>2775.3</v>
      </c>
      <c r="J97" s="18">
        <v>3015.29</v>
      </c>
      <c r="K97" s="18">
        <v>2748.89</v>
      </c>
      <c r="L97" s="18">
        <v>2682.47</v>
      </c>
      <c r="M97" s="18">
        <v>3322.95</v>
      </c>
      <c r="N97" s="18">
        <v>2731.81</v>
      </c>
      <c r="O97" s="18">
        <v>625</v>
      </c>
      <c r="P97" s="14">
        <f t="shared" si="13"/>
        <v>31033.860000000004</v>
      </c>
    </row>
    <row r="98" spans="2:16" x14ac:dyDescent="0.25">
      <c r="B98" s="17" t="s">
        <v>98</v>
      </c>
      <c r="C98" s="13"/>
      <c r="D98" s="18">
        <v>4173.99</v>
      </c>
      <c r="E98" s="18">
        <v>4416.3599999999997</v>
      </c>
      <c r="F98" s="18">
        <v>684.37</v>
      </c>
      <c r="G98" s="18">
        <v>4013.68</v>
      </c>
      <c r="H98" s="18">
        <v>24.12</v>
      </c>
      <c r="I98" s="18">
        <v>2090.46</v>
      </c>
      <c r="J98" s="18">
        <v>101.06</v>
      </c>
      <c r="K98" s="18">
        <v>159.35</v>
      </c>
      <c r="L98" s="18">
        <v>4962.82</v>
      </c>
      <c r="M98" s="18">
        <v>2573.88</v>
      </c>
      <c r="N98" s="18">
        <v>6683.07</v>
      </c>
      <c r="O98" s="18">
        <v>10273.040000000001</v>
      </c>
      <c r="P98" s="14">
        <f t="shared" si="13"/>
        <v>40156.199999999997</v>
      </c>
    </row>
    <row r="99" spans="2:16" x14ac:dyDescent="0.25">
      <c r="B99" s="17" t="s">
        <v>99</v>
      </c>
      <c r="C99" s="13"/>
      <c r="D99" s="18">
        <v>336.27</v>
      </c>
      <c r="E99" s="18">
        <v>0</v>
      </c>
      <c r="F99" s="18">
        <v>0</v>
      </c>
      <c r="G99" s="18">
        <v>34.909999999999997</v>
      </c>
      <c r="H99" s="18">
        <v>352.34</v>
      </c>
      <c r="I99" s="18">
        <v>0</v>
      </c>
      <c r="J99" s="18">
        <v>0</v>
      </c>
      <c r="K99" s="18">
        <v>0</v>
      </c>
      <c r="L99" s="18">
        <v>1132.1500000000001</v>
      </c>
      <c r="M99" s="18">
        <v>0</v>
      </c>
      <c r="N99" s="18">
        <v>0</v>
      </c>
      <c r="O99" s="18">
        <v>0</v>
      </c>
      <c r="P99" s="14">
        <f t="shared" si="13"/>
        <v>1855.67</v>
      </c>
    </row>
    <row r="100" spans="2:16" x14ac:dyDescent="0.25">
      <c r="B100" s="17" t="s">
        <v>100</v>
      </c>
      <c r="C100" s="13"/>
      <c r="D100" s="18">
        <v>2337.21</v>
      </c>
      <c r="E100" s="18">
        <v>2341.73</v>
      </c>
      <c r="F100" s="18">
        <v>1393.2</v>
      </c>
      <c r="G100" s="18">
        <v>3668.56</v>
      </c>
      <c r="H100" s="18">
        <v>0</v>
      </c>
      <c r="I100" s="18">
        <v>1959.04</v>
      </c>
      <c r="J100" s="18">
        <v>0</v>
      </c>
      <c r="K100" s="18">
        <v>1036.8</v>
      </c>
      <c r="L100" s="18">
        <v>145.69</v>
      </c>
      <c r="M100" s="18">
        <v>14755.89</v>
      </c>
      <c r="N100" s="18">
        <v>19467.73</v>
      </c>
      <c r="O100" s="18">
        <v>-2358.08</v>
      </c>
      <c r="P100" s="14">
        <f t="shared" si="13"/>
        <v>44747.770000000004</v>
      </c>
    </row>
    <row r="101" spans="2:16" x14ac:dyDescent="0.25">
      <c r="B101" s="17" t="s">
        <v>101</v>
      </c>
      <c r="C101" s="13"/>
      <c r="D101" s="18">
        <v>5122.96</v>
      </c>
      <c r="E101" s="18">
        <v>3182.7</v>
      </c>
      <c r="F101" s="18">
        <v>-335.99</v>
      </c>
      <c r="G101" s="18">
        <v>6546.88</v>
      </c>
      <c r="H101" s="18">
        <v>118.13</v>
      </c>
      <c r="I101" s="18">
        <v>3234.53</v>
      </c>
      <c r="J101" s="18">
        <v>4500.51</v>
      </c>
      <c r="K101" s="18">
        <v>2301.17</v>
      </c>
      <c r="L101" s="18">
        <v>24.89</v>
      </c>
      <c r="M101" s="18">
        <v>520.23</v>
      </c>
      <c r="N101" s="18">
        <v>3549</v>
      </c>
      <c r="O101" s="18">
        <v>666.31</v>
      </c>
      <c r="P101" s="14">
        <f t="shared" si="13"/>
        <v>29431.32</v>
      </c>
    </row>
    <row r="102" spans="2:16" x14ac:dyDescent="0.25">
      <c r="B102" s="17" t="s">
        <v>102</v>
      </c>
      <c r="C102" s="13"/>
      <c r="D102" s="18">
        <v>49661.15</v>
      </c>
      <c r="E102" s="18">
        <v>25256.98</v>
      </c>
      <c r="F102" s="18">
        <v>33174.57</v>
      </c>
      <c r="G102" s="18">
        <v>40106.660000000003</v>
      </c>
      <c r="H102" s="18">
        <v>25102.11</v>
      </c>
      <c r="I102" s="18">
        <v>7842.52</v>
      </c>
      <c r="J102" s="18">
        <v>35177.72</v>
      </c>
      <c r="K102" s="19">
        <v>36619.22</v>
      </c>
      <c r="L102" s="18">
        <v>25805.19</v>
      </c>
      <c r="M102" s="18">
        <v>29689.91</v>
      </c>
      <c r="N102" s="18">
        <v>45353.15</v>
      </c>
      <c r="O102" s="18">
        <v>41155.379999999997</v>
      </c>
      <c r="P102" s="14">
        <f t="shared" si="13"/>
        <v>394944.56</v>
      </c>
    </row>
    <row r="103" spans="2:16" x14ac:dyDescent="0.25">
      <c r="B103" s="17" t="s">
        <v>103</v>
      </c>
      <c r="C103" s="13"/>
      <c r="D103" s="18">
        <v>2620.1999999999998</v>
      </c>
      <c r="E103" s="18">
        <v>2160.96</v>
      </c>
      <c r="F103" s="18">
        <v>-1285.71</v>
      </c>
      <c r="G103" s="18">
        <v>3604.73</v>
      </c>
      <c r="H103" s="18">
        <v>138.30000000000001</v>
      </c>
      <c r="I103" s="18">
        <v>1074.19</v>
      </c>
      <c r="J103" s="18">
        <v>10740.8</v>
      </c>
      <c r="K103" s="18">
        <v>8305.83</v>
      </c>
      <c r="L103" s="18">
        <v>14262.25</v>
      </c>
      <c r="M103" s="18">
        <v>369.43</v>
      </c>
      <c r="N103" s="18">
        <v>3072.02</v>
      </c>
      <c r="O103" s="18">
        <v>51.85</v>
      </c>
      <c r="P103" s="14">
        <f t="shared" si="13"/>
        <v>45114.85</v>
      </c>
    </row>
    <row r="104" spans="2:16" x14ac:dyDescent="0.25">
      <c r="B104" s="17" t="s">
        <v>104</v>
      </c>
      <c r="C104" s="13"/>
      <c r="D104" s="18">
        <v>3465.91</v>
      </c>
      <c r="E104" s="18">
        <v>887.91</v>
      </c>
      <c r="F104" s="18">
        <v>1556.04</v>
      </c>
      <c r="G104" s="18">
        <v>6032.78</v>
      </c>
      <c r="H104" s="18">
        <v>1375.1</v>
      </c>
      <c r="I104" s="18">
        <v>-448.52</v>
      </c>
      <c r="J104" s="18">
        <v>16414.89</v>
      </c>
      <c r="K104" s="18">
        <v>1853.49</v>
      </c>
      <c r="L104" s="18">
        <v>2089.58</v>
      </c>
      <c r="M104" s="18">
        <v>3076.96</v>
      </c>
      <c r="N104" s="18">
        <v>4380.93</v>
      </c>
      <c r="O104" s="18">
        <v>0</v>
      </c>
      <c r="P104" s="14">
        <f t="shared" si="13"/>
        <v>40685.07</v>
      </c>
    </row>
    <row r="105" spans="2:16" x14ac:dyDescent="0.25">
      <c r="B105" s="17" t="s">
        <v>105</v>
      </c>
      <c r="C105" s="13"/>
      <c r="D105" s="18">
        <v>2830.37</v>
      </c>
      <c r="E105" s="18">
        <v>2651.58</v>
      </c>
      <c r="F105" s="18">
        <v>1575.32</v>
      </c>
      <c r="G105" s="18">
        <v>2782.6</v>
      </c>
      <c r="H105" s="18">
        <v>249.4</v>
      </c>
      <c r="I105" s="18">
        <v>998.57</v>
      </c>
      <c r="J105" s="18">
        <v>390.7</v>
      </c>
      <c r="K105" s="18">
        <v>1778.91</v>
      </c>
      <c r="L105" s="18">
        <v>1131.7</v>
      </c>
      <c r="M105" s="18">
        <v>398.65</v>
      </c>
      <c r="N105" s="18">
        <v>2988.09</v>
      </c>
      <c r="O105" s="18">
        <v>247.89</v>
      </c>
      <c r="P105" s="14">
        <f t="shared" si="13"/>
        <v>18023.78</v>
      </c>
    </row>
    <row r="106" spans="2:16" x14ac:dyDescent="0.25">
      <c r="B106" s="17" t="s">
        <v>106</v>
      </c>
      <c r="C106" s="13"/>
      <c r="D106" s="18">
        <v>3070.73</v>
      </c>
      <c r="E106" s="18">
        <v>9361.8799999999992</v>
      </c>
      <c r="F106" s="18">
        <v>1159.93</v>
      </c>
      <c r="G106" s="18">
        <v>994.9</v>
      </c>
      <c r="H106" s="18">
        <v>532.14</v>
      </c>
      <c r="I106" s="18">
        <v>2680.43</v>
      </c>
      <c r="J106" s="18">
        <v>220.65</v>
      </c>
      <c r="K106" s="18">
        <v>181.38</v>
      </c>
      <c r="L106" s="18">
        <v>1905.08</v>
      </c>
      <c r="M106" s="18">
        <v>2085.46</v>
      </c>
      <c r="N106" s="18">
        <v>2348.1</v>
      </c>
      <c r="O106" s="18">
        <v>1177.51</v>
      </c>
      <c r="P106" s="14">
        <f t="shared" si="13"/>
        <v>25718.19</v>
      </c>
    </row>
    <row r="107" spans="2:16" x14ac:dyDescent="0.25">
      <c r="B107" s="17" t="s">
        <v>107</v>
      </c>
      <c r="C107" s="13"/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144.43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4">
        <f t="shared" si="13"/>
        <v>144.43</v>
      </c>
    </row>
    <row r="108" spans="2:16" x14ac:dyDescent="0.25">
      <c r="B108" s="17" t="s">
        <v>108</v>
      </c>
      <c r="C108" s="13"/>
      <c r="D108" s="18">
        <v>4535.88</v>
      </c>
      <c r="E108" s="18">
        <v>2651.58</v>
      </c>
      <c r="F108" s="18">
        <v>-7143.14</v>
      </c>
      <c r="G108" s="18">
        <v>9351.7099999999991</v>
      </c>
      <c r="H108" s="18">
        <v>36.700000000000003</v>
      </c>
      <c r="I108" s="18">
        <v>3875.59</v>
      </c>
      <c r="J108" s="18">
        <v>1042.03</v>
      </c>
      <c r="K108" s="18">
        <v>9639.49</v>
      </c>
      <c r="L108" s="18">
        <v>1151.04</v>
      </c>
      <c r="M108" s="18">
        <v>3268.84</v>
      </c>
      <c r="N108" s="18">
        <v>3759.63</v>
      </c>
      <c r="O108" s="18">
        <v>320</v>
      </c>
      <c r="P108" s="14">
        <f t="shared" si="13"/>
        <v>32489.350000000002</v>
      </c>
    </row>
    <row r="109" spans="2:16" x14ac:dyDescent="0.25">
      <c r="B109" s="17" t="s">
        <v>109</v>
      </c>
      <c r="C109" s="13"/>
      <c r="D109" s="18">
        <v>2803.87</v>
      </c>
      <c r="E109" s="18">
        <v>1741.88</v>
      </c>
      <c r="F109" s="18">
        <v>164.88</v>
      </c>
      <c r="G109" s="18">
        <v>6873.73</v>
      </c>
      <c r="H109" s="18">
        <v>88.92</v>
      </c>
      <c r="I109" s="18">
        <v>-423.29</v>
      </c>
      <c r="J109" s="18">
        <v>970.87</v>
      </c>
      <c r="K109" s="18">
        <v>1963.93</v>
      </c>
      <c r="L109" s="18">
        <v>85.96</v>
      </c>
      <c r="M109" s="18">
        <v>1470.3</v>
      </c>
      <c r="N109" s="18">
        <v>3677.5</v>
      </c>
      <c r="O109" s="18">
        <v>0</v>
      </c>
      <c r="P109" s="14">
        <f t="shared" si="13"/>
        <v>19418.55</v>
      </c>
    </row>
    <row r="110" spans="2:16" x14ac:dyDescent="0.25">
      <c r="B110" s="17" t="s">
        <v>110</v>
      </c>
      <c r="C110" s="13"/>
      <c r="D110" s="18">
        <v>3296.29</v>
      </c>
      <c r="E110" s="18">
        <v>3934.51</v>
      </c>
      <c r="F110" s="18">
        <v>3460.86</v>
      </c>
      <c r="G110" s="18">
        <v>6400.69</v>
      </c>
      <c r="H110" s="18">
        <v>996.42</v>
      </c>
      <c r="I110" s="18">
        <v>-1624.37</v>
      </c>
      <c r="J110" s="18">
        <v>488.06</v>
      </c>
      <c r="K110" s="18">
        <v>1936.36</v>
      </c>
      <c r="L110" s="18">
        <v>648.29</v>
      </c>
      <c r="M110" s="18">
        <v>2205.83</v>
      </c>
      <c r="N110" s="18">
        <v>3665.25</v>
      </c>
      <c r="O110" s="18">
        <v>5886.84</v>
      </c>
      <c r="P110" s="14">
        <f t="shared" si="13"/>
        <v>31295.030000000002</v>
      </c>
    </row>
    <row r="111" spans="2:16" x14ac:dyDescent="0.25">
      <c r="B111" s="17" t="s">
        <v>111</v>
      </c>
      <c r="C111" s="13"/>
      <c r="D111" s="18">
        <v>0</v>
      </c>
      <c r="E111" s="18">
        <v>0</v>
      </c>
      <c r="F111" s="18">
        <v>0</v>
      </c>
      <c r="G111" s="18">
        <v>326.39999999999998</v>
      </c>
      <c r="H111" s="18">
        <v>2732.98</v>
      </c>
      <c r="I111" s="18">
        <v>5818.95</v>
      </c>
      <c r="J111" s="18">
        <v>6024.49</v>
      </c>
      <c r="K111" s="18">
        <v>127.76</v>
      </c>
      <c r="L111" s="18">
        <v>801.02</v>
      </c>
      <c r="M111" s="18">
        <v>1567.14</v>
      </c>
      <c r="N111" s="18">
        <v>1567.36</v>
      </c>
      <c r="O111" s="18">
        <v>0</v>
      </c>
      <c r="P111" s="14">
        <f t="shared" si="13"/>
        <v>18966.100000000002</v>
      </c>
    </row>
    <row r="112" spans="2:16" x14ac:dyDescent="0.25">
      <c r="B112" s="17" t="s">
        <v>112</v>
      </c>
      <c r="C112" s="13"/>
      <c r="D112" s="18">
        <v>0</v>
      </c>
      <c r="E112" s="18">
        <v>0</v>
      </c>
      <c r="F112" s="18">
        <v>-1144.26</v>
      </c>
      <c r="G112" s="18">
        <v>0</v>
      </c>
      <c r="H112" s="18">
        <v>10210.02</v>
      </c>
      <c r="I112" s="18">
        <v>9383.0300000000007</v>
      </c>
      <c r="J112" s="18">
        <v>5377.58</v>
      </c>
      <c r="K112" s="18">
        <v>1043.45</v>
      </c>
      <c r="L112" s="18">
        <v>1413.59</v>
      </c>
      <c r="M112" s="18">
        <v>6836.16</v>
      </c>
      <c r="N112" s="18">
        <v>3300.61</v>
      </c>
      <c r="O112" s="18">
        <v>166.94</v>
      </c>
      <c r="P112" s="14">
        <f t="shared" si="13"/>
        <v>36587.12000000001</v>
      </c>
    </row>
    <row r="113" spans="2:16" x14ac:dyDescent="0.25">
      <c r="B113" s="17" t="s">
        <v>113</v>
      </c>
      <c r="C113" s="13"/>
      <c r="D113" s="18">
        <v>0</v>
      </c>
      <c r="E113" s="18">
        <v>0</v>
      </c>
      <c r="F113" s="18">
        <v>-1089.83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1090</v>
      </c>
      <c r="P113" s="14">
        <f>SUM(D113:O113)</f>
        <v>0.17000000000007276</v>
      </c>
    </row>
    <row r="114" spans="2:16" x14ac:dyDescent="0.25">
      <c r="B114" s="17" t="s">
        <v>114</v>
      </c>
      <c r="C114" s="13"/>
      <c r="D114" s="18">
        <v>0</v>
      </c>
      <c r="E114" s="18">
        <v>1632</v>
      </c>
      <c r="F114" s="18">
        <v>0</v>
      </c>
      <c r="G114" s="18">
        <v>1632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4">
        <f t="shared" si="13"/>
        <v>3264</v>
      </c>
    </row>
    <row r="115" spans="2:16" x14ac:dyDescent="0.25">
      <c r="B115" s="17" t="s">
        <v>115</v>
      </c>
      <c r="C115" s="13"/>
      <c r="D115" s="18">
        <v>0</v>
      </c>
      <c r="E115" s="18">
        <v>0</v>
      </c>
      <c r="F115" s="18">
        <v>330</v>
      </c>
      <c r="G115" s="18">
        <v>0</v>
      </c>
      <c r="H115" s="18">
        <v>967.11</v>
      </c>
      <c r="I115" s="18">
        <v>0</v>
      </c>
      <c r="J115" s="18">
        <v>2849.08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4">
        <f t="shared" si="13"/>
        <v>4146.1900000000005</v>
      </c>
    </row>
    <row r="116" spans="2:16" x14ac:dyDescent="0.25">
      <c r="B116" s="17" t="s">
        <v>116</v>
      </c>
      <c r="C116" s="13"/>
      <c r="D116" s="18">
        <v>452.36</v>
      </c>
      <c r="E116" s="18">
        <v>0</v>
      </c>
      <c r="F116" s="18">
        <v>523.65</v>
      </c>
      <c r="G116" s="18">
        <v>0</v>
      </c>
      <c r="H116" s="18">
        <v>0</v>
      </c>
      <c r="I116" s="18">
        <v>362.71</v>
      </c>
      <c r="J116" s="18">
        <v>0</v>
      </c>
      <c r="K116" s="18">
        <v>0</v>
      </c>
      <c r="L116" s="18">
        <v>0</v>
      </c>
      <c r="M116" s="18">
        <v>108.94</v>
      </c>
      <c r="N116" s="18">
        <v>0</v>
      </c>
      <c r="O116" s="18">
        <v>0</v>
      </c>
      <c r="P116" s="14">
        <f t="shared" si="13"/>
        <v>1447.66</v>
      </c>
    </row>
    <row r="117" spans="2:16" x14ac:dyDescent="0.25">
      <c r="B117" s="17" t="s">
        <v>117</v>
      </c>
      <c r="C117" s="13"/>
      <c r="D117" s="18">
        <v>365.34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4">
        <f t="shared" si="13"/>
        <v>365.34</v>
      </c>
    </row>
    <row r="118" spans="2:16" x14ac:dyDescent="0.25">
      <c r="B118" s="17" t="s">
        <v>118</v>
      </c>
      <c r="C118" s="13"/>
      <c r="D118" s="18">
        <v>811.21</v>
      </c>
      <c r="E118" s="18">
        <v>0</v>
      </c>
      <c r="F118" s="18">
        <v>635.87</v>
      </c>
      <c r="G118" s="18">
        <v>0</v>
      </c>
      <c r="H118" s="18">
        <v>0</v>
      </c>
      <c r="I118" s="18">
        <v>563.1</v>
      </c>
      <c r="J118" s="18">
        <v>0</v>
      </c>
      <c r="K118" s="18">
        <v>0</v>
      </c>
      <c r="L118" s="18">
        <v>129.93</v>
      </c>
      <c r="M118" s="18">
        <v>176.51</v>
      </c>
      <c r="N118" s="18">
        <v>0</v>
      </c>
      <c r="O118" s="18">
        <v>0</v>
      </c>
      <c r="P118" s="14">
        <f t="shared" si="13"/>
        <v>2316.62</v>
      </c>
    </row>
    <row r="119" spans="2:16" x14ac:dyDescent="0.25">
      <c r="B119" s="17" t="s">
        <v>119</v>
      </c>
      <c r="C119" s="13"/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532.16</v>
      </c>
      <c r="L119" s="18">
        <v>0</v>
      </c>
      <c r="M119" s="18">
        <v>176.51</v>
      </c>
      <c r="N119" s="18">
        <v>0</v>
      </c>
      <c r="O119" s="18">
        <v>0</v>
      </c>
      <c r="P119" s="14">
        <f t="shared" si="13"/>
        <v>708.67</v>
      </c>
    </row>
    <row r="120" spans="2:16" x14ac:dyDescent="0.25">
      <c r="B120" s="17" t="s">
        <v>120</v>
      </c>
      <c r="C120" s="13"/>
      <c r="D120" s="18">
        <v>1910.62</v>
      </c>
      <c r="E120" s="18">
        <v>0</v>
      </c>
      <c r="F120" s="18">
        <v>874.25</v>
      </c>
      <c r="G120" s="18">
        <v>0</v>
      </c>
      <c r="H120" s="18">
        <v>0</v>
      </c>
      <c r="I120" s="18">
        <v>0</v>
      </c>
      <c r="J120" s="18">
        <v>36.299999999999997</v>
      </c>
      <c r="K120" s="18">
        <v>0</v>
      </c>
      <c r="L120" s="18">
        <v>0</v>
      </c>
      <c r="M120" s="18">
        <v>176.51</v>
      </c>
      <c r="N120" s="18">
        <v>0</v>
      </c>
      <c r="O120" s="18">
        <v>0</v>
      </c>
      <c r="P120" s="14">
        <f t="shared" si="13"/>
        <v>2997.6800000000003</v>
      </c>
    </row>
    <row r="121" spans="2:16" x14ac:dyDescent="0.25">
      <c r="B121" s="17" t="s">
        <v>121</v>
      </c>
      <c r="C121" s="13"/>
      <c r="D121" s="18">
        <v>7128.92</v>
      </c>
      <c r="E121" s="18">
        <v>1225.69</v>
      </c>
      <c r="F121" s="18">
        <v>5813.24</v>
      </c>
      <c r="G121" s="18">
        <v>5806.8</v>
      </c>
      <c r="H121" s="18">
        <v>6453.77</v>
      </c>
      <c r="I121" s="18">
        <v>3487.66</v>
      </c>
      <c r="J121" s="18">
        <v>279.91000000000003</v>
      </c>
      <c r="K121" s="18">
        <v>7781.99</v>
      </c>
      <c r="L121" s="18">
        <v>7777.59</v>
      </c>
      <c r="M121" s="18">
        <v>5220.6499999999996</v>
      </c>
      <c r="N121" s="18">
        <v>6262.41</v>
      </c>
      <c r="O121" s="18">
        <v>213.79</v>
      </c>
      <c r="P121" s="14">
        <f t="shared" si="13"/>
        <v>57452.420000000006</v>
      </c>
    </row>
    <row r="122" spans="2:16" x14ac:dyDescent="0.25">
      <c r="B122" s="17" t="s">
        <v>122</v>
      </c>
      <c r="C122" s="13"/>
      <c r="D122" s="18">
        <v>994.53</v>
      </c>
      <c r="E122" s="18">
        <v>0</v>
      </c>
      <c r="F122" s="18">
        <v>896.32</v>
      </c>
      <c r="G122" s="18">
        <v>0</v>
      </c>
      <c r="H122" s="18">
        <v>0</v>
      </c>
      <c r="I122" s="18">
        <v>9.77</v>
      </c>
      <c r="J122" s="18">
        <v>0</v>
      </c>
      <c r="K122" s="18">
        <v>84.82</v>
      </c>
      <c r="L122" s="18">
        <v>0</v>
      </c>
      <c r="M122" s="18">
        <v>176.51</v>
      </c>
      <c r="N122" s="18">
        <v>0</v>
      </c>
      <c r="O122" s="18">
        <v>0</v>
      </c>
      <c r="P122" s="14">
        <f>SUM(D122:O122)</f>
        <v>2161.9499999999998</v>
      </c>
    </row>
    <row r="123" spans="2:16" x14ac:dyDescent="0.25">
      <c r="B123" s="17" t="s">
        <v>123</v>
      </c>
      <c r="C123" s="13"/>
      <c r="D123" s="18">
        <v>548.9</v>
      </c>
      <c r="E123" s="18">
        <v>0</v>
      </c>
      <c r="F123" s="18">
        <v>789.64</v>
      </c>
      <c r="G123" s="18">
        <v>0</v>
      </c>
      <c r="H123" s="18">
        <v>0</v>
      </c>
      <c r="I123" s="18">
        <v>0</v>
      </c>
      <c r="J123" s="18">
        <v>0</v>
      </c>
      <c r="K123" s="18">
        <v>628.66</v>
      </c>
      <c r="L123" s="18">
        <v>35.090000000000003</v>
      </c>
      <c r="M123" s="18">
        <v>108.94</v>
      </c>
      <c r="N123" s="18">
        <v>0</v>
      </c>
      <c r="O123" s="18">
        <v>0</v>
      </c>
      <c r="P123" s="14">
        <f t="shared" si="13"/>
        <v>2111.2299999999996</v>
      </c>
    </row>
    <row r="124" spans="2:16" x14ac:dyDescent="0.25">
      <c r="B124" s="17" t="s">
        <v>124</v>
      </c>
      <c r="C124" s="13"/>
      <c r="D124" s="18">
        <v>1039.0899999999999</v>
      </c>
      <c r="E124" s="18">
        <v>0</v>
      </c>
      <c r="F124" s="18">
        <v>854.12</v>
      </c>
      <c r="G124" s="18">
        <v>0</v>
      </c>
      <c r="H124" s="18">
        <v>0</v>
      </c>
      <c r="I124" s="18">
        <v>0</v>
      </c>
      <c r="J124" s="18">
        <v>0</v>
      </c>
      <c r="K124" s="18">
        <v>155.15</v>
      </c>
      <c r="L124" s="18">
        <v>76.52</v>
      </c>
      <c r="M124" s="18">
        <v>176.51</v>
      </c>
      <c r="N124" s="18">
        <v>0</v>
      </c>
      <c r="O124" s="18">
        <v>0</v>
      </c>
      <c r="P124" s="14">
        <f t="shared" si="13"/>
        <v>2301.3900000000003</v>
      </c>
    </row>
    <row r="125" spans="2:16" x14ac:dyDescent="0.25">
      <c r="B125" s="17" t="s">
        <v>125</v>
      </c>
      <c r="C125" s="13"/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19.52</v>
      </c>
      <c r="L125" s="18">
        <v>0</v>
      </c>
      <c r="M125" s="18">
        <v>168.15</v>
      </c>
      <c r="N125" s="18">
        <v>0</v>
      </c>
      <c r="O125" s="18">
        <v>0</v>
      </c>
      <c r="P125" s="14">
        <f t="shared" si="13"/>
        <v>187.67000000000002</v>
      </c>
    </row>
    <row r="126" spans="2:16" x14ac:dyDescent="0.25">
      <c r="B126" s="17" t="s">
        <v>126</v>
      </c>
      <c r="C126" s="13"/>
      <c r="D126" s="18">
        <v>0</v>
      </c>
      <c r="E126" s="18">
        <v>0</v>
      </c>
      <c r="F126" s="18">
        <v>1896.54</v>
      </c>
      <c r="G126" s="18">
        <v>0</v>
      </c>
      <c r="H126" s="18">
        <v>23.93</v>
      </c>
      <c r="I126" s="18">
        <v>0</v>
      </c>
      <c r="J126" s="18">
        <v>0</v>
      </c>
      <c r="K126" s="18">
        <v>0</v>
      </c>
      <c r="L126" s="18">
        <v>0</v>
      </c>
      <c r="M126" s="18">
        <v>176.51</v>
      </c>
      <c r="N126" s="18">
        <v>0</v>
      </c>
      <c r="O126" s="18">
        <v>0</v>
      </c>
      <c r="P126" s="14">
        <f t="shared" si="13"/>
        <v>2096.98</v>
      </c>
    </row>
    <row r="127" spans="2:16" x14ac:dyDescent="0.25">
      <c r="B127" s="17" t="s">
        <v>127</v>
      </c>
      <c r="C127" s="13"/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80.5</v>
      </c>
      <c r="L127" s="18">
        <v>0</v>
      </c>
      <c r="M127" s="18">
        <v>176.51</v>
      </c>
      <c r="N127" s="18">
        <v>0</v>
      </c>
      <c r="O127" s="18">
        <v>0</v>
      </c>
      <c r="P127" s="14">
        <f t="shared" si="13"/>
        <v>257.01</v>
      </c>
    </row>
    <row r="128" spans="2:16" x14ac:dyDescent="0.25">
      <c r="B128" s="17" t="s">
        <v>128</v>
      </c>
      <c r="C128" s="13"/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5.64</v>
      </c>
      <c r="L128" s="18">
        <v>0</v>
      </c>
      <c r="M128" s="18">
        <v>176.51</v>
      </c>
      <c r="N128" s="18">
        <v>183.55</v>
      </c>
      <c r="O128" s="18">
        <v>0</v>
      </c>
      <c r="P128" s="14">
        <f t="shared" si="13"/>
        <v>365.7</v>
      </c>
    </row>
    <row r="129" spans="2:18" x14ac:dyDescent="0.25">
      <c r="B129" s="17" t="s">
        <v>129</v>
      </c>
      <c r="C129" s="13"/>
      <c r="D129" s="18">
        <v>0</v>
      </c>
      <c r="E129" s="18">
        <v>0</v>
      </c>
      <c r="F129" s="18">
        <v>0</v>
      </c>
      <c r="G129" s="18">
        <v>0</v>
      </c>
      <c r="H129" s="18">
        <v>50.4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4">
        <f t="shared" si="13"/>
        <v>50.4</v>
      </c>
    </row>
    <row r="130" spans="2:18" x14ac:dyDescent="0.25">
      <c r="B130" s="17" t="s">
        <v>130</v>
      </c>
      <c r="C130" s="13"/>
      <c r="D130" s="18">
        <v>0</v>
      </c>
      <c r="E130" s="18">
        <v>460.77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4">
        <f t="shared" si="13"/>
        <v>460.77</v>
      </c>
    </row>
    <row r="131" spans="2:18" x14ac:dyDescent="0.25">
      <c r="B131" s="17" t="s">
        <v>131</v>
      </c>
      <c r="C131" s="13"/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4370</v>
      </c>
      <c r="L131" s="18">
        <v>0</v>
      </c>
      <c r="M131" s="18">
        <v>0</v>
      </c>
      <c r="N131" s="18">
        <v>0</v>
      </c>
      <c r="O131" s="18">
        <v>0</v>
      </c>
      <c r="P131" s="14">
        <f t="shared" si="13"/>
        <v>4370</v>
      </c>
      <c r="R131" s="32"/>
    </row>
    <row r="132" spans="2:18" x14ac:dyDescent="0.25">
      <c r="B132" s="17" t="s">
        <v>132</v>
      </c>
      <c r="C132" s="13"/>
      <c r="D132" s="18">
        <v>4116</v>
      </c>
      <c r="E132" s="18">
        <v>4452</v>
      </c>
      <c r="F132" s="18">
        <v>3465</v>
      </c>
      <c r="G132" s="18">
        <v>4907</v>
      </c>
      <c r="H132" s="18">
        <v>3633</v>
      </c>
      <c r="I132" s="18">
        <v>3907.5</v>
      </c>
      <c r="J132" s="18">
        <v>4590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4">
        <f t="shared" si="13"/>
        <v>29070.5</v>
      </c>
      <c r="R132" s="33"/>
    </row>
    <row r="133" spans="2:18" x14ac:dyDescent="0.25">
      <c r="B133" s="17" t="s">
        <v>133</v>
      </c>
      <c r="C133" s="13"/>
      <c r="D133" s="18">
        <v>173632.41</v>
      </c>
      <c r="E133" s="18">
        <v>194400.82</v>
      </c>
      <c r="F133" s="18">
        <v>36006.050000000003</v>
      </c>
      <c r="G133" s="18">
        <v>210308.35</v>
      </c>
      <c r="H133" s="18">
        <v>245086.32</v>
      </c>
      <c r="I133" s="18">
        <v>184668.58</v>
      </c>
      <c r="J133" s="18">
        <v>193558.02</v>
      </c>
      <c r="K133" s="18">
        <v>203141.37</v>
      </c>
      <c r="L133" s="18">
        <v>200836.62</v>
      </c>
      <c r="M133" s="18">
        <v>188081.28</v>
      </c>
      <c r="N133" s="18">
        <v>203671.34</v>
      </c>
      <c r="O133" s="18">
        <v>212585.2</v>
      </c>
      <c r="P133" s="14">
        <f t="shared" si="13"/>
        <v>2245976.3600000003</v>
      </c>
      <c r="R133" s="33"/>
    </row>
    <row r="134" spans="2:18" x14ac:dyDescent="0.25">
      <c r="B134" s="17" t="s">
        <v>134</v>
      </c>
      <c r="C134" s="13"/>
      <c r="D134" s="18">
        <v>802.43</v>
      </c>
      <c r="E134" s="18">
        <v>74.03</v>
      </c>
      <c r="F134" s="18">
        <v>0</v>
      </c>
      <c r="G134" s="18">
        <v>3317.17</v>
      </c>
      <c r="H134" s="18">
        <v>482.83</v>
      </c>
      <c r="I134" s="18">
        <v>2913.35</v>
      </c>
      <c r="J134" s="18">
        <v>8860.7000000000007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4">
        <f t="shared" si="13"/>
        <v>16450.510000000002</v>
      </c>
      <c r="R134" s="33"/>
    </row>
    <row r="135" spans="2:18" x14ac:dyDescent="0.25">
      <c r="B135" s="17" t="s">
        <v>135</v>
      </c>
      <c r="C135" s="13"/>
      <c r="D135" s="18">
        <v>19104.3</v>
      </c>
      <c r="E135" s="18">
        <v>18759.22</v>
      </c>
      <c r="F135" s="18">
        <v>16700.28</v>
      </c>
      <c r="G135" s="18">
        <v>18918.900000000001</v>
      </c>
      <c r="H135" s="18">
        <v>19499.82</v>
      </c>
      <c r="I135" s="18">
        <v>19909.22</v>
      </c>
      <c r="J135" s="18">
        <v>20737.34</v>
      </c>
      <c r="K135" s="18">
        <v>24227.32</v>
      </c>
      <c r="L135" s="18">
        <v>27459.62</v>
      </c>
      <c r="M135" s="18">
        <v>27459.62</v>
      </c>
      <c r="N135" s="18">
        <v>27459.62</v>
      </c>
      <c r="O135" s="18">
        <v>27459.62</v>
      </c>
      <c r="P135" s="14">
        <f t="shared" si="13"/>
        <v>267694.88</v>
      </c>
      <c r="R135" s="33"/>
    </row>
    <row r="136" spans="2:18" x14ac:dyDescent="0.25">
      <c r="B136" s="17" t="s">
        <v>136</v>
      </c>
      <c r="C136" s="13"/>
      <c r="D136" s="18">
        <v>3655.53</v>
      </c>
      <c r="E136" s="18">
        <v>1971.68</v>
      </c>
      <c r="F136" s="18">
        <v>1505.31</v>
      </c>
      <c r="G136" s="18">
        <v>2752</v>
      </c>
      <c r="H136" s="18">
        <v>1087.73</v>
      </c>
      <c r="I136" s="18">
        <v>707.48</v>
      </c>
      <c r="J136" s="18">
        <v>439.31</v>
      </c>
      <c r="K136" s="18">
        <v>430</v>
      </c>
      <c r="L136" s="18">
        <v>225</v>
      </c>
      <c r="M136" s="18">
        <v>85</v>
      </c>
      <c r="N136" s="18">
        <v>190</v>
      </c>
      <c r="O136" s="18">
        <v>275</v>
      </c>
      <c r="P136" s="14">
        <f t="shared" ref="P136:P144" si="14">SUM(D136:O136)</f>
        <v>13324.039999999999</v>
      </c>
      <c r="R136" s="33"/>
    </row>
    <row r="137" spans="2:18" x14ac:dyDescent="0.25">
      <c r="B137" s="17" t="s">
        <v>137</v>
      </c>
      <c r="C137" s="13"/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-49.88</v>
      </c>
      <c r="L137" s="18">
        <v>-198.74</v>
      </c>
      <c r="M137" s="18">
        <v>-121.16</v>
      </c>
      <c r="N137" s="18">
        <v>-199.44</v>
      </c>
      <c r="O137" s="18">
        <v>-78.13</v>
      </c>
      <c r="P137" s="14">
        <f t="shared" si="14"/>
        <v>-647.35</v>
      </c>
    </row>
    <row r="138" spans="2:18" x14ac:dyDescent="0.25">
      <c r="B138" s="17" t="s">
        <v>138</v>
      </c>
      <c r="C138" s="13"/>
      <c r="D138" s="18">
        <v>17710.78</v>
      </c>
      <c r="E138" s="18">
        <v>18931.939999999999</v>
      </c>
      <c r="F138" s="18">
        <v>3040.35</v>
      </c>
      <c r="G138" s="18">
        <v>22419.29</v>
      </c>
      <c r="H138" s="18">
        <v>35366.46</v>
      </c>
      <c r="I138" s="18">
        <v>39097.54</v>
      </c>
      <c r="J138" s="18">
        <v>41469.85</v>
      </c>
      <c r="K138" s="18">
        <v>20567.150000000001</v>
      </c>
      <c r="L138" s="18">
        <v>20716.189999999999</v>
      </c>
      <c r="M138" s="18">
        <v>19469.37</v>
      </c>
      <c r="N138" s="18">
        <v>19219.22</v>
      </c>
      <c r="O138" s="18">
        <v>19598.099999999999</v>
      </c>
      <c r="P138" s="14">
        <f t="shared" si="14"/>
        <v>277606.24</v>
      </c>
      <c r="R138" s="33"/>
    </row>
    <row r="139" spans="2:18" x14ac:dyDescent="0.25">
      <c r="B139" s="17" t="s">
        <v>139</v>
      </c>
      <c r="C139" s="13"/>
      <c r="D139" s="18">
        <v>121.09</v>
      </c>
      <c r="E139" s="18">
        <v>60.46</v>
      </c>
      <c r="F139" s="18">
        <v>1302.74</v>
      </c>
      <c r="G139" s="18">
        <v>1387.19</v>
      </c>
      <c r="H139" s="18">
        <v>314.43</v>
      </c>
      <c r="I139" s="18">
        <v>48.83</v>
      </c>
      <c r="J139" s="18">
        <v>26.08</v>
      </c>
      <c r="K139" s="18">
        <v>87.42</v>
      </c>
      <c r="L139" s="18">
        <v>107.22</v>
      </c>
      <c r="M139" s="18">
        <v>68.39</v>
      </c>
      <c r="N139" s="18">
        <v>61.9</v>
      </c>
      <c r="O139" s="18">
        <v>50.9</v>
      </c>
      <c r="P139" s="14">
        <f t="shared" si="14"/>
        <v>3636.6499999999996</v>
      </c>
      <c r="R139" s="33"/>
    </row>
    <row r="140" spans="2:18" x14ac:dyDescent="0.25">
      <c r="B140" s="17" t="s">
        <v>140</v>
      </c>
      <c r="C140" s="13"/>
      <c r="D140" s="18">
        <v>752.66</v>
      </c>
      <c r="E140" s="18">
        <v>679.92</v>
      </c>
      <c r="F140" s="18">
        <v>2211.36</v>
      </c>
      <c r="G140" s="18">
        <v>1630.53</v>
      </c>
      <c r="H140" s="18">
        <v>1814.32</v>
      </c>
      <c r="I140" s="18">
        <v>5158.43</v>
      </c>
      <c r="J140" s="18">
        <v>1464.59</v>
      </c>
      <c r="K140" s="18">
        <v>1106.21</v>
      </c>
      <c r="L140" s="18">
        <v>1145.48</v>
      </c>
      <c r="M140" s="18">
        <v>1009.49</v>
      </c>
      <c r="N140" s="18">
        <v>955.43</v>
      </c>
      <c r="O140" s="18">
        <v>831.82</v>
      </c>
      <c r="P140" s="14">
        <f t="shared" si="14"/>
        <v>18760.240000000002</v>
      </c>
      <c r="R140" s="33"/>
    </row>
    <row r="141" spans="2:18" x14ac:dyDescent="0.25">
      <c r="B141" s="17" t="s">
        <v>141</v>
      </c>
      <c r="C141" s="13"/>
      <c r="D141" s="18">
        <v>0</v>
      </c>
      <c r="E141" s="18">
        <v>0</v>
      </c>
      <c r="F141" s="18">
        <v>2923.48</v>
      </c>
      <c r="G141" s="18">
        <v>0</v>
      </c>
      <c r="H141" s="18">
        <v>0</v>
      </c>
      <c r="I141" s="18">
        <v>1613.04</v>
      </c>
      <c r="J141" s="18">
        <v>0</v>
      </c>
      <c r="K141" s="18">
        <v>0</v>
      </c>
      <c r="L141" s="18">
        <v>1353.87</v>
      </c>
      <c r="M141" s="18">
        <v>0</v>
      </c>
      <c r="N141" s="18">
        <v>0</v>
      </c>
      <c r="O141" s="18">
        <v>0</v>
      </c>
      <c r="P141" s="14">
        <f t="shared" si="14"/>
        <v>5890.39</v>
      </c>
      <c r="R141" s="33"/>
    </row>
    <row r="142" spans="2:18" x14ac:dyDescent="0.25">
      <c r="B142" s="17" t="s">
        <v>142</v>
      </c>
      <c r="C142" s="13"/>
      <c r="D142" s="18">
        <v>772.2</v>
      </c>
      <c r="E142" s="18">
        <v>0</v>
      </c>
      <c r="F142" s="18">
        <v>0</v>
      </c>
      <c r="G142" s="18">
        <v>0</v>
      </c>
      <c r="H142" s="18">
        <v>0</v>
      </c>
      <c r="I142" s="18">
        <v>2286.9</v>
      </c>
      <c r="J142" s="18">
        <v>0</v>
      </c>
      <c r="K142" s="18">
        <v>1009.8</v>
      </c>
      <c r="L142" s="18">
        <v>0</v>
      </c>
      <c r="M142" s="18">
        <v>0</v>
      </c>
      <c r="N142" s="18">
        <v>0</v>
      </c>
      <c r="O142" s="18">
        <v>0</v>
      </c>
      <c r="P142" s="14">
        <f t="shared" si="14"/>
        <v>4068.9000000000005</v>
      </c>
    </row>
    <row r="143" spans="2:18" x14ac:dyDescent="0.25">
      <c r="B143" s="17" t="s">
        <v>143</v>
      </c>
      <c r="C143" s="13"/>
      <c r="D143" s="18">
        <v>101.25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4">
        <f t="shared" si="14"/>
        <v>101.25</v>
      </c>
    </row>
    <row r="144" spans="2:18" x14ac:dyDescent="0.25">
      <c r="B144" s="34" t="s">
        <v>144</v>
      </c>
      <c r="C144" s="35"/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1040.8499999999999</v>
      </c>
      <c r="K144" s="20">
        <v>18.95</v>
      </c>
      <c r="L144" s="20">
        <v>0</v>
      </c>
      <c r="M144" s="20">
        <v>0</v>
      </c>
      <c r="N144" s="20">
        <v>0</v>
      </c>
      <c r="O144" s="20">
        <v>0</v>
      </c>
      <c r="P144" s="22">
        <f t="shared" si="14"/>
        <v>1059.8</v>
      </c>
    </row>
    <row r="145" spans="2:18" x14ac:dyDescent="0.25">
      <c r="B145" s="12" t="s">
        <v>145</v>
      </c>
      <c r="C145" s="9"/>
      <c r="D145" s="25">
        <f>SUM(D71:D144)</f>
        <v>358482.89999999997</v>
      </c>
      <c r="E145" s="25">
        <f t="shared" ref="E145:P145" si="15">SUM(E71:E144)</f>
        <v>353492.75</v>
      </c>
      <c r="F145" s="25">
        <f t="shared" si="15"/>
        <v>169486.01999999996</v>
      </c>
      <c r="G145" s="25">
        <f t="shared" si="15"/>
        <v>423022.28</v>
      </c>
      <c r="H145" s="25">
        <f t="shared" si="15"/>
        <v>411293.36000000004</v>
      </c>
      <c r="I145" s="25">
        <f t="shared" si="15"/>
        <v>369269.19999999995</v>
      </c>
      <c r="J145" s="25">
        <f t="shared" si="15"/>
        <v>416575.82</v>
      </c>
      <c r="K145" s="25">
        <f t="shared" si="15"/>
        <v>392798.94</v>
      </c>
      <c r="L145" s="25">
        <f t="shared" si="15"/>
        <v>377756.42999999993</v>
      </c>
      <c r="M145" s="25">
        <f t="shared" si="15"/>
        <v>371113.50000000006</v>
      </c>
      <c r="N145" s="25">
        <f t="shared" si="15"/>
        <v>429798.68</v>
      </c>
      <c r="O145" s="25">
        <f t="shared" si="15"/>
        <v>364331.14</v>
      </c>
      <c r="P145" s="25">
        <f t="shared" si="15"/>
        <v>4437421.0200000005</v>
      </c>
    </row>
    <row r="146" spans="2:18" x14ac:dyDescent="0.25">
      <c r="B146" s="12"/>
      <c r="C146" s="9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2:18" x14ac:dyDescent="0.25">
      <c r="B147" s="36" t="s">
        <v>146</v>
      </c>
      <c r="C147" s="37"/>
      <c r="D147" s="38">
        <f t="shared" ref="D147:P147" si="16">D68-D145</f>
        <v>299053.05</v>
      </c>
      <c r="E147" s="38">
        <f t="shared" si="16"/>
        <v>451726.52000000014</v>
      </c>
      <c r="F147" s="38">
        <f t="shared" si="16"/>
        <v>522587.41</v>
      </c>
      <c r="G147" s="38">
        <f t="shared" si="16"/>
        <v>248720.15999999992</v>
      </c>
      <c r="H147" s="38">
        <f t="shared" si="16"/>
        <v>312700.75999999995</v>
      </c>
      <c r="I147" s="38">
        <f t="shared" si="16"/>
        <v>234866.16000000003</v>
      </c>
      <c r="J147" s="38">
        <f t="shared" si="16"/>
        <v>241113.61999999994</v>
      </c>
      <c r="K147" s="38">
        <f t="shared" si="16"/>
        <v>334508.96000000002</v>
      </c>
      <c r="L147" s="38">
        <f t="shared" si="16"/>
        <v>277689.80000000005</v>
      </c>
      <c r="M147" s="38">
        <f t="shared" si="16"/>
        <v>87373.709999999963</v>
      </c>
      <c r="N147" s="38">
        <f t="shared" si="16"/>
        <v>209770.23000000016</v>
      </c>
      <c r="O147" s="38">
        <f t="shared" si="16"/>
        <v>243361.62</v>
      </c>
      <c r="P147" s="39">
        <f t="shared" si="16"/>
        <v>3463471.9999999991</v>
      </c>
      <c r="R147" s="33"/>
    </row>
    <row r="148" spans="2:18" x14ac:dyDescent="0.25">
      <c r="B148" s="12"/>
      <c r="C148" s="9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R148" s="33"/>
    </row>
    <row r="149" spans="2:18" x14ac:dyDescent="0.25">
      <c r="B149" s="12" t="s">
        <v>147</v>
      </c>
      <c r="C149" s="9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2:18" x14ac:dyDescent="0.25">
      <c r="B150" s="17" t="s">
        <v>148</v>
      </c>
      <c r="C150" s="13"/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-385</v>
      </c>
      <c r="M150" s="19">
        <v>-1470</v>
      </c>
      <c r="N150" s="19">
        <v>-770</v>
      </c>
      <c r="O150" s="19">
        <v>-280</v>
      </c>
      <c r="P150" s="15">
        <f>SUM(D150:O150)</f>
        <v>-2905</v>
      </c>
      <c r="R150" s="33"/>
    </row>
    <row r="151" spans="2:18" x14ac:dyDescent="0.25">
      <c r="B151" s="17" t="s">
        <v>149</v>
      </c>
      <c r="C151" s="13"/>
      <c r="D151" s="19">
        <v>0</v>
      </c>
      <c r="E151" s="18">
        <v>0</v>
      </c>
      <c r="F151" s="18">
        <v>4508.63</v>
      </c>
      <c r="G151" s="18">
        <v>0</v>
      </c>
      <c r="H151" s="18">
        <v>0</v>
      </c>
      <c r="I151" s="18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4">
        <f t="shared" ref="P151:P199" si="17">SUM(D151:O151)</f>
        <v>4508.63</v>
      </c>
      <c r="R151" s="33"/>
    </row>
    <row r="152" spans="2:18" x14ac:dyDescent="0.25">
      <c r="B152" s="17" t="s">
        <v>150</v>
      </c>
      <c r="C152" s="13"/>
      <c r="D152" s="19">
        <v>0</v>
      </c>
      <c r="E152" s="18">
        <v>0</v>
      </c>
      <c r="F152" s="18">
        <v>-1115</v>
      </c>
      <c r="G152" s="18">
        <v>0</v>
      </c>
      <c r="H152" s="18">
        <v>0</v>
      </c>
      <c r="I152" s="18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4">
        <f t="shared" si="17"/>
        <v>-1115</v>
      </c>
      <c r="R152" s="33"/>
    </row>
    <row r="153" spans="2:18" x14ac:dyDescent="0.25">
      <c r="B153" s="17" t="s">
        <v>151</v>
      </c>
      <c r="C153" s="13"/>
      <c r="D153" s="19">
        <v>14253.34</v>
      </c>
      <c r="E153" s="18">
        <v>13753.34</v>
      </c>
      <c r="F153" s="18">
        <v>13313.88</v>
      </c>
      <c r="G153" s="18">
        <v>13753.34</v>
      </c>
      <c r="H153" s="18">
        <v>14253.34</v>
      </c>
      <c r="I153" s="18">
        <v>14132.74</v>
      </c>
      <c r="J153" s="19">
        <v>14132.74</v>
      </c>
      <c r="K153" s="19">
        <v>14255.24</v>
      </c>
      <c r="L153" s="19">
        <v>14255.24</v>
      </c>
      <c r="M153" s="19">
        <v>15132.74</v>
      </c>
      <c r="N153" s="19">
        <v>15132.74</v>
      </c>
      <c r="O153" s="19">
        <v>15132.74</v>
      </c>
      <c r="P153" s="14">
        <f t="shared" si="17"/>
        <v>171501.41999999998</v>
      </c>
      <c r="R153" s="33"/>
    </row>
    <row r="154" spans="2:18" x14ac:dyDescent="0.25">
      <c r="B154" s="17" t="s">
        <v>152</v>
      </c>
      <c r="C154" s="13"/>
      <c r="D154" s="19">
        <v>18338.68</v>
      </c>
      <c r="E154" s="18">
        <v>17790.52</v>
      </c>
      <c r="F154" s="18">
        <v>18886.84</v>
      </c>
      <c r="G154" s="18">
        <v>17790.52</v>
      </c>
      <c r="H154" s="18">
        <v>18336.68</v>
      </c>
      <c r="I154" s="18">
        <v>19655.34</v>
      </c>
      <c r="J154" s="19">
        <v>19153.34</v>
      </c>
      <c r="K154" s="19">
        <v>28902.639999999999</v>
      </c>
      <c r="L154" s="19">
        <v>27905.34</v>
      </c>
      <c r="M154" s="19">
        <v>29515.19</v>
      </c>
      <c r="N154" s="19">
        <v>26405.32</v>
      </c>
      <c r="O154" s="19">
        <v>24988.68</v>
      </c>
      <c r="P154" s="14">
        <f t="shared" si="17"/>
        <v>267669.09000000003</v>
      </c>
      <c r="R154" s="33"/>
    </row>
    <row r="155" spans="2:18" x14ac:dyDescent="0.25">
      <c r="B155" s="17" t="s">
        <v>153</v>
      </c>
      <c r="C155" s="13"/>
      <c r="D155" s="19">
        <v>5577.33</v>
      </c>
      <c r="E155" s="18">
        <v>6000.49</v>
      </c>
      <c r="F155" s="18">
        <v>-2086.5500000000002</v>
      </c>
      <c r="G155" s="18">
        <v>6321.71</v>
      </c>
      <c r="H155" s="18">
        <v>6060.12</v>
      </c>
      <c r="I155" s="18">
        <v>5957.58</v>
      </c>
      <c r="J155" s="19">
        <v>8359.08</v>
      </c>
      <c r="K155" s="19">
        <v>4339.8900000000003</v>
      </c>
      <c r="L155" s="19">
        <v>4524.51</v>
      </c>
      <c r="M155" s="19">
        <v>4017.36</v>
      </c>
      <c r="N155" s="19">
        <v>6539.32</v>
      </c>
      <c r="O155" s="19">
        <v>6745.79</v>
      </c>
      <c r="P155" s="14">
        <f t="shared" si="17"/>
        <v>62356.630000000005</v>
      </c>
      <c r="R155" s="33"/>
    </row>
    <row r="156" spans="2:18" x14ac:dyDescent="0.25">
      <c r="B156" s="17" t="s">
        <v>154</v>
      </c>
      <c r="C156" s="13"/>
      <c r="D156" s="19">
        <v>2250</v>
      </c>
      <c r="E156" s="18">
        <v>0</v>
      </c>
      <c r="F156" s="18">
        <v>0</v>
      </c>
      <c r="G156" s="18">
        <v>4801.1400000000003</v>
      </c>
      <c r="H156" s="18">
        <v>1222.56</v>
      </c>
      <c r="I156" s="18">
        <v>1243.5899999999999</v>
      </c>
      <c r="J156" s="19">
        <v>2250</v>
      </c>
      <c r="K156" s="19">
        <v>0</v>
      </c>
      <c r="L156" s="19">
        <v>0</v>
      </c>
      <c r="M156" s="19">
        <v>55</v>
      </c>
      <c r="N156" s="19">
        <v>5879.85</v>
      </c>
      <c r="O156" s="19">
        <v>19.329999999999998</v>
      </c>
      <c r="P156" s="14">
        <f t="shared" si="17"/>
        <v>17721.47</v>
      </c>
      <c r="R156" s="33"/>
    </row>
    <row r="157" spans="2:18" x14ac:dyDescent="0.25">
      <c r="B157" s="17" t="s">
        <v>155</v>
      </c>
      <c r="C157" s="13"/>
      <c r="D157" s="19">
        <v>7818.18</v>
      </c>
      <c r="E157" s="18">
        <v>2213.8200000000002</v>
      </c>
      <c r="F157" s="18">
        <v>4715.92</v>
      </c>
      <c r="G157" s="18">
        <v>4671.42</v>
      </c>
      <c r="H157" s="18">
        <v>5405.53</v>
      </c>
      <c r="I157" s="18">
        <v>3831.2</v>
      </c>
      <c r="J157" s="19">
        <v>2059.5700000000002</v>
      </c>
      <c r="K157" s="19">
        <v>3876.89</v>
      </c>
      <c r="L157" s="19">
        <v>7290</v>
      </c>
      <c r="M157" s="19">
        <v>4656.93</v>
      </c>
      <c r="N157" s="19">
        <v>5876.79</v>
      </c>
      <c r="O157" s="19">
        <v>1831.65</v>
      </c>
      <c r="P157" s="14">
        <f t="shared" si="17"/>
        <v>54247.9</v>
      </c>
      <c r="R157" s="33"/>
    </row>
    <row r="158" spans="2:18" x14ac:dyDescent="0.25">
      <c r="B158" s="17" t="s">
        <v>156</v>
      </c>
      <c r="C158" s="13"/>
      <c r="D158" s="19">
        <v>0</v>
      </c>
      <c r="E158" s="18">
        <v>0</v>
      </c>
      <c r="F158" s="18">
        <v>64255.34</v>
      </c>
      <c r="G158" s="18">
        <v>0</v>
      </c>
      <c r="H158" s="18">
        <v>0</v>
      </c>
      <c r="I158" s="18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4">
        <f t="shared" si="17"/>
        <v>64255.34</v>
      </c>
      <c r="R158" s="33"/>
    </row>
    <row r="159" spans="2:18" x14ac:dyDescent="0.25">
      <c r="B159" s="17" t="s">
        <v>157</v>
      </c>
      <c r="C159" s="13"/>
      <c r="D159" s="19">
        <v>0</v>
      </c>
      <c r="E159" s="18">
        <v>0</v>
      </c>
      <c r="F159" s="18">
        <v>8687.2000000000007</v>
      </c>
      <c r="G159" s="18">
        <v>-4343.6000000000004</v>
      </c>
      <c r="H159" s="18">
        <v>19256.25</v>
      </c>
      <c r="I159" s="18">
        <v>16575</v>
      </c>
      <c r="J159" s="19">
        <v>0</v>
      </c>
      <c r="K159" s="19">
        <v>0</v>
      </c>
      <c r="L159" s="19">
        <v>0</v>
      </c>
      <c r="M159" s="19">
        <v>17257.5</v>
      </c>
      <c r="N159" s="19">
        <v>0</v>
      </c>
      <c r="O159" s="19">
        <v>9311.25</v>
      </c>
      <c r="P159" s="14">
        <f t="shared" si="17"/>
        <v>66743.600000000006</v>
      </c>
      <c r="R159" s="33"/>
    </row>
    <row r="160" spans="2:18" x14ac:dyDescent="0.25">
      <c r="B160" s="17" t="s">
        <v>158</v>
      </c>
      <c r="C160" s="13"/>
      <c r="D160" s="19">
        <v>5862.5</v>
      </c>
      <c r="E160" s="18">
        <v>4009.5</v>
      </c>
      <c r="F160" s="18">
        <v>3415.5</v>
      </c>
      <c r="G160" s="18">
        <v>7197.5</v>
      </c>
      <c r="H160" s="18">
        <v>0</v>
      </c>
      <c r="I160" s="18">
        <v>14483.5</v>
      </c>
      <c r="J160" s="19">
        <v>14662.5</v>
      </c>
      <c r="K160" s="19">
        <v>0</v>
      </c>
      <c r="L160" s="19">
        <v>5258</v>
      </c>
      <c r="M160" s="19">
        <v>11913</v>
      </c>
      <c r="N160" s="19">
        <v>11405</v>
      </c>
      <c r="O160" s="19">
        <v>17507</v>
      </c>
      <c r="P160" s="14">
        <f t="shared" si="17"/>
        <v>95714</v>
      </c>
      <c r="R160" s="33"/>
    </row>
    <row r="161" spans="2:18" x14ac:dyDescent="0.25">
      <c r="B161" s="17" t="s">
        <v>159</v>
      </c>
      <c r="C161" s="13"/>
      <c r="D161" s="19">
        <v>1360.96</v>
      </c>
      <c r="E161" s="18">
        <v>0</v>
      </c>
      <c r="F161" s="18">
        <v>3963.31</v>
      </c>
      <c r="G161" s="18">
        <v>0</v>
      </c>
      <c r="H161" s="18">
        <v>435.65</v>
      </c>
      <c r="I161" s="18">
        <v>3301.08</v>
      </c>
      <c r="J161" s="19">
        <v>0</v>
      </c>
      <c r="K161" s="19">
        <v>1943.49</v>
      </c>
      <c r="L161" s="19">
        <v>2406.46</v>
      </c>
      <c r="M161" s="19">
        <v>1837.51</v>
      </c>
      <c r="N161" s="19">
        <v>718.43</v>
      </c>
      <c r="O161" s="19">
        <v>1232.1600000000001</v>
      </c>
      <c r="P161" s="14">
        <f t="shared" si="17"/>
        <v>17199.050000000003</v>
      </c>
      <c r="R161" s="33"/>
    </row>
    <row r="162" spans="2:18" x14ac:dyDescent="0.25">
      <c r="B162" s="17" t="s">
        <v>160</v>
      </c>
      <c r="C162" s="13"/>
      <c r="D162" s="19">
        <v>194.6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1160.72</v>
      </c>
      <c r="P162" s="14">
        <f t="shared" si="17"/>
        <v>1355.32</v>
      </c>
      <c r="R162" s="33"/>
    </row>
    <row r="163" spans="2:18" x14ac:dyDescent="0.25">
      <c r="B163" s="17" t="s">
        <v>988</v>
      </c>
      <c r="C163" s="13"/>
      <c r="D163" s="19">
        <v>0</v>
      </c>
      <c r="E163" s="18">
        <v>0</v>
      </c>
      <c r="F163" s="18">
        <v>-40504.36</v>
      </c>
      <c r="G163" s="18">
        <v>0</v>
      </c>
      <c r="H163" s="18">
        <v>0</v>
      </c>
      <c r="I163" s="18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4">
        <f t="shared" si="17"/>
        <v>-40504.36</v>
      </c>
      <c r="R163" s="33"/>
    </row>
    <row r="164" spans="2:18" x14ac:dyDescent="0.25">
      <c r="B164" s="17" t="s">
        <v>161</v>
      </c>
      <c r="C164" s="13"/>
      <c r="D164" s="19">
        <v>52</v>
      </c>
      <c r="E164" s="18">
        <v>0</v>
      </c>
      <c r="F164" s="18">
        <v>0</v>
      </c>
      <c r="G164" s="18">
        <v>0</v>
      </c>
      <c r="H164" s="18">
        <v>10</v>
      </c>
      <c r="I164" s="18">
        <v>230</v>
      </c>
      <c r="J164" s="19">
        <v>1160.55</v>
      </c>
      <c r="K164" s="19">
        <v>1323.94</v>
      </c>
      <c r="L164" s="19">
        <v>548.27</v>
      </c>
      <c r="M164" s="19">
        <v>249.51</v>
      </c>
      <c r="N164" s="19">
        <v>307.49</v>
      </c>
      <c r="O164" s="19">
        <v>641.14</v>
      </c>
      <c r="P164" s="14">
        <f t="shared" si="17"/>
        <v>4522.8999999999996</v>
      </c>
      <c r="R164" s="33"/>
    </row>
    <row r="165" spans="2:18" x14ac:dyDescent="0.25">
      <c r="B165" s="17" t="s">
        <v>162</v>
      </c>
      <c r="C165" s="13"/>
      <c r="D165" s="19">
        <v>5000</v>
      </c>
      <c r="E165" s="18">
        <v>1100</v>
      </c>
      <c r="F165" s="18">
        <v>2437.4899999999998</v>
      </c>
      <c r="G165" s="18">
        <v>9654.15</v>
      </c>
      <c r="H165" s="18">
        <v>10104.15</v>
      </c>
      <c r="I165" s="18">
        <v>2604.15</v>
      </c>
      <c r="J165" s="19">
        <v>354.15</v>
      </c>
      <c r="K165" s="19">
        <v>2454.15</v>
      </c>
      <c r="L165" s="19">
        <v>204.45</v>
      </c>
      <c r="M165" s="19">
        <v>2500</v>
      </c>
      <c r="N165" s="19">
        <v>4385</v>
      </c>
      <c r="O165" s="19">
        <v>5000</v>
      </c>
      <c r="P165" s="14">
        <f t="shared" si="17"/>
        <v>45797.69</v>
      </c>
      <c r="R165" s="33"/>
    </row>
    <row r="166" spans="2:18" x14ac:dyDescent="0.25">
      <c r="B166" s="17" t="s">
        <v>163</v>
      </c>
      <c r="C166" s="13"/>
      <c r="D166" s="19">
        <v>27000</v>
      </c>
      <c r="E166" s="18">
        <v>27000</v>
      </c>
      <c r="F166" s="18">
        <v>56332.41</v>
      </c>
      <c r="G166" s="18">
        <v>27000</v>
      </c>
      <c r="H166" s="18">
        <v>27000</v>
      </c>
      <c r="I166" s="18">
        <v>27000</v>
      </c>
      <c r="J166" s="19">
        <v>27000</v>
      </c>
      <c r="K166" s="19">
        <v>27000</v>
      </c>
      <c r="L166" s="19">
        <v>27000</v>
      </c>
      <c r="M166" s="19">
        <v>27000</v>
      </c>
      <c r="N166" s="19">
        <v>27000</v>
      </c>
      <c r="O166" s="19">
        <v>27000</v>
      </c>
      <c r="P166" s="14">
        <f t="shared" si="17"/>
        <v>353332.41000000003</v>
      </c>
      <c r="R166" s="33"/>
    </row>
    <row r="167" spans="2:18" x14ac:dyDescent="0.25">
      <c r="B167" s="17" t="s">
        <v>164</v>
      </c>
      <c r="C167" s="13"/>
      <c r="D167" s="19">
        <v>0</v>
      </c>
      <c r="E167" s="18">
        <v>35</v>
      </c>
      <c r="F167" s="18">
        <v>1650</v>
      </c>
      <c r="G167" s="18">
        <v>1550</v>
      </c>
      <c r="H167" s="18">
        <v>0</v>
      </c>
      <c r="I167" s="18">
        <v>913.92</v>
      </c>
      <c r="J167" s="19">
        <v>1662.5</v>
      </c>
      <c r="K167" s="19">
        <v>2997.76</v>
      </c>
      <c r="L167" s="19">
        <v>2937.08</v>
      </c>
      <c r="M167" s="19">
        <v>2213.21</v>
      </c>
      <c r="N167" s="19">
        <v>3821.74</v>
      </c>
      <c r="O167" s="19">
        <v>475</v>
      </c>
      <c r="P167" s="14">
        <f t="shared" si="17"/>
        <v>18256.21</v>
      </c>
      <c r="R167" s="33"/>
    </row>
    <row r="168" spans="2:18" x14ac:dyDescent="0.25">
      <c r="B168" s="17" t="s">
        <v>165</v>
      </c>
      <c r="C168" s="13"/>
      <c r="D168" s="19">
        <v>519.73</v>
      </c>
      <c r="E168" s="18">
        <v>615.05999999999995</v>
      </c>
      <c r="F168" s="18">
        <v>152.38</v>
      </c>
      <c r="G168" s="18">
        <v>2627.38</v>
      </c>
      <c r="H168" s="18">
        <v>550</v>
      </c>
      <c r="I168" s="18">
        <v>751.39</v>
      </c>
      <c r="J168" s="19">
        <v>1085</v>
      </c>
      <c r="K168" s="19">
        <v>1545</v>
      </c>
      <c r="L168" s="19">
        <v>392.06</v>
      </c>
      <c r="M168" s="19">
        <v>2968</v>
      </c>
      <c r="N168" s="19">
        <v>670</v>
      </c>
      <c r="O168" s="19">
        <v>2495</v>
      </c>
      <c r="P168" s="14">
        <f t="shared" si="17"/>
        <v>14371</v>
      </c>
      <c r="R168" s="33"/>
    </row>
    <row r="169" spans="2:18" x14ac:dyDescent="0.25">
      <c r="B169" s="17" t="s">
        <v>166</v>
      </c>
      <c r="C169" s="13"/>
      <c r="D169" s="19">
        <v>5000</v>
      </c>
      <c r="E169" s="18">
        <v>647.70000000000005</v>
      </c>
      <c r="F169" s="18">
        <v>33744.14</v>
      </c>
      <c r="G169" s="18">
        <v>7259.86</v>
      </c>
      <c r="H169" s="18">
        <v>1206.99</v>
      </c>
      <c r="I169" s="18">
        <v>119</v>
      </c>
      <c r="J169" s="19">
        <v>2534.64</v>
      </c>
      <c r="K169" s="19">
        <v>4917.76</v>
      </c>
      <c r="L169" s="19">
        <v>1935.83</v>
      </c>
      <c r="M169" s="19">
        <v>1200</v>
      </c>
      <c r="N169" s="19">
        <v>2118.69</v>
      </c>
      <c r="O169" s="19">
        <v>2160</v>
      </c>
      <c r="P169" s="14">
        <f t="shared" si="17"/>
        <v>62844.61</v>
      </c>
      <c r="R169" s="33"/>
    </row>
    <row r="170" spans="2:18" x14ac:dyDescent="0.25">
      <c r="B170" s="17" t="s">
        <v>167</v>
      </c>
      <c r="C170" s="13"/>
      <c r="D170" s="19">
        <v>6468.86</v>
      </c>
      <c r="E170" s="18">
        <v>2581.5700000000002</v>
      </c>
      <c r="F170" s="18">
        <v>4118.2</v>
      </c>
      <c r="G170" s="18">
        <v>3517.56</v>
      </c>
      <c r="H170" s="18">
        <v>4139.25</v>
      </c>
      <c r="I170" s="18">
        <v>4063.35</v>
      </c>
      <c r="J170" s="19">
        <v>3564.22</v>
      </c>
      <c r="K170" s="19">
        <v>2382.3000000000002</v>
      </c>
      <c r="L170" s="19">
        <v>1657.93</v>
      </c>
      <c r="M170" s="19">
        <v>2186.54</v>
      </c>
      <c r="N170" s="19">
        <v>3645.51</v>
      </c>
      <c r="O170" s="19">
        <v>45</v>
      </c>
      <c r="P170" s="14">
        <f t="shared" si="17"/>
        <v>38370.29</v>
      </c>
      <c r="R170" s="33"/>
    </row>
    <row r="171" spans="2:18" x14ac:dyDescent="0.25">
      <c r="B171" s="17" t="s">
        <v>168</v>
      </c>
      <c r="C171" s="13"/>
      <c r="D171" s="19">
        <v>815.56</v>
      </c>
      <c r="E171" s="18">
        <v>529.99</v>
      </c>
      <c r="F171" s="18">
        <v>818.39</v>
      </c>
      <c r="G171" s="18">
        <v>1304.06</v>
      </c>
      <c r="H171" s="18">
        <v>1309.4100000000001</v>
      </c>
      <c r="I171" s="18">
        <v>1930.49</v>
      </c>
      <c r="J171" s="19">
        <v>976.58</v>
      </c>
      <c r="K171" s="19">
        <v>1955.46</v>
      </c>
      <c r="L171" s="19">
        <v>1015.19</v>
      </c>
      <c r="M171" s="19">
        <v>1067.31</v>
      </c>
      <c r="N171" s="19">
        <v>77.98</v>
      </c>
      <c r="O171" s="19">
        <v>282.36</v>
      </c>
      <c r="P171" s="14">
        <f t="shared" si="17"/>
        <v>12082.779999999999</v>
      </c>
      <c r="R171" s="33"/>
    </row>
    <row r="172" spans="2:18" x14ac:dyDescent="0.25">
      <c r="B172" s="17" t="s">
        <v>169</v>
      </c>
      <c r="C172" s="13"/>
      <c r="D172" s="19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9">
        <v>0</v>
      </c>
      <c r="K172" s="19">
        <v>0</v>
      </c>
      <c r="L172" s="19">
        <v>0</v>
      </c>
      <c r="M172" s="19">
        <v>2456.25</v>
      </c>
      <c r="N172" s="19">
        <v>0</v>
      </c>
      <c r="O172" s="19">
        <v>0</v>
      </c>
      <c r="P172" s="14">
        <f t="shared" si="17"/>
        <v>2456.25</v>
      </c>
      <c r="R172" s="33"/>
    </row>
    <row r="173" spans="2:18" x14ac:dyDescent="0.25">
      <c r="B173" s="17" t="s">
        <v>170</v>
      </c>
      <c r="C173" s="13"/>
      <c r="D173" s="19">
        <v>7946.16</v>
      </c>
      <c r="E173" s="18">
        <v>2122.35</v>
      </c>
      <c r="F173" s="18">
        <v>5637.98</v>
      </c>
      <c r="G173" s="18">
        <v>5037.29</v>
      </c>
      <c r="H173" s="18">
        <v>5391.71</v>
      </c>
      <c r="I173" s="18">
        <v>5296.65</v>
      </c>
      <c r="J173" s="19">
        <v>4277.3999999999996</v>
      </c>
      <c r="K173" s="19">
        <v>5660.51</v>
      </c>
      <c r="L173" s="19">
        <v>6830.2</v>
      </c>
      <c r="M173" s="19">
        <v>7515.68</v>
      </c>
      <c r="N173" s="19">
        <v>4056.07</v>
      </c>
      <c r="O173" s="19">
        <v>2642.8</v>
      </c>
      <c r="P173" s="14">
        <f t="shared" si="17"/>
        <v>62414.8</v>
      </c>
      <c r="R173" s="33"/>
    </row>
    <row r="174" spans="2:18" x14ac:dyDescent="0.25">
      <c r="B174" s="17" t="s">
        <v>171</v>
      </c>
      <c r="C174" s="13"/>
      <c r="D174" s="19">
        <v>27587.55</v>
      </c>
      <c r="E174" s="18">
        <v>19116.54</v>
      </c>
      <c r="F174" s="18">
        <v>27259.7</v>
      </c>
      <c r="G174" s="18">
        <v>19687.98</v>
      </c>
      <c r="H174" s="18">
        <v>25790.55</v>
      </c>
      <c r="I174" s="18">
        <v>21240.1</v>
      </c>
      <c r="J174" s="19">
        <v>33109.75</v>
      </c>
      <c r="K174" s="19">
        <v>40053.1</v>
      </c>
      <c r="L174" s="19">
        <v>-4269.22</v>
      </c>
      <c r="M174" s="19">
        <v>842.59</v>
      </c>
      <c r="N174" s="19">
        <v>1065.54</v>
      </c>
      <c r="O174" s="19">
        <v>15000</v>
      </c>
      <c r="P174" s="14">
        <f t="shared" si="17"/>
        <v>226484.18</v>
      </c>
      <c r="R174" s="33"/>
    </row>
    <row r="175" spans="2:18" x14ac:dyDescent="0.25">
      <c r="B175" s="17" t="s">
        <v>172</v>
      </c>
      <c r="C175" s="13"/>
      <c r="D175" s="19">
        <v>26071.17</v>
      </c>
      <c r="E175" s="18">
        <v>6775.42</v>
      </c>
      <c r="F175" s="18">
        <v>0</v>
      </c>
      <c r="G175" s="18">
        <v>13889.36</v>
      </c>
      <c r="H175" s="18">
        <v>0</v>
      </c>
      <c r="I175" s="18">
        <v>13890.36</v>
      </c>
      <c r="J175" s="19">
        <v>6776.42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4">
        <f t="shared" si="17"/>
        <v>67402.73</v>
      </c>
      <c r="R175" s="33"/>
    </row>
    <row r="176" spans="2:18" x14ac:dyDescent="0.25">
      <c r="B176" s="17" t="s">
        <v>173</v>
      </c>
      <c r="C176" s="13"/>
      <c r="D176" s="19">
        <v>21838.79</v>
      </c>
      <c r="E176" s="18">
        <v>22356.27</v>
      </c>
      <c r="F176" s="18">
        <v>-11640.26</v>
      </c>
      <c r="G176" s="18">
        <v>27283.17</v>
      </c>
      <c r="H176" s="18">
        <v>28385.9</v>
      </c>
      <c r="I176" s="18">
        <v>22922.68</v>
      </c>
      <c r="J176" s="19">
        <v>22553.9</v>
      </c>
      <c r="K176" s="19">
        <v>24722.84</v>
      </c>
      <c r="L176" s="19">
        <v>24540.68</v>
      </c>
      <c r="M176" s="19">
        <v>24928.959999999999</v>
      </c>
      <c r="N176" s="19">
        <v>21392.99</v>
      </c>
      <c r="O176" s="19">
        <v>24476.55</v>
      </c>
      <c r="P176" s="14">
        <f t="shared" si="17"/>
        <v>253762.46999999994</v>
      </c>
      <c r="R176" s="33"/>
    </row>
    <row r="177" spans="2:18" x14ac:dyDescent="0.25">
      <c r="B177" s="17" t="s">
        <v>174</v>
      </c>
      <c r="C177" s="13"/>
      <c r="D177" s="19">
        <v>0</v>
      </c>
      <c r="E177" s="18">
        <v>347.25</v>
      </c>
      <c r="F177" s="18">
        <v>-3668.6</v>
      </c>
      <c r="G177" s="18">
        <v>342.15</v>
      </c>
      <c r="H177" s="18">
        <v>93.25</v>
      </c>
      <c r="I177" s="18">
        <v>335.75</v>
      </c>
      <c r="J177" s="19">
        <v>27091.23</v>
      </c>
      <c r="K177" s="19">
        <v>52</v>
      </c>
      <c r="L177" s="19">
        <v>216.32</v>
      </c>
      <c r="M177" s="19">
        <v>201.86</v>
      </c>
      <c r="N177" s="19">
        <v>118.37</v>
      </c>
      <c r="O177" s="19">
        <v>0</v>
      </c>
      <c r="P177" s="14">
        <f t="shared" si="17"/>
        <v>25129.579999999998</v>
      </c>
      <c r="R177" s="33"/>
    </row>
    <row r="178" spans="2:18" x14ac:dyDescent="0.25">
      <c r="B178" s="17" t="s">
        <v>175</v>
      </c>
      <c r="C178" s="13"/>
      <c r="D178" s="19">
        <v>0</v>
      </c>
      <c r="E178" s="18">
        <v>0</v>
      </c>
      <c r="F178" s="18">
        <v>0</v>
      </c>
      <c r="G178" s="18">
        <v>0</v>
      </c>
      <c r="H178" s="18">
        <v>4211</v>
      </c>
      <c r="I178" s="18">
        <v>0</v>
      </c>
      <c r="J178" s="19">
        <v>40804.93</v>
      </c>
      <c r="K178" s="19">
        <v>1118.4100000000001</v>
      </c>
      <c r="L178" s="19">
        <v>0</v>
      </c>
      <c r="M178" s="19">
        <v>0</v>
      </c>
      <c r="N178" s="19">
        <v>0</v>
      </c>
      <c r="O178" s="19">
        <v>-40804.93</v>
      </c>
      <c r="P178" s="14">
        <f t="shared" si="17"/>
        <v>5329.4100000000035</v>
      </c>
      <c r="R178" s="33"/>
    </row>
    <row r="179" spans="2:18" x14ac:dyDescent="0.25">
      <c r="B179" s="17" t="s">
        <v>176</v>
      </c>
      <c r="C179" s="13"/>
      <c r="D179" s="19">
        <v>20458.23</v>
      </c>
      <c r="E179" s="18">
        <v>6388.97</v>
      </c>
      <c r="F179" s="18">
        <v>36668.31</v>
      </c>
      <c r="G179" s="18">
        <v>29961.02</v>
      </c>
      <c r="H179" s="18">
        <v>31751.82</v>
      </c>
      <c r="I179" s="18">
        <v>11702.14</v>
      </c>
      <c r="J179" s="19">
        <v>9040.2999999999993</v>
      </c>
      <c r="K179" s="19">
        <v>9285.33</v>
      </c>
      <c r="L179" s="19">
        <v>16704.12</v>
      </c>
      <c r="M179" s="19">
        <v>5877.62</v>
      </c>
      <c r="N179" s="19">
        <v>4871.49</v>
      </c>
      <c r="O179" s="19">
        <v>16596.09</v>
      </c>
      <c r="P179" s="14">
        <f t="shared" si="17"/>
        <v>199305.43999999994</v>
      </c>
      <c r="R179" s="33"/>
    </row>
    <row r="180" spans="2:18" x14ac:dyDescent="0.25">
      <c r="B180" s="17" t="s">
        <v>177</v>
      </c>
      <c r="C180" s="13"/>
      <c r="D180" s="19">
        <v>109.5</v>
      </c>
      <c r="E180" s="18">
        <v>876.53</v>
      </c>
      <c r="F180" s="18">
        <v>884.46</v>
      </c>
      <c r="G180" s="18">
        <v>1462.16</v>
      </c>
      <c r="H180" s="18">
        <v>1936.97</v>
      </c>
      <c r="I180" s="18">
        <v>1148.47</v>
      </c>
      <c r="J180" s="19">
        <v>795.9</v>
      </c>
      <c r="K180" s="19">
        <v>522.88</v>
      </c>
      <c r="L180" s="19">
        <v>0</v>
      </c>
      <c r="M180" s="19">
        <v>1067.6500000000001</v>
      </c>
      <c r="N180" s="19">
        <v>1455.07</v>
      </c>
      <c r="O180" s="19">
        <v>115.5</v>
      </c>
      <c r="P180" s="14">
        <f t="shared" si="17"/>
        <v>10375.09</v>
      </c>
      <c r="R180" s="33"/>
    </row>
    <row r="181" spans="2:18" x14ac:dyDescent="0.25">
      <c r="B181" s="17" t="s">
        <v>178</v>
      </c>
      <c r="C181" s="13"/>
      <c r="D181" s="19">
        <v>1000</v>
      </c>
      <c r="E181" s="18">
        <v>1028.58</v>
      </c>
      <c r="F181" s="18">
        <v>21.88</v>
      </c>
      <c r="G181" s="18">
        <v>0</v>
      </c>
      <c r="H181" s="18">
        <v>5120</v>
      </c>
      <c r="I181" s="18">
        <v>5300</v>
      </c>
      <c r="J181" s="19">
        <v>74.5</v>
      </c>
      <c r="K181" s="19">
        <v>8051.1</v>
      </c>
      <c r="L181" s="19">
        <v>10496.5</v>
      </c>
      <c r="M181" s="19">
        <v>0</v>
      </c>
      <c r="N181" s="19">
        <v>1954.5</v>
      </c>
      <c r="O181" s="19">
        <v>2126.1</v>
      </c>
      <c r="P181" s="14">
        <f t="shared" si="17"/>
        <v>35173.159999999996</v>
      </c>
      <c r="R181" s="33"/>
    </row>
    <row r="182" spans="2:18" x14ac:dyDescent="0.25">
      <c r="B182" s="17" t="s">
        <v>179</v>
      </c>
      <c r="C182" s="13"/>
      <c r="D182" s="19">
        <v>11081.29</v>
      </c>
      <c r="E182" s="18">
        <v>11081.29</v>
      </c>
      <c r="F182" s="18">
        <v>11356.29</v>
      </c>
      <c r="G182" s="18">
        <v>11256.29</v>
      </c>
      <c r="H182" s="18">
        <v>11347.73</v>
      </c>
      <c r="I182" s="18">
        <v>12642.15</v>
      </c>
      <c r="J182" s="19">
        <v>12133.85</v>
      </c>
      <c r="K182" s="19">
        <v>12133.43</v>
      </c>
      <c r="L182" s="19">
        <v>27131.89</v>
      </c>
      <c r="M182" s="19">
        <v>12132.45</v>
      </c>
      <c r="N182" s="19">
        <v>13066.71</v>
      </c>
      <c r="O182" s="19">
        <v>12979.03</v>
      </c>
      <c r="P182" s="14">
        <f t="shared" si="17"/>
        <v>158342.39999999999</v>
      </c>
      <c r="R182" s="33"/>
    </row>
    <row r="183" spans="2:18" x14ac:dyDescent="0.25">
      <c r="B183" s="17" t="s">
        <v>180</v>
      </c>
      <c r="C183" s="13"/>
      <c r="D183" s="19">
        <v>1920.93</v>
      </c>
      <c r="E183" s="18">
        <v>1626.93</v>
      </c>
      <c r="F183" s="18">
        <v>2070.5300000000002</v>
      </c>
      <c r="G183" s="18">
        <v>1300</v>
      </c>
      <c r="H183" s="18">
        <v>1851.14</v>
      </c>
      <c r="I183" s="18">
        <v>1575.72</v>
      </c>
      <c r="J183" s="19">
        <v>3100</v>
      </c>
      <c r="K183" s="19">
        <v>0</v>
      </c>
      <c r="L183" s="19">
        <v>0</v>
      </c>
      <c r="M183" s="19">
        <v>0</v>
      </c>
      <c r="N183" s="19">
        <v>486.02</v>
      </c>
      <c r="O183" s="19">
        <v>260.2</v>
      </c>
      <c r="P183" s="14">
        <f t="shared" si="17"/>
        <v>14191.470000000001</v>
      </c>
      <c r="R183" s="33"/>
    </row>
    <row r="184" spans="2:18" x14ac:dyDescent="0.25">
      <c r="B184" s="17" t="s">
        <v>181</v>
      </c>
      <c r="C184" s="13"/>
      <c r="D184" s="19">
        <v>1966.84</v>
      </c>
      <c r="E184" s="18">
        <v>0</v>
      </c>
      <c r="F184" s="18">
        <v>27.18</v>
      </c>
      <c r="G184" s="18">
        <v>663.81</v>
      </c>
      <c r="H184" s="18">
        <v>352.2</v>
      </c>
      <c r="I184" s="18">
        <v>2431.62</v>
      </c>
      <c r="J184" s="19">
        <v>25</v>
      </c>
      <c r="K184" s="19">
        <v>80.680000000000007</v>
      </c>
      <c r="L184" s="19">
        <v>0</v>
      </c>
      <c r="M184" s="19">
        <v>1985.28</v>
      </c>
      <c r="N184" s="19">
        <v>0</v>
      </c>
      <c r="O184" s="19">
        <v>337.21</v>
      </c>
      <c r="P184" s="14">
        <f t="shared" si="17"/>
        <v>7869.82</v>
      </c>
      <c r="R184" s="33"/>
    </row>
    <row r="185" spans="2:18" x14ac:dyDescent="0.25">
      <c r="B185" s="17" t="s">
        <v>182</v>
      </c>
      <c r="C185" s="13"/>
      <c r="D185" s="19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9">
        <v>39.15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4">
        <f t="shared" si="17"/>
        <v>39.15</v>
      </c>
      <c r="R185" s="33"/>
    </row>
    <row r="186" spans="2:18" x14ac:dyDescent="0.25">
      <c r="B186" s="17" t="s">
        <v>183</v>
      </c>
      <c r="C186" s="13"/>
      <c r="D186" s="19">
        <v>444.4</v>
      </c>
      <c r="E186" s="18">
        <v>394.42</v>
      </c>
      <c r="F186" s="18">
        <v>-240</v>
      </c>
      <c r="G186" s="18">
        <v>61</v>
      </c>
      <c r="H186" s="18">
        <v>600</v>
      </c>
      <c r="I186" s="18">
        <v>395.51</v>
      </c>
      <c r="J186" s="19">
        <v>11.14</v>
      </c>
      <c r="K186" s="19">
        <v>1800</v>
      </c>
      <c r="L186" s="19">
        <v>1800</v>
      </c>
      <c r="M186" s="19">
        <v>0</v>
      </c>
      <c r="N186" s="19">
        <v>1800</v>
      </c>
      <c r="O186" s="19">
        <v>1800</v>
      </c>
      <c r="P186" s="14">
        <f t="shared" si="17"/>
        <v>8866.4700000000012</v>
      </c>
      <c r="R186" s="33"/>
    </row>
    <row r="187" spans="2:18" x14ac:dyDescent="0.25">
      <c r="B187" s="17" t="s">
        <v>184</v>
      </c>
      <c r="C187" s="13"/>
      <c r="D187" s="19">
        <v>0</v>
      </c>
      <c r="E187" s="18">
        <v>0</v>
      </c>
      <c r="F187" s="18">
        <v>0</v>
      </c>
      <c r="G187" s="18">
        <v>0</v>
      </c>
      <c r="H187" s="18">
        <v>525.95000000000005</v>
      </c>
      <c r="I187" s="18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4">
        <f t="shared" si="17"/>
        <v>525.95000000000005</v>
      </c>
      <c r="R187" s="33"/>
    </row>
    <row r="188" spans="2:18" x14ac:dyDescent="0.25">
      <c r="B188" s="17" t="s">
        <v>185</v>
      </c>
      <c r="C188" s="13"/>
      <c r="D188" s="19">
        <v>27.91</v>
      </c>
      <c r="E188" s="18">
        <v>31.75</v>
      </c>
      <c r="F188" s="18">
        <v>-2806.46</v>
      </c>
      <c r="G188" s="18">
        <v>240.67</v>
      </c>
      <c r="H188" s="18">
        <v>475.07</v>
      </c>
      <c r="I188" s="18">
        <v>337.52</v>
      </c>
      <c r="J188" s="19">
        <v>207.23</v>
      </c>
      <c r="K188" s="19">
        <v>53.78</v>
      </c>
      <c r="L188" s="19">
        <v>0</v>
      </c>
      <c r="M188" s="19">
        <v>0</v>
      </c>
      <c r="N188" s="19">
        <v>0</v>
      </c>
      <c r="O188" s="19">
        <v>0</v>
      </c>
      <c r="P188" s="14">
        <f t="shared" si="17"/>
        <v>-1432.5300000000002</v>
      </c>
      <c r="R188" s="33"/>
    </row>
    <row r="189" spans="2:18" x14ac:dyDescent="0.25">
      <c r="B189" s="17" t="s">
        <v>186</v>
      </c>
      <c r="C189" s="13"/>
      <c r="D189" s="19">
        <v>124.58</v>
      </c>
      <c r="E189" s="18">
        <v>581.54</v>
      </c>
      <c r="F189" s="18">
        <v>124.58</v>
      </c>
      <c r="G189" s="18">
        <v>124.58</v>
      </c>
      <c r="H189" s="18">
        <v>124.58</v>
      </c>
      <c r="I189" s="18">
        <v>2454.58</v>
      </c>
      <c r="J189" s="19">
        <v>124.58</v>
      </c>
      <c r="K189" s="19">
        <v>160.1</v>
      </c>
      <c r="L189" s="19">
        <v>130.1</v>
      </c>
      <c r="M189" s="19">
        <v>130.1</v>
      </c>
      <c r="N189" s="19">
        <v>130.1</v>
      </c>
      <c r="O189" s="19">
        <v>130.1</v>
      </c>
      <c r="P189" s="14">
        <f t="shared" si="17"/>
        <v>4339.5200000000004</v>
      </c>
      <c r="R189" s="33"/>
    </row>
    <row r="190" spans="2:18" x14ac:dyDescent="0.25">
      <c r="B190" s="17" t="s">
        <v>187</v>
      </c>
      <c r="C190" s="13"/>
      <c r="D190" s="19">
        <v>5220.12</v>
      </c>
      <c r="E190" s="18">
        <v>4023.24</v>
      </c>
      <c r="F190" s="18">
        <v>8116.98</v>
      </c>
      <c r="G190" s="18">
        <v>5508.55</v>
      </c>
      <c r="H190" s="18">
        <v>9807.93</v>
      </c>
      <c r="I190" s="18">
        <v>5238.1400000000003</v>
      </c>
      <c r="J190" s="19">
        <v>5200.1099999999997</v>
      </c>
      <c r="K190" s="19">
        <v>8586.65</v>
      </c>
      <c r="L190" s="19">
        <v>10364.75</v>
      </c>
      <c r="M190" s="19">
        <v>5249.67</v>
      </c>
      <c r="N190" s="19">
        <v>9037.15</v>
      </c>
      <c r="O190" s="19">
        <v>4518.1099999999997</v>
      </c>
      <c r="P190" s="14">
        <f t="shared" si="17"/>
        <v>80871.399999999994</v>
      </c>
      <c r="Q190" s="224"/>
      <c r="R190" s="33"/>
    </row>
    <row r="191" spans="2:18" x14ac:dyDescent="0.25">
      <c r="B191" s="17" t="s">
        <v>990</v>
      </c>
      <c r="C191" s="13"/>
      <c r="D191" s="19">
        <v>0</v>
      </c>
      <c r="E191" s="18">
        <v>0</v>
      </c>
      <c r="F191" s="18">
        <v>-32560</v>
      </c>
      <c r="G191" s="18">
        <v>0</v>
      </c>
      <c r="H191" s="18">
        <v>0</v>
      </c>
      <c r="I191" s="18">
        <v>0</v>
      </c>
      <c r="J191" s="19">
        <v>0</v>
      </c>
      <c r="K191" s="19">
        <v>0</v>
      </c>
      <c r="L191" s="19">
        <v>0</v>
      </c>
      <c r="M191" s="19">
        <v>2335.36</v>
      </c>
      <c r="N191" s="19">
        <v>5565.24</v>
      </c>
      <c r="O191" s="19">
        <v>0</v>
      </c>
      <c r="P191" s="14">
        <f t="shared" si="17"/>
        <v>-24659.4</v>
      </c>
      <c r="Q191" s="224"/>
      <c r="R191" s="33"/>
    </row>
    <row r="192" spans="2:18" x14ac:dyDescent="0.25">
      <c r="B192" s="17" t="s">
        <v>188</v>
      </c>
      <c r="C192" s="13"/>
      <c r="D192" s="19">
        <v>12049.65</v>
      </c>
      <c r="E192" s="18">
        <v>5453.09</v>
      </c>
      <c r="F192" s="18">
        <v>9010.14</v>
      </c>
      <c r="G192" s="18">
        <v>6829.36</v>
      </c>
      <c r="H192" s="18">
        <v>7953.47</v>
      </c>
      <c r="I192" s="18">
        <v>9488.73</v>
      </c>
      <c r="J192" s="19">
        <v>6336.93</v>
      </c>
      <c r="K192" s="19">
        <v>8983.84</v>
      </c>
      <c r="L192" s="19">
        <v>6840.83</v>
      </c>
      <c r="M192" s="19">
        <v>7775.79</v>
      </c>
      <c r="N192" s="19">
        <v>6119.39</v>
      </c>
      <c r="O192" s="19">
        <v>7664.86</v>
      </c>
      <c r="P192" s="14">
        <f t="shared" si="17"/>
        <v>94506.08</v>
      </c>
      <c r="R192" s="33"/>
    </row>
    <row r="193" spans="2:18" x14ac:dyDescent="0.25">
      <c r="B193" s="17" t="s">
        <v>189</v>
      </c>
      <c r="C193" s="13"/>
      <c r="D193" s="19">
        <v>0</v>
      </c>
      <c r="E193" s="18">
        <v>0</v>
      </c>
      <c r="F193" s="18">
        <v>413.54</v>
      </c>
      <c r="G193" s="18">
        <v>0</v>
      </c>
      <c r="H193" s="18">
        <v>811.51</v>
      </c>
      <c r="I193" s="18">
        <v>0</v>
      </c>
      <c r="J193" s="19">
        <v>0</v>
      </c>
      <c r="K193" s="19">
        <v>2550</v>
      </c>
      <c r="L193" s="19">
        <v>1250</v>
      </c>
      <c r="M193" s="19">
        <v>0</v>
      </c>
      <c r="N193" s="19">
        <v>0</v>
      </c>
      <c r="O193" s="19">
        <v>-637.5</v>
      </c>
      <c r="P193" s="14">
        <f t="shared" si="17"/>
        <v>4387.55</v>
      </c>
      <c r="R193" s="33"/>
    </row>
    <row r="194" spans="2:18" x14ac:dyDescent="0.25">
      <c r="B194" s="17" t="s">
        <v>190</v>
      </c>
      <c r="C194" s="13"/>
      <c r="D194" s="19">
        <v>18442.82</v>
      </c>
      <c r="E194" s="18">
        <v>13597.41</v>
      </c>
      <c r="F194" s="18">
        <v>17513.419999999998</v>
      </c>
      <c r="G194" s="18">
        <v>15654.94</v>
      </c>
      <c r="H194" s="18">
        <v>24197.84</v>
      </c>
      <c r="I194" s="18">
        <v>27448.13</v>
      </c>
      <c r="J194" s="19">
        <v>46726.31</v>
      </c>
      <c r="K194" s="19">
        <v>22723.53</v>
      </c>
      <c r="L194" s="19">
        <v>16846.77</v>
      </c>
      <c r="M194" s="19">
        <v>31908.12</v>
      </c>
      <c r="N194" s="19">
        <v>21462.78</v>
      </c>
      <c r="O194" s="19">
        <v>19609.87</v>
      </c>
      <c r="P194" s="14">
        <f t="shared" si="17"/>
        <v>276131.94</v>
      </c>
      <c r="R194" s="33"/>
    </row>
    <row r="195" spans="2:18" x14ac:dyDescent="0.25">
      <c r="B195" s="17" t="s">
        <v>191</v>
      </c>
      <c r="C195" s="13"/>
      <c r="D195" s="19">
        <v>4891.79</v>
      </c>
      <c r="E195" s="18">
        <v>2413.71</v>
      </c>
      <c r="F195" s="18">
        <v>7411.1</v>
      </c>
      <c r="G195" s="18">
        <v>5180.88</v>
      </c>
      <c r="H195" s="18">
        <v>6306.4</v>
      </c>
      <c r="I195" s="18">
        <v>2576.2399999999998</v>
      </c>
      <c r="J195" s="19">
        <v>5498.21</v>
      </c>
      <c r="K195" s="19">
        <v>1557.93</v>
      </c>
      <c r="L195" s="19">
        <v>3047.02</v>
      </c>
      <c r="M195" s="19">
        <v>1169.57</v>
      </c>
      <c r="N195" s="19">
        <v>1394.54</v>
      </c>
      <c r="O195" s="19">
        <v>0</v>
      </c>
      <c r="P195" s="14">
        <f t="shared" si="17"/>
        <v>41447.389999999992</v>
      </c>
      <c r="R195" s="33"/>
    </row>
    <row r="196" spans="2:18" x14ac:dyDescent="0.25">
      <c r="B196" s="17" t="s">
        <v>192</v>
      </c>
      <c r="C196" s="13"/>
      <c r="D196" s="19">
        <v>2307.17</v>
      </c>
      <c r="E196" s="18">
        <v>2864.97</v>
      </c>
      <c r="F196" s="18">
        <v>3058.13</v>
      </c>
      <c r="G196" s="18">
        <v>3074.22</v>
      </c>
      <c r="H196" s="18">
        <v>2278.4499999999998</v>
      </c>
      <c r="I196" s="18">
        <v>1865.24</v>
      </c>
      <c r="J196" s="19">
        <v>1930.87</v>
      </c>
      <c r="K196" s="19">
        <v>1650.03</v>
      </c>
      <c r="L196" s="19">
        <v>751.04</v>
      </c>
      <c r="M196" s="19">
        <v>2501.8200000000002</v>
      </c>
      <c r="N196" s="19">
        <v>1367.67</v>
      </c>
      <c r="O196" s="19">
        <v>1913.6</v>
      </c>
      <c r="P196" s="14">
        <f t="shared" si="17"/>
        <v>25563.21</v>
      </c>
      <c r="R196" s="33"/>
    </row>
    <row r="197" spans="2:18" x14ac:dyDescent="0.25">
      <c r="B197" s="17" t="s">
        <v>193</v>
      </c>
      <c r="C197" s="13"/>
      <c r="D197" s="19">
        <v>12302.67</v>
      </c>
      <c r="E197" s="18">
        <v>12679.65</v>
      </c>
      <c r="F197" s="18">
        <v>12251.19</v>
      </c>
      <c r="G197" s="18">
        <v>12618.2</v>
      </c>
      <c r="H197" s="18">
        <v>12596.75</v>
      </c>
      <c r="I197" s="18">
        <v>11343.49</v>
      </c>
      <c r="J197" s="19">
        <v>11343.49</v>
      </c>
      <c r="K197" s="19">
        <v>12527.24</v>
      </c>
      <c r="L197" s="19">
        <v>12792.25</v>
      </c>
      <c r="M197" s="19">
        <v>12044.2</v>
      </c>
      <c r="N197" s="19">
        <v>12044.2</v>
      </c>
      <c r="O197" s="19">
        <v>12371.66</v>
      </c>
      <c r="P197" s="14">
        <f t="shared" si="17"/>
        <v>146914.99000000002</v>
      </c>
      <c r="R197" s="33"/>
    </row>
    <row r="198" spans="2:18" x14ac:dyDescent="0.25">
      <c r="B198" s="17" t="s">
        <v>194</v>
      </c>
      <c r="C198" s="13"/>
      <c r="D198" s="19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0.71</v>
      </c>
      <c r="P198" s="14">
        <f t="shared" si="17"/>
        <v>0.71</v>
      </c>
      <c r="R198" s="33"/>
    </row>
    <row r="199" spans="2:18" x14ac:dyDescent="0.25">
      <c r="B199" s="17" t="s">
        <v>195</v>
      </c>
      <c r="C199" s="13"/>
      <c r="D199" s="21">
        <v>289.98</v>
      </c>
      <c r="E199" s="20">
        <v>289.98</v>
      </c>
      <c r="F199" s="20">
        <v>10140.59</v>
      </c>
      <c r="G199" s="20">
        <v>289.98</v>
      </c>
      <c r="H199" s="20">
        <v>7981.83</v>
      </c>
      <c r="I199" s="20">
        <v>331.96</v>
      </c>
      <c r="J199" s="21">
        <v>289.98</v>
      </c>
      <c r="K199" s="21">
        <v>0</v>
      </c>
      <c r="L199" s="21">
        <v>7981.83</v>
      </c>
      <c r="M199" s="21">
        <v>289.98</v>
      </c>
      <c r="N199" s="21">
        <v>289.98</v>
      </c>
      <c r="O199" s="21">
        <v>7981.83</v>
      </c>
      <c r="P199" s="22">
        <f t="shared" si="17"/>
        <v>36157.919999999998</v>
      </c>
      <c r="R199" s="33"/>
    </row>
    <row r="200" spans="2:18" x14ac:dyDescent="0.25">
      <c r="B200" s="23" t="s">
        <v>196</v>
      </c>
      <c r="C200" s="24"/>
      <c r="D200" s="25">
        <f t="shared" ref="D200:P200" si="18">SUM(D150:D199)</f>
        <v>276593.28999999998</v>
      </c>
      <c r="E200" s="25">
        <f t="shared" si="18"/>
        <v>190326.88</v>
      </c>
      <c r="F200" s="25">
        <f t="shared" si="18"/>
        <v>278344.40000000008</v>
      </c>
      <c r="G200" s="25">
        <f t="shared" si="18"/>
        <v>263570.64999999991</v>
      </c>
      <c r="H200" s="25">
        <f t="shared" si="18"/>
        <v>299181.9800000001</v>
      </c>
      <c r="I200" s="25">
        <f t="shared" si="18"/>
        <v>276757.51</v>
      </c>
      <c r="J200" s="25">
        <f t="shared" si="18"/>
        <v>336446.05</v>
      </c>
      <c r="K200" s="25">
        <f t="shared" si="18"/>
        <v>260167.89999999994</v>
      </c>
      <c r="L200" s="25">
        <f t="shared" si="18"/>
        <v>240400.43999999994</v>
      </c>
      <c r="M200" s="25">
        <f t="shared" si="18"/>
        <v>242712.75</v>
      </c>
      <c r="N200" s="25">
        <f t="shared" si="18"/>
        <v>220891.67</v>
      </c>
      <c r="O200" s="26">
        <f t="shared" si="18"/>
        <v>204829.60999999996</v>
      </c>
      <c r="P200" s="25">
        <f t="shared" si="18"/>
        <v>3090223.1300000004</v>
      </c>
      <c r="R200" s="33"/>
    </row>
    <row r="201" spans="2:18" ht="15.75" thickBot="1" x14ac:dyDescent="0.3">
      <c r="B201" s="12"/>
      <c r="C201" s="9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</row>
    <row r="202" spans="2:18" ht="15.75" thickTop="1" x14ac:dyDescent="0.25">
      <c r="B202" s="37" t="s">
        <v>197</v>
      </c>
      <c r="C202" s="37"/>
      <c r="D202" s="25">
        <f t="shared" ref="D202:P202" si="19">D147-D200</f>
        <v>22459.760000000009</v>
      </c>
      <c r="E202" s="26">
        <f t="shared" si="19"/>
        <v>261399.64000000013</v>
      </c>
      <c r="F202" s="26">
        <f t="shared" si="19"/>
        <v>244243.00999999989</v>
      </c>
      <c r="G202" s="25">
        <f t="shared" si="19"/>
        <v>-14850.489999999991</v>
      </c>
      <c r="H202" s="25">
        <f t="shared" si="19"/>
        <v>13518.779999999853</v>
      </c>
      <c r="I202" s="25">
        <f t="shared" si="19"/>
        <v>-41891.349999999977</v>
      </c>
      <c r="J202" s="26">
        <f t="shared" si="19"/>
        <v>-95332.430000000051</v>
      </c>
      <c r="K202" s="26">
        <f t="shared" si="19"/>
        <v>74341.060000000085</v>
      </c>
      <c r="L202" s="26">
        <f t="shared" si="19"/>
        <v>37289.360000000102</v>
      </c>
      <c r="M202" s="26">
        <f t="shared" si="19"/>
        <v>-155339.04000000004</v>
      </c>
      <c r="N202" s="26">
        <f t="shared" si="19"/>
        <v>-11121.439999999857</v>
      </c>
      <c r="O202" s="26">
        <f t="shared" si="19"/>
        <v>38532.010000000038</v>
      </c>
      <c r="P202" s="26">
        <f t="shared" si="19"/>
        <v>373248.86999999871</v>
      </c>
    </row>
    <row r="203" spans="2:18" x14ac:dyDescent="0.25">
      <c r="B203" s="9"/>
      <c r="C203" s="9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2:18" x14ac:dyDescent="0.25">
      <c r="D204" s="41" t="str">
        <f>$D$6</f>
        <v>Oct 2021</v>
      </c>
      <c r="E204" s="41" t="str">
        <f>$E$6</f>
        <v>Nov 2021</v>
      </c>
      <c r="F204" s="41" t="str">
        <f>$F$6</f>
        <v>Dec 2021</v>
      </c>
      <c r="G204" s="41" t="str">
        <f>$G$6</f>
        <v>Jan 2022</v>
      </c>
      <c r="H204" s="41" t="str">
        <f>$H$6</f>
        <v>Feb 2022</v>
      </c>
      <c r="I204" s="41" t="str">
        <f>$I$6</f>
        <v>Mar 2022</v>
      </c>
      <c r="J204" s="41" t="str">
        <f>$J$6</f>
        <v>Apr 2022</v>
      </c>
      <c r="K204" s="41" t="str">
        <f>$K$6</f>
        <v>May 2022</v>
      </c>
      <c r="L204" s="41" t="str">
        <f>$L$6</f>
        <v>Jun 2022</v>
      </c>
      <c r="M204" s="41" t="str">
        <f>$M$6</f>
        <v>Jul 2022</v>
      </c>
      <c r="N204" s="41" t="str">
        <f>$N$6</f>
        <v>Aug 2022</v>
      </c>
      <c r="O204" s="41" t="str">
        <f>$O$6</f>
        <v>Sep 2022</v>
      </c>
      <c r="P204" s="41" t="str">
        <f>$P$6</f>
        <v>Total</v>
      </c>
    </row>
    <row r="207" spans="2:18" x14ac:dyDescent="0.25">
      <c r="P207" s="43"/>
    </row>
  </sheetData>
  <pageMargins left="0.75" right="0.75" top="1" bottom="1" header="0.5" footer="0.5"/>
  <pageSetup scale="7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F0E4-BEBD-4E9D-A421-75752B1C281B}">
  <dimension ref="B1:O157"/>
  <sheetViews>
    <sheetView workbookViewId="0">
      <pane ySplit="10" topLeftCell="A140" activePane="bottomLeft" state="frozen"/>
      <selection pane="bottomLeft" activeCell="H157" sqref="H157"/>
    </sheetView>
  </sheetViews>
  <sheetFormatPr defaultColWidth="12.42578125" defaultRowHeight="15" x14ac:dyDescent="0.25"/>
  <cols>
    <col min="1" max="1" width="2.42578125" style="144" customWidth="1"/>
    <col min="2" max="2" width="10.7109375" style="158" bestFit="1" customWidth="1"/>
    <col min="3" max="3" width="14.28515625" style="144" bestFit="1" customWidth="1"/>
    <col min="4" max="4" width="23.28515625" style="151" bestFit="1" customWidth="1"/>
    <col min="5" max="5" width="11.5703125" style="151" bestFit="1" customWidth="1"/>
    <col min="6" max="6" width="14.5703125" style="151" bestFit="1" customWidth="1"/>
    <col min="7" max="7" width="12.28515625" style="151" bestFit="1" customWidth="1"/>
    <col min="8" max="8" width="13.42578125" style="151" bestFit="1" customWidth="1"/>
    <col min="9" max="10" width="10.5703125" style="151" bestFit="1" customWidth="1"/>
    <col min="11" max="11" width="10.5703125" style="159" bestFit="1" customWidth="1"/>
    <col min="12" max="12" width="12.85546875" style="145" bestFit="1" customWidth="1"/>
    <col min="13" max="257" width="12.42578125" style="144"/>
    <col min="258" max="258" width="10.7109375" style="144" bestFit="1" customWidth="1"/>
    <col min="259" max="259" width="14.28515625" style="144" bestFit="1" customWidth="1"/>
    <col min="260" max="260" width="23.28515625" style="144" bestFit="1" customWidth="1"/>
    <col min="261" max="262" width="11.5703125" style="144" bestFit="1" customWidth="1"/>
    <col min="263" max="263" width="12.28515625" style="144" bestFit="1" customWidth="1"/>
    <col min="264" max="264" width="13.42578125" style="144" bestFit="1" customWidth="1"/>
    <col min="265" max="267" width="10.5703125" style="144" bestFit="1" customWidth="1"/>
    <col min="268" max="268" width="12.85546875" style="144" bestFit="1" customWidth="1"/>
    <col min="269" max="513" width="12.42578125" style="144"/>
    <col min="514" max="514" width="10.7109375" style="144" bestFit="1" customWidth="1"/>
    <col min="515" max="515" width="14.28515625" style="144" bestFit="1" customWidth="1"/>
    <col min="516" max="516" width="23.28515625" style="144" bestFit="1" customWidth="1"/>
    <col min="517" max="518" width="11.5703125" style="144" bestFit="1" customWidth="1"/>
    <col min="519" max="519" width="12.28515625" style="144" bestFit="1" customWidth="1"/>
    <col min="520" max="520" width="13.42578125" style="144" bestFit="1" customWidth="1"/>
    <col min="521" max="523" width="10.5703125" style="144" bestFit="1" customWidth="1"/>
    <col min="524" max="524" width="12.85546875" style="144" bestFit="1" customWidth="1"/>
    <col min="525" max="769" width="12.42578125" style="144"/>
    <col min="770" max="770" width="10.7109375" style="144" bestFit="1" customWidth="1"/>
    <col min="771" max="771" width="14.28515625" style="144" bestFit="1" customWidth="1"/>
    <col min="772" max="772" width="23.28515625" style="144" bestFit="1" customWidth="1"/>
    <col min="773" max="774" width="11.5703125" style="144" bestFit="1" customWidth="1"/>
    <col min="775" max="775" width="12.28515625" style="144" bestFit="1" customWidth="1"/>
    <col min="776" max="776" width="13.42578125" style="144" bestFit="1" customWidth="1"/>
    <col min="777" max="779" width="10.5703125" style="144" bestFit="1" customWidth="1"/>
    <col min="780" max="780" width="12.85546875" style="144" bestFit="1" customWidth="1"/>
    <col min="781" max="1025" width="12.42578125" style="144"/>
    <col min="1026" max="1026" width="10.7109375" style="144" bestFit="1" customWidth="1"/>
    <col min="1027" max="1027" width="14.28515625" style="144" bestFit="1" customWidth="1"/>
    <col min="1028" max="1028" width="23.28515625" style="144" bestFit="1" customWidth="1"/>
    <col min="1029" max="1030" width="11.5703125" style="144" bestFit="1" customWidth="1"/>
    <col min="1031" max="1031" width="12.28515625" style="144" bestFit="1" customWidth="1"/>
    <col min="1032" max="1032" width="13.42578125" style="144" bestFit="1" customWidth="1"/>
    <col min="1033" max="1035" width="10.5703125" style="144" bestFit="1" customWidth="1"/>
    <col min="1036" max="1036" width="12.85546875" style="144" bestFit="1" customWidth="1"/>
    <col min="1037" max="1281" width="12.42578125" style="144"/>
    <col min="1282" max="1282" width="10.7109375" style="144" bestFit="1" customWidth="1"/>
    <col min="1283" max="1283" width="14.28515625" style="144" bestFit="1" customWidth="1"/>
    <col min="1284" max="1284" width="23.28515625" style="144" bestFit="1" customWidth="1"/>
    <col min="1285" max="1286" width="11.5703125" style="144" bestFit="1" customWidth="1"/>
    <col min="1287" max="1287" width="12.28515625" style="144" bestFit="1" customWidth="1"/>
    <col min="1288" max="1288" width="13.42578125" style="144" bestFit="1" customWidth="1"/>
    <col min="1289" max="1291" width="10.5703125" style="144" bestFit="1" customWidth="1"/>
    <col min="1292" max="1292" width="12.85546875" style="144" bestFit="1" customWidth="1"/>
    <col min="1293" max="1537" width="12.42578125" style="144"/>
    <col min="1538" max="1538" width="10.7109375" style="144" bestFit="1" customWidth="1"/>
    <col min="1539" max="1539" width="14.28515625" style="144" bestFit="1" customWidth="1"/>
    <col min="1540" max="1540" width="23.28515625" style="144" bestFit="1" customWidth="1"/>
    <col min="1541" max="1542" width="11.5703125" style="144" bestFit="1" customWidth="1"/>
    <col min="1543" max="1543" width="12.28515625" style="144" bestFit="1" customWidth="1"/>
    <col min="1544" max="1544" width="13.42578125" style="144" bestFit="1" customWidth="1"/>
    <col min="1545" max="1547" width="10.5703125" style="144" bestFit="1" customWidth="1"/>
    <col min="1548" max="1548" width="12.85546875" style="144" bestFit="1" customWidth="1"/>
    <col min="1549" max="1793" width="12.42578125" style="144"/>
    <col min="1794" max="1794" width="10.7109375" style="144" bestFit="1" customWidth="1"/>
    <col min="1795" max="1795" width="14.28515625" style="144" bestFit="1" customWidth="1"/>
    <col min="1796" max="1796" width="23.28515625" style="144" bestFit="1" customWidth="1"/>
    <col min="1797" max="1798" width="11.5703125" style="144" bestFit="1" customWidth="1"/>
    <col min="1799" max="1799" width="12.28515625" style="144" bestFit="1" customWidth="1"/>
    <col min="1800" max="1800" width="13.42578125" style="144" bestFit="1" customWidth="1"/>
    <col min="1801" max="1803" width="10.5703125" style="144" bestFit="1" customWidth="1"/>
    <col min="1804" max="1804" width="12.85546875" style="144" bestFit="1" customWidth="1"/>
    <col min="1805" max="2049" width="12.42578125" style="144"/>
    <col min="2050" max="2050" width="10.7109375" style="144" bestFit="1" customWidth="1"/>
    <col min="2051" max="2051" width="14.28515625" style="144" bestFit="1" customWidth="1"/>
    <col min="2052" max="2052" width="23.28515625" style="144" bestFit="1" customWidth="1"/>
    <col min="2053" max="2054" width="11.5703125" style="144" bestFit="1" customWidth="1"/>
    <col min="2055" max="2055" width="12.28515625" style="144" bestFit="1" customWidth="1"/>
    <col min="2056" max="2056" width="13.42578125" style="144" bestFit="1" customWidth="1"/>
    <col min="2057" max="2059" width="10.5703125" style="144" bestFit="1" customWidth="1"/>
    <col min="2060" max="2060" width="12.85546875" style="144" bestFit="1" customWidth="1"/>
    <col min="2061" max="2305" width="12.42578125" style="144"/>
    <col min="2306" max="2306" width="10.7109375" style="144" bestFit="1" customWidth="1"/>
    <col min="2307" max="2307" width="14.28515625" style="144" bestFit="1" customWidth="1"/>
    <col min="2308" max="2308" width="23.28515625" style="144" bestFit="1" customWidth="1"/>
    <col min="2309" max="2310" width="11.5703125" style="144" bestFit="1" customWidth="1"/>
    <col min="2311" max="2311" width="12.28515625" style="144" bestFit="1" customWidth="1"/>
    <col min="2312" max="2312" width="13.42578125" style="144" bestFit="1" customWidth="1"/>
    <col min="2313" max="2315" width="10.5703125" style="144" bestFit="1" customWidth="1"/>
    <col min="2316" max="2316" width="12.85546875" style="144" bestFit="1" customWidth="1"/>
    <col min="2317" max="2561" width="12.42578125" style="144"/>
    <col min="2562" max="2562" width="10.7109375" style="144" bestFit="1" customWidth="1"/>
    <col min="2563" max="2563" width="14.28515625" style="144" bestFit="1" customWidth="1"/>
    <col min="2564" max="2564" width="23.28515625" style="144" bestFit="1" customWidth="1"/>
    <col min="2565" max="2566" width="11.5703125" style="144" bestFit="1" customWidth="1"/>
    <col min="2567" max="2567" width="12.28515625" style="144" bestFit="1" customWidth="1"/>
    <col min="2568" max="2568" width="13.42578125" style="144" bestFit="1" customWidth="1"/>
    <col min="2569" max="2571" width="10.5703125" style="144" bestFit="1" customWidth="1"/>
    <col min="2572" max="2572" width="12.85546875" style="144" bestFit="1" customWidth="1"/>
    <col min="2573" max="2817" width="12.42578125" style="144"/>
    <col min="2818" max="2818" width="10.7109375" style="144" bestFit="1" customWidth="1"/>
    <col min="2819" max="2819" width="14.28515625" style="144" bestFit="1" customWidth="1"/>
    <col min="2820" max="2820" width="23.28515625" style="144" bestFit="1" customWidth="1"/>
    <col min="2821" max="2822" width="11.5703125" style="144" bestFit="1" customWidth="1"/>
    <col min="2823" max="2823" width="12.28515625" style="144" bestFit="1" customWidth="1"/>
    <col min="2824" max="2824" width="13.42578125" style="144" bestFit="1" customWidth="1"/>
    <col min="2825" max="2827" width="10.5703125" style="144" bestFit="1" customWidth="1"/>
    <col min="2828" max="2828" width="12.85546875" style="144" bestFit="1" customWidth="1"/>
    <col min="2829" max="3073" width="12.42578125" style="144"/>
    <col min="3074" max="3074" width="10.7109375" style="144" bestFit="1" customWidth="1"/>
    <col min="3075" max="3075" width="14.28515625" style="144" bestFit="1" customWidth="1"/>
    <col min="3076" max="3076" width="23.28515625" style="144" bestFit="1" customWidth="1"/>
    <col min="3077" max="3078" width="11.5703125" style="144" bestFit="1" customWidth="1"/>
    <col min="3079" max="3079" width="12.28515625" style="144" bestFit="1" customWidth="1"/>
    <col min="3080" max="3080" width="13.42578125" style="144" bestFit="1" customWidth="1"/>
    <col min="3081" max="3083" width="10.5703125" style="144" bestFit="1" customWidth="1"/>
    <col min="3084" max="3084" width="12.85546875" style="144" bestFit="1" customWidth="1"/>
    <col min="3085" max="3329" width="12.42578125" style="144"/>
    <col min="3330" max="3330" width="10.7109375" style="144" bestFit="1" customWidth="1"/>
    <col min="3331" max="3331" width="14.28515625" style="144" bestFit="1" customWidth="1"/>
    <col min="3332" max="3332" width="23.28515625" style="144" bestFit="1" customWidth="1"/>
    <col min="3333" max="3334" width="11.5703125" style="144" bestFit="1" customWidth="1"/>
    <col min="3335" max="3335" width="12.28515625" style="144" bestFit="1" customWidth="1"/>
    <col min="3336" max="3336" width="13.42578125" style="144" bestFit="1" customWidth="1"/>
    <col min="3337" max="3339" width="10.5703125" style="144" bestFit="1" customWidth="1"/>
    <col min="3340" max="3340" width="12.85546875" style="144" bestFit="1" customWidth="1"/>
    <col min="3341" max="3585" width="12.42578125" style="144"/>
    <col min="3586" max="3586" width="10.7109375" style="144" bestFit="1" customWidth="1"/>
    <col min="3587" max="3587" width="14.28515625" style="144" bestFit="1" customWidth="1"/>
    <col min="3588" max="3588" width="23.28515625" style="144" bestFit="1" customWidth="1"/>
    <col min="3589" max="3590" width="11.5703125" style="144" bestFit="1" customWidth="1"/>
    <col min="3591" max="3591" width="12.28515625" style="144" bestFit="1" customWidth="1"/>
    <col min="3592" max="3592" width="13.42578125" style="144" bestFit="1" customWidth="1"/>
    <col min="3593" max="3595" width="10.5703125" style="144" bestFit="1" customWidth="1"/>
    <col min="3596" max="3596" width="12.85546875" style="144" bestFit="1" customWidth="1"/>
    <col min="3597" max="3841" width="12.42578125" style="144"/>
    <col min="3842" max="3842" width="10.7109375" style="144" bestFit="1" customWidth="1"/>
    <col min="3843" max="3843" width="14.28515625" style="144" bestFit="1" customWidth="1"/>
    <col min="3844" max="3844" width="23.28515625" style="144" bestFit="1" customWidth="1"/>
    <col min="3845" max="3846" width="11.5703125" style="144" bestFit="1" customWidth="1"/>
    <col min="3847" max="3847" width="12.28515625" style="144" bestFit="1" customWidth="1"/>
    <col min="3848" max="3848" width="13.42578125" style="144" bestFit="1" customWidth="1"/>
    <col min="3849" max="3851" width="10.5703125" style="144" bestFit="1" customWidth="1"/>
    <col min="3852" max="3852" width="12.85546875" style="144" bestFit="1" customWidth="1"/>
    <col min="3853" max="4097" width="12.42578125" style="144"/>
    <col min="4098" max="4098" width="10.7109375" style="144" bestFit="1" customWidth="1"/>
    <col min="4099" max="4099" width="14.28515625" style="144" bestFit="1" customWidth="1"/>
    <col min="4100" max="4100" width="23.28515625" style="144" bestFit="1" customWidth="1"/>
    <col min="4101" max="4102" width="11.5703125" style="144" bestFit="1" customWidth="1"/>
    <col min="4103" max="4103" width="12.28515625" style="144" bestFit="1" customWidth="1"/>
    <col min="4104" max="4104" width="13.42578125" style="144" bestFit="1" customWidth="1"/>
    <col min="4105" max="4107" width="10.5703125" style="144" bestFit="1" customWidth="1"/>
    <col min="4108" max="4108" width="12.85546875" style="144" bestFit="1" customWidth="1"/>
    <col min="4109" max="4353" width="12.42578125" style="144"/>
    <col min="4354" max="4354" width="10.7109375" style="144" bestFit="1" customWidth="1"/>
    <col min="4355" max="4355" width="14.28515625" style="144" bestFit="1" customWidth="1"/>
    <col min="4356" max="4356" width="23.28515625" style="144" bestFit="1" customWidth="1"/>
    <col min="4357" max="4358" width="11.5703125" style="144" bestFit="1" customWidth="1"/>
    <col min="4359" max="4359" width="12.28515625" style="144" bestFit="1" customWidth="1"/>
    <col min="4360" max="4360" width="13.42578125" style="144" bestFit="1" customWidth="1"/>
    <col min="4361" max="4363" width="10.5703125" style="144" bestFit="1" customWidth="1"/>
    <col min="4364" max="4364" width="12.85546875" style="144" bestFit="1" customWidth="1"/>
    <col min="4365" max="4609" width="12.42578125" style="144"/>
    <col min="4610" max="4610" width="10.7109375" style="144" bestFit="1" customWidth="1"/>
    <col min="4611" max="4611" width="14.28515625" style="144" bestFit="1" customWidth="1"/>
    <col min="4612" max="4612" width="23.28515625" style="144" bestFit="1" customWidth="1"/>
    <col min="4613" max="4614" width="11.5703125" style="144" bestFit="1" customWidth="1"/>
    <col min="4615" max="4615" width="12.28515625" style="144" bestFit="1" customWidth="1"/>
    <col min="4616" max="4616" width="13.42578125" style="144" bestFit="1" customWidth="1"/>
    <col min="4617" max="4619" width="10.5703125" style="144" bestFit="1" customWidth="1"/>
    <col min="4620" max="4620" width="12.85546875" style="144" bestFit="1" customWidth="1"/>
    <col min="4621" max="4865" width="12.42578125" style="144"/>
    <col min="4866" max="4866" width="10.7109375" style="144" bestFit="1" customWidth="1"/>
    <col min="4867" max="4867" width="14.28515625" style="144" bestFit="1" customWidth="1"/>
    <col min="4868" max="4868" width="23.28515625" style="144" bestFit="1" customWidth="1"/>
    <col min="4869" max="4870" width="11.5703125" style="144" bestFit="1" customWidth="1"/>
    <col min="4871" max="4871" width="12.28515625" style="144" bestFit="1" customWidth="1"/>
    <col min="4872" max="4872" width="13.42578125" style="144" bestFit="1" customWidth="1"/>
    <col min="4873" max="4875" width="10.5703125" style="144" bestFit="1" customWidth="1"/>
    <col min="4876" max="4876" width="12.85546875" style="144" bestFit="1" customWidth="1"/>
    <col min="4877" max="5121" width="12.42578125" style="144"/>
    <col min="5122" max="5122" width="10.7109375" style="144" bestFit="1" customWidth="1"/>
    <col min="5123" max="5123" width="14.28515625" style="144" bestFit="1" customWidth="1"/>
    <col min="5124" max="5124" width="23.28515625" style="144" bestFit="1" customWidth="1"/>
    <col min="5125" max="5126" width="11.5703125" style="144" bestFit="1" customWidth="1"/>
    <col min="5127" max="5127" width="12.28515625" style="144" bestFit="1" customWidth="1"/>
    <col min="5128" max="5128" width="13.42578125" style="144" bestFit="1" customWidth="1"/>
    <col min="5129" max="5131" width="10.5703125" style="144" bestFit="1" customWidth="1"/>
    <col min="5132" max="5132" width="12.85546875" style="144" bestFit="1" customWidth="1"/>
    <col min="5133" max="5377" width="12.42578125" style="144"/>
    <col min="5378" max="5378" width="10.7109375" style="144" bestFit="1" customWidth="1"/>
    <col min="5379" max="5379" width="14.28515625" style="144" bestFit="1" customWidth="1"/>
    <col min="5380" max="5380" width="23.28515625" style="144" bestFit="1" customWidth="1"/>
    <col min="5381" max="5382" width="11.5703125" style="144" bestFit="1" customWidth="1"/>
    <col min="5383" max="5383" width="12.28515625" style="144" bestFit="1" customWidth="1"/>
    <col min="5384" max="5384" width="13.42578125" style="144" bestFit="1" customWidth="1"/>
    <col min="5385" max="5387" width="10.5703125" style="144" bestFit="1" customWidth="1"/>
    <col min="5388" max="5388" width="12.85546875" style="144" bestFit="1" customWidth="1"/>
    <col min="5389" max="5633" width="12.42578125" style="144"/>
    <col min="5634" max="5634" width="10.7109375" style="144" bestFit="1" customWidth="1"/>
    <col min="5635" max="5635" width="14.28515625" style="144" bestFit="1" customWidth="1"/>
    <col min="5636" max="5636" width="23.28515625" style="144" bestFit="1" customWidth="1"/>
    <col min="5637" max="5638" width="11.5703125" style="144" bestFit="1" customWidth="1"/>
    <col min="5639" max="5639" width="12.28515625" style="144" bestFit="1" customWidth="1"/>
    <col min="5640" max="5640" width="13.42578125" style="144" bestFit="1" customWidth="1"/>
    <col min="5641" max="5643" width="10.5703125" style="144" bestFit="1" customWidth="1"/>
    <col min="5644" max="5644" width="12.85546875" style="144" bestFit="1" customWidth="1"/>
    <col min="5645" max="5889" width="12.42578125" style="144"/>
    <col min="5890" max="5890" width="10.7109375" style="144" bestFit="1" customWidth="1"/>
    <col min="5891" max="5891" width="14.28515625" style="144" bestFit="1" customWidth="1"/>
    <col min="5892" max="5892" width="23.28515625" style="144" bestFit="1" customWidth="1"/>
    <col min="5893" max="5894" width="11.5703125" style="144" bestFit="1" customWidth="1"/>
    <col min="5895" max="5895" width="12.28515625" style="144" bestFit="1" customWidth="1"/>
    <col min="5896" max="5896" width="13.42578125" style="144" bestFit="1" customWidth="1"/>
    <col min="5897" max="5899" width="10.5703125" style="144" bestFit="1" customWidth="1"/>
    <col min="5900" max="5900" width="12.85546875" style="144" bestFit="1" customWidth="1"/>
    <col min="5901" max="6145" width="12.42578125" style="144"/>
    <col min="6146" max="6146" width="10.7109375" style="144" bestFit="1" customWidth="1"/>
    <col min="6147" max="6147" width="14.28515625" style="144" bestFit="1" customWidth="1"/>
    <col min="6148" max="6148" width="23.28515625" style="144" bestFit="1" customWidth="1"/>
    <col min="6149" max="6150" width="11.5703125" style="144" bestFit="1" customWidth="1"/>
    <col min="6151" max="6151" width="12.28515625" style="144" bestFit="1" customWidth="1"/>
    <col min="6152" max="6152" width="13.42578125" style="144" bestFit="1" customWidth="1"/>
    <col min="6153" max="6155" width="10.5703125" style="144" bestFit="1" customWidth="1"/>
    <col min="6156" max="6156" width="12.85546875" style="144" bestFit="1" customWidth="1"/>
    <col min="6157" max="6401" width="12.42578125" style="144"/>
    <col min="6402" max="6402" width="10.7109375" style="144" bestFit="1" customWidth="1"/>
    <col min="6403" max="6403" width="14.28515625" style="144" bestFit="1" customWidth="1"/>
    <col min="6404" max="6404" width="23.28515625" style="144" bestFit="1" customWidth="1"/>
    <col min="6405" max="6406" width="11.5703125" style="144" bestFit="1" customWidth="1"/>
    <col min="6407" max="6407" width="12.28515625" style="144" bestFit="1" customWidth="1"/>
    <col min="6408" max="6408" width="13.42578125" style="144" bestFit="1" customWidth="1"/>
    <col min="6409" max="6411" width="10.5703125" style="144" bestFit="1" customWidth="1"/>
    <col min="6412" max="6412" width="12.85546875" style="144" bestFit="1" customWidth="1"/>
    <col min="6413" max="6657" width="12.42578125" style="144"/>
    <col min="6658" max="6658" width="10.7109375" style="144" bestFit="1" customWidth="1"/>
    <col min="6659" max="6659" width="14.28515625" style="144" bestFit="1" customWidth="1"/>
    <col min="6660" max="6660" width="23.28515625" style="144" bestFit="1" customWidth="1"/>
    <col min="6661" max="6662" width="11.5703125" style="144" bestFit="1" customWidth="1"/>
    <col min="6663" max="6663" width="12.28515625" style="144" bestFit="1" customWidth="1"/>
    <col min="6664" max="6664" width="13.42578125" style="144" bestFit="1" customWidth="1"/>
    <col min="6665" max="6667" width="10.5703125" style="144" bestFit="1" customWidth="1"/>
    <col min="6668" max="6668" width="12.85546875" style="144" bestFit="1" customWidth="1"/>
    <col min="6669" max="6913" width="12.42578125" style="144"/>
    <col min="6914" max="6914" width="10.7109375" style="144" bestFit="1" customWidth="1"/>
    <col min="6915" max="6915" width="14.28515625" style="144" bestFit="1" customWidth="1"/>
    <col min="6916" max="6916" width="23.28515625" style="144" bestFit="1" customWidth="1"/>
    <col min="6917" max="6918" width="11.5703125" style="144" bestFit="1" customWidth="1"/>
    <col min="6919" max="6919" width="12.28515625" style="144" bestFit="1" customWidth="1"/>
    <col min="6920" max="6920" width="13.42578125" style="144" bestFit="1" customWidth="1"/>
    <col min="6921" max="6923" width="10.5703125" style="144" bestFit="1" customWidth="1"/>
    <col min="6924" max="6924" width="12.85546875" style="144" bestFit="1" customWidth="1"/>
    <col min="6925" max="7169" width="12.42578125" style="144"/>
    <col min="7170" max="7170" width="10.7109375" style="144" bestFit="1" customWidth="1"/>
    <col min="7171" max="7171" width="14.28515625" style="144" bestFit="1" customWidth="1"/>
    <col min="7172" max="7172" width="23.28515625" style="144" bestFit="1" customWidth="1"/>
    <col min="7173" max="7174" width="11.5703125" style="144" bestFit="1" customWidth="1"/>
    <col min="7175" max="7175" width="12.28515625" style="144" bestFit="1" customWidth="1"/>
    <col min="7176" max="7176" width="13.42578125" style="144" bestFit="1" customWidth="1"/>
    <col min="7177" max="7179" width="10.5703125" style="144" bestFit="1" customWidth="1"/>
    <col min="7180" max="7180" width="12.85546875" style="144" bestFit="1" customWidth="1"/>
    <col min="7181" max="7425" width="12.42578125" style="144"/>
    <col min="7426" max="7426" width="10.7109375" style="144" bestFit="1" customWidth="1"/>
    <col min="7427" max="7427" width="14.28515625" style="144" bestFit="1" customWidth="1"/>
    <col min="7428" max="7428" width="23.28515625" style="144" bestFit="1" customWidth="1"/>
    <col min="7429" max="7430" width="11.5703125" style="144" bestFit="1" customWidth="1"/>
    <col min="7431" max="7431" width="12.28515625" style="144" bestFit="1" customWidth="1"/>
    <col min="7432" max="7432" width="13.42578125" style="144" bestFit="1" customWidth="1"/>
    <col min="7433" max="7435" width="10.5703125" style="144" bestFit="1" customWidth="1"/>
    <col min="7436" max="7436" width="12.85546875" style="144" bestFit="1" customWidth="1"/>
    <col min="7437" max="7681" width="12.42578125" style="144"/>
    <col min="7682" max="7682" width="10.7109375" style="144" bestFit="1" customWidth="1"/>
    <col min="7683" max="7683" width="14.28515625" style="144" bestFit="1" customWidth="1"/>
    <col min="7684" max="7684" width="23.28515625" style="144" bestFit="1" customWidth="1"/>
    <col min="7685" max="7686" width="11.5703125" style="144" bestFit="1" customWidth="1"/>
    <col min="7687" max="7687" width="12.28515625" style="144" bestFit="1" customWidth="1"/>
    <col min="7688" max="7688" width="13.42578125" style="144" bestFit="1" customWidth="1"/>
    <col min="7689" max="7691" width="10.5703125" style="144" bestFit="1" customWidth="1"/>
    <col min="7692" max="7692" width="12.85546875" style="144" bestFit="1" customWidth="1"/>
    <col min="7693" max="7937" width="12.42578125" style="144"/>
    <col min="7938" max="7938" width="10.7109375" style="144" bestFit="1" customWidth="1"/>
    <col min="7939" max="7939" width="14.28515625" style="144" bestFit="1" customWidth="1"/>
    <col min="7940" max="7940" width="23.28515625" style="144" bestFit="1" customWidth="1"/>
    <col min="7941" max="7942" width="11.5703125" style="144" bestFit="1" customWidth="1"/>
    <col min="7943" max="7943" width="12.28515625" style="144" bestFit="1" customWidth="1"/>
    <col min="7944" max="7944" width="13.42578125" style="144" bestFit="1" customWidth="1"/>
    <col min="7945" max="7947" width="10.5703125" style="144" bestFit="1" customWidth="1"/>
    <col min="7948" max="7948" width="12.85546875" style="144" bestFit="1" customWidth="1"/>
    <col min="7949" max="8193" width="12.42578125" style="144"/>
    <col min="8194" max="8194" width="10.7109375" style="144" bestFit="1" customWidth="1"/>
    <col min="8195" max="8195" width="14.28515625" style="144" bestFit="1" customWidth="1"/>
    <col min="8196" max="8196" width="23.28515625" style="144" bestFit="1" customWidth="1"/>
    <col min="8197" max="8198" width="11.5703125" style="144" bestFit="1" customWidth="1"/>
    <col min="8199" max="8199" width="12.28515625" style="144" bestFit="1" customWidth="1"/>
    <col min="8200" max="8200" width="13.42578125" style="144" bestFit="1" customWidth="1"/>
    <col min="8201" max="8203" width="10.5703125" style="144" bestFit="1" customWidth="1"/>
    <col min="8204" max="8204" width="12.85546875" style="144" bestFit="1" customWidth="1"/>
    <col min="8205" max="8449" width="12.42578125" style="144"/>
    <col min="8450" max="8450" width="10.7109375" style="144" bestFit="1" customWidth="1"/>
    <col min="8451" max="8451" width="14.28515625" style="144" bestFit="1" customWidth="1"/>
    <col min="8452" max="8452" width="23.28515625" style="144" bestFit="1" customWidth="1"/>
    <col min="8453" max="8454" width="11.5703125" style="144" bestFit="1" customWidth="1"/>
    <col min="8455" max="8455" width="12.28515625" style="144" bestFit="1" customWidth="1"/>
    <col min="8456" max="8456" width="13.42578125" style="144" bestFit="1" customWidth="1"/>
    <col min="8457" max="8459" width="10.5703125" style="144" bestFit="1" customWidth="1"/>
    <col min="8460" max="8460" width="12.85546875" style="144" bestFit="1" customWidth="1"/>
    <col min="8461" max="8705" width="12.42578125" style="144"/>
    <col min="8706" max="8706" width="10.7109375" style="144" bestFit="1" customWidth="1"/>
    <col min="8707" max="8707" width="14.28515625" style="144" bestFit="1" customWidth="1"/>
    <col min="8708" max="8708" width="23.28515625" style="144" bestFit="1" customWidth="1"/>
    <col min="8709" max="8710" width="11.5703125" style="144" bestFit="1" customWidth="1"/>
    <col min="8711" max="8711" width="12.28515625" style="144" bestFit="1" customWidth="1"/>
    <col min="8712" max="8712" width="13.42578125" style="144" bestFit="1" customWidth="1"/>
    <col min="8713" max="8715" width="10.5703125" style="144" bestFit="1" customWidth="1"/>
    <col min="8716" max="8716" width="12.85546875" style="144" bestFit="1" customWidth="1"/>
    <col min="8717" max="8961" width="12.42578125" style="144"/>
    <col min="8962" max="8962" width="10.7109375" style="144" bestFit="1" customWidth="1"/>
    <col min="8963" max="8963" width="14.28515625" style="144" bestFit="1" customWidth="1"/>
    <col min="8964" max="8964" width="23.28515625" style="144" bestFit="1" customWidth="1"/>
    <col min="8965" max="8966" width="11.5703125" style="144" bestFit="1" customWidth="1"/>
    <col min="8967" max="8967" width="12.28515625" style="144" bestFit="1" customWidth="1"/>
    <col min="8968" max="8968" width="13.42578125" style="144" bestFit="1" customWidth="1"/>
    <col min="8969" max="8971" width="10.5703125" style="144" bestFit="1" customWidth="1"/>
    <col min="8972" max="8972" width="12.85546875" style="144" bestFit="1" customWidth="1"/>
    <col min="8973" max="9217" width="12.42578125" style="144"/>
    <col min="9218" max="9218" width="10.7109375" style="144" bestFit="1" customWidth="1"/>
    <col min="9219" max="9219" width="14.28515625" style="144" bestFit="1" customWidth="1"/>
    <col min="9220" max="9220" width="23.28515625" style="144" bestFit="1" customWidth="1"/>
    <col min="9221" max="9222" width="11.5703125" style="144" bestFit="1" customWidth="1"/>
    <col min="9223" max="9223" width="12.28515625" style="144" bestFit="1" customWidth="1"/>
    <col min="9224" max="9224" width="13.42578125" style="144" bestFit="1" customWidth="1"/>
    <col min="9225" max="9227" width="10.5703125" style="144" bestFit="1" customWidth="1"/>
    <col min="9228" max="9228" width="12.85546875" style="144" bestFit="1" customWidth="1"/>
    <col min="9229" max="9473" width="12.42578125" style="144"/>
    <col min="9474" max="9474" width="10.7109375" style="144" bestFit="1" customWidth="1"/>
    <col min="9475" max="9475" width="14.28515625" style="144" bestFit="1" customWidth="1"/>
    <col min="9476" max="9476" width="23.28515625" style="144" bestFit="1" customWidth="1"/>
    <col min="9477" max="9478" width="11.5703125" style="144" bestFit="1" customWidth="1"/>
    <col min="9479" max="9479" width="12.28515625" style="144" bestFit="1" customWidth="1"/>
    <col min="9480" max="9480" width="13.42578125" style="144" bestFit="1" customWidth="1"/>
    <col min="9481" max="9483" width="10.5703125" style="144" bestFit="1" customWidth="1"/>
    <col min="9484" max="9484" width="12.85546875" style="144" bestFit="1" customWidth="1"/>
    <col min="9485" max="9729" width="12.42578125" style="144"/>
    <col min="9730" max="9730" width="10.7109375" style="144" bestFit="1" customWidth="1"/>
    <col min="9731" max="9731" width="14.28515625" style="144" bestFit="1" customWidth="1"/>
    <col min="9732" max="9732" width="23.28515625" style="144" bestFit="1" customWidth="1"/>
    <col min="9733" max="9734" width="11.5703125" style="144" bestFit="1" customWidth="1"/>
    <col min="9735" max="9735" width="12.28515625" style="144" bestFit="1" customWidth="1"/>
    <col min="9736" max="9736" width="13.42578125" style="144" bestFit="1" customWidth="1"/>
    <col min="9737" max="9739" width="10.5703125" style="144" bestFit="1" customWidth="1"/>
    <col min="9740" max="9740" width="12.85546875" style="144" bestFit="1" customWidth="1"/>
    <col min="9741" max="9985" width="12.42578125" style="144"/>
    <col min="9986" max="9986" width="10.7109375" style="144" bestFit="1" customWidth="1"/>
    <col min="9987" max="9987" width="14.28515625" style="144" bestFit="1" customWidth="1"/>
    <col min="9988" max="9988" width="23.28515625" style="144" bestFit="1" customWidth="1"/>
    <col min="9989" max="9990" width="11.5703125" style="144" bestFit="1" customWidth="1"/>
    <col min="9991" max="9991" width="12.28515625" style="144" bestFit="1" customWidth="1"/>
    <col min="9992" max="9992" width="13.42578125" style="144" bestFit="1" customWidth="1"/>
    <col min="9993" max="9995" width="10.5703125" style="144" bestFit="1" customWidth="1"/>
    <col min="9996" max="9996" width="12.85546875" style="144" bestFit="1" customWidth="1"/>
    <col min="9997" max="10241" width="12.42578125" style="144"/>
    <col min="10242" max="10242" width="10.7109375" style="144" bestFit="1" customWidth="1"/>
    <col min="10243" max="10243" width="14.28515625" style="144" bestFit="1" customWidth="1"/>
    <col min="10244" max="10244" width="23.28515625" style="144" bestFit="1" customWidth="1"/>
    <col min="10245" max="10246" width="11.5703125" style="144" bestFit="1" customWidth="1"/>
    <col min="10247" max="10247" width="12.28515625" style="144" bestFit="1" customWidth="1"/>
    <col min="10248" max="10248" width="13.42578125" style="144" bestFit="1" customWidth="1"/>
    <col min="10249" max="10251" width="10.5703125" style="144" bestFit="1" customWidth="1"/>
    <col min="10252" max="10252" width="12.85546875" style="144" bestFit="1" customWidth="1"/>
    <col min="10253" max="10497" width="12.42578125" style="144"/>
    <col min="10498" max="10498" width="10.7109375" style="144" bestFit="1" customWidth="1"/>
    <col min="10499" max="10499" width="14.28515625" style="144" bestFit="1" customWidth="1"/>
    <col min="10500" max="10500" width="23.28515625" style="144" bestFit="1" customWidth="1"/>
    <col min="10501" max="10502" width="11.5703125" style="144" bestFit="1" customWidth="1"/>
    <col min="10503" max="10503" width="12.28515625" style="144" bestFit="1" customWidth="1"/>
    <col min="10504" max="10504" width="13.42578125" style="144" bestFit="1" customWidth="1"/>
    <col min="10505" max="10507" width="10.5703125" style="144" bestFit="1" customWidth="1"/>
    <col min="10508" max="10508" width="12.85546875" style="144" bestFit="1" customWidth="1"/>
    <col min="10509" max="10753" width="12.42578125" style="144"/>
    <col min="10754" max="10754" width="10.7109375" style="144" bestFit="1" customWidth="1"/>
    <col min="10755" max="10755" width="14.28515625" style="144" bestFit="1" customWidth="1"/>
    <col min="10756" max="10756" width="23.28515625" style="144" bestFit="1" customWidth="1"/>
    <col min="10757" max="10758" width="11.5703125" style="144" bestFit="1" customWidth="1"/>
    <col min="10759" max="10759" width="12.28515625" style="144" bestFit="1" customWidth="1"/>
    <col min="10760" max="10760" width="13.42578125" style="144" bestFit="1" customWidth="1"/>
    <col min="10761" max="10763" width="10.5703125" style="144" bestFit="1" customWidth="1"/>
    <col min="10764" max="10764" width="12.85546875" style="144" bestFit="1" customWidth="1"/>
    <col min="10765" max="11009" width="12.42578125" style="144"/>
    <col min="11010" max="11010" width="10.7109375" style="144" bestFit="1" customWidth="1"/>
    <col min="11011" max="11011" width="14.28515625" style="144" bestFit="1" customWidth="1"/>
    <col min="11012" max="11012" width="23.28515625" style="144" bestFit="1" customWidth="1"/>
    <col min="11013" max="11014" width="11.5703125" style="144" bestFit="1" customWidth="1"/>
    <col min="11015" max="11015" width="12.28515625" style="144" bestFit="1" customWidth="1"/>
    <col min="11016" max="11016" width="13.42578125" style="144" bestFit="1" customWidth="1"/>
    <col min="11017" max="11019" width="10.5703125" style="144" bestFit="1" customWidth="1"/>
    <col min="11020" max="11020" width="12.85546875" style="144" bestFit="1" customWidth="1"/>
    <col min="11021" max="11265" width="12.42578125" style="144"/>
    <col min="11266" max="11266" width="10.7109375" style="144" bestFit="1" customWidth="1"/>
    <col min="11267" max="11267" width="14.28515625" style="144" bestFit="1" customWidth="1"/>
    <col min="11268" max="11268" width="23.28515625" style="144" bestFit="1" customWidth="1"/>
    <col min="11269" max="11270" width="11.5703125" style="144" bestFit="1" customWidth="1"/>
    <col min="11271" max="11271" width="12.28515625" style="144" bestFit="1" customWidth="1"/>
    <col min="11272" max="11272" width="13.42578125" style="144" bestFit="1" customWidth="1"/>
    <col min="11273" max="11275" width="10.5703125" style="144" bestFit="1" customWidth="1"/>
    <col min="11276" max="11276" width="12.85546875" style="144" bestFit="1" customWidth="1"/>
    <col min="11277" max="11521" width="12.42578125" style="144"/>
    <col min="11522" max="11522" width="10.7109375" style="144" bestFit="1" customWidth="1"/>
    <col min="11523" max="11523" width="14.28515625" style="144" bestFit="1" customWidth="1"/>
    <col min="11524" max="11524" width="23.28515625" style="144" bestFit="1" customWidth="1"/>
    <col min="11525" max="11526" width="11.5703125" style="144" bestFit="1" customWidth="1"/>
    <col min="11527" max="11527" width="12.28515625" style="144" bestFit="1" customWidth="1"/>
    <col min="11528" max="11528" width="13.42578125" style="144" bestFit="1" customWidth="1"/>
    <col min="11529" max="11531" width="10.5703125" style="144" bestFit="1" customWidth="1"/>
    <col min="11532" max="11532" width="12.85546875" style="144" bestFit="1" customWidth="1"/>
    <col min="11533" max="11777" width="12.42578125" style="144"/>
    <col min="11778" max="11778" width="10.7109375" style="144" bestFit="1" customWidth="1"/>
    <col min="11779" max="11779" width="14.28515625" style="144" bestFit="1" customWidth="1"/>
    <col min="11780" max="11780" width="23.28515625" style="144" bestFit="1" customWidth="1"/>
    <col min="11781" max="11782" width="11.5703125" style="144" bestFit="1" customWidth="1"/>
    <col min="11783" max="11783" width="12.28515625" style="144" bestFit="1" customWidth="1"/>
    <col min="11784" max="11784" width="13.42578125" style="144" bestFit="1" customWidth="1"/>
    <col min="11785" max="11787" width="10.5703125" style="144" bestFit="1" customWidth="1"/>
    <col min="11788" max="11788" width="12.85546875" style="144" bestFit="1" customWidth="1"/>
    <col min="11789" max="12033" width="12.42578125" style="144"/>
    <col min="12034" max="12034" width="10.7109375" style="144" bestFit="1" customWidth="1"/>
    <col min="12035" max="12035" width="14.28515625" style="144" bestFit="1" customWidth="1"/>
    <col min="12036" max="12036" width="23.28515625" style="144" bestFit="1" customWidth="1"/>
    <col min="12037" max="12038" width="11.5703125" style="144" bestFit="1" customWidth="1"/>
    <col min="12039" max="12039" width="12.28515625" style="144" bestFit="1" customWidth="1"/>
    <col min="12040" max="12040" width="13.42578125" style="144" bestFit="1" customWidth="1"/>
    <col min="12041" max="12043" width="10.5703125" style="144" bestFit="1" customWidth="1"/>
    <col min="12044" max="12044" width="12.85546875" style="144" bestFit="1" customWidth="1"/>
    <col min="12045" max="12289" width="12.42578125" style="144"/>
    <col min="12290" max="12290" width="10.7109375" style="144" bestFit="1" customWidth="1"/>
    <col min="12291" max="12291" width="14.28515625" style="144" bestFit="1" customWidth="1"/>
    <col min="12292" max="12292" width="23.28515625" style="144" bestFit="1" customWidth="1"/>
    <col min="12293" max="12294" width="11.5703125" style="144" bestFit="1" customWidth="1"/>
    <col min="12295" max="12295" width="12.28515625" style="144" bestFit="1" customWidth="1"/>
    <col min="12296" max="12296" width="13.42578125" style="144" bestFit="1" customWidth="1"/>
    <col min="12297" max="12299" width="10.5703125" style="144" bestFit="1" customWidth="1"/>
    <col min="12300" max="12300" width="12.85546875" style="144" bestFit="1" customWidth="1"/>
    <col min="12301" max="12545" width="12.42578125" style="144"/>
    <col min="12546" max="12546" width="10.7109375" style="144" bestFit="1" customWidth="1"/>
    <col min="12547" max="12547" width="14.28515625" style="144" bestFit="1" customWidth="1"/>
    <col min="12548" max="12548" width="23.28515625" style="144" bestFit="1" customWidth="1"/>
    <col min="12549" max="12550" width="11.5703125" style="144" bestFit="1" customWidth="1"/>
    <col min="12551" max="12551" width="12.28515625" style="144" bestFit="1" customWidth="1"/>
    <col min="12552" max="12552" width="13.42578125" style="144" bestFit="1" customWidth="1"/>
    <col min="12553" max="12555" width="10.5703125" style="144" bestFit="1" customWidth="1"/>
    <col min="12556" max="12556" width="12.85546875" style="144" bestFit="1" customWidth="1"/>
    <col min="12557" max="12801" width="12.42578125" style="144"/>
    <col min="12802" max="12802" width="10.7109375" style="144" bestFit="1" customWidth="1"/>
    <col min="12803" max="12803" width="14.28515625" style="144" bestFit="1" customWidth="1"/>
    <col min="12804" max="12804" width="23.28515625" style="144" bestFit="1" customWidth="1"/>
    <col min="12805" max="12806" width="11.5703125" style="144" bestFit="1" customWidth="1"/>
    <col min="12807" max="12807" width="12.28515625" style="144" bestFit="1" customWidth="1"/>
    <col min="12808" max="12808" width="13.42578125" style="144" bestFit="1" customWidth="1"/>
    <col min="12809" max="12811" width="10.5703125" style="144" bestFit="1" customWidth="1"/>
    <col min="12812" max="12812" width="12.85546875" style="144" bestFit="1" customWidth="1"/>
    <col min="12813" max="13057" width="12.42578125" style="144"/>
    <col min="13058" max="13058" width="10.7109375" style="144" bestFit="1" customWidth="1"/>
    <col min="13059" max="13059" width="14.28515625" style="144" bestFit="1" customWidth="1"/>
    <col min="13060" max="13060" width="23.28515625" style="144" bestFit="1" customWidth="1"/>
    <col min="13061" max="13062" width="11.5703125" style="144" bestFit="1" customWidth="1"/>
    <col min="13063" max="13063" width="12.28515625" style="144" bestFit="1" customWidth="1"/>
    <col min="13064" max="13064" width="13.42578125" style="144" bestFit="1" customWidth="1"/>
    <col min="13065" max="13067" width="10.5703125" style="144" bestFit="1" customWidth="1"/>
    <col min="13068" max="13068" width="12.85546875" style="144" bestFit="1" customWidth="1"/>
    <col min="13069" max="13313" width="12.42578125" style="144"/>
    <col min="13314" max="13314" width="10.7109375" style="144" bestFit="1" customWidth="1"/>
    <col min="13315" max="13315" width="14.28515625" style="144" bestFit="1" customWidth="1"/>
    <col min="13316" max="13316" width="23.28515625" style="144" bestFit="1" customWidth="1"/>
    <col min="13317" max="13318" width="11.5703125" style="144" bestFit="1" customWidth="1"/>
    <col min="13319" max="13319" width="12.28515625" style="144" bestFit="1" customWidth="1"/>
    <col min="13320" max="13320" width="13.42578125" style="144" bestFit="1" customWidth="1"/>
    <col min="13321" max="13323" width="10.5703125" style="144" bestFit="1" customWidth="1"/>
    <col min="13324" max="13324" width="12.85546875" style="144" bestFit="1" customWidth="1"/>
    <col min="13325" max="13569" width="12.42578125" style="144"/>
    <col min="13570" max="13570" width="10.7109375" style="144" bestFit="1" customWidth="1"/>
    <col min="13571" max="13571" width="14.28515625" style="144" bestFit="1" customWidth="1"/>
    <col min="13572" max="13572" width="23.28515625" style="144" bestFit="1" customWidth="1"/>
    <col min="13573" max="13574" width="11.5703125" style="144" bestFit="1" customWidth="1"/>
    <col min="13575" max="13575" width="12.28515625" style="144" bestFit="1" customWidth="1"/>
    <col min="13576" max="13576" width="13.42578125" style="144" bestFit="1" customWidth="1"/>
    <col min="13577" max="13579" width="10.5703125" style="144" bestFit="1" customWidth="1"/>
    <col min="13580" max="13580" width="12.85546875" style="144" bestFit="1" customWidth="1"/>
    <col min="13581" max="13825" width="12.42578125" style="144"/>
    <col min="13826" max="13826" width="10.7109375" style="144" bestFit="1" customWidth="1"/>
    <col min="13827" max="13827" width="14.28515625" style="144" bestFit="1" customWidth="1"/>
    <col min="13828" max="13828" width="23.28515625" style="144" bestFit="1" customWidth="1"/>
    <col min="13829" max="13830" width="11.5703125" style="144" bestFit="1" customWidth="1"/>
    <col min="13831" max="13831" width="12.28515625" style="144" bestFit="1" customWidth="1"/>
    <col min="13832" max="13832" width="13.42578125" style="144" bestFit="1" customWidth="1"/>
    <col min="13833" max="13835" width="10.5703125" style="144" bestFit="1" customWidth="1"/>
    <col min="13836" max="13836" width="12.85546875" style="144" bestFit="1" customWidth="1"/>
    <col min="13837" max="14081" width="12.42578125" style="144"/>
    <col min="14082" max="14082" width="10.7109375" style="144" bestFit="1" customWidth="1"/>
    <col min="14083" max="14083" width="14.28515625" style="144" bestFit="1" customWidth="1"/>
    <col min="14084" max="14084" width="23.28515625" style="144" bestFit="1" customWidth="1"/>
    <col min="14085" max="14086" width="11.5703125" style="144" bestFit="1" customWidth="1"/>
    <col min="14087" max="14087" width="12.28515625" style="144" bestFit="1" customWidth="1"/>
    <col min="14088" max="14088" width="13.42578125" style="144" bestFit="1" customWidth="1"/>
    <col min="14089" max="14091" width="10.5703125" style="144" bestFit="1" customWidth="1"/>
    <col min="14092" max="14092" width="12.85546875" style="144" bestFit="1" customWidth="1"/>
    <col min="14093" max="14337" width="12.42578125" style="144"/>
    <col min="14338" max="14338" width="10.7109375" style="144" bestFit="1" customWidth="1"/>
    <col min="14339" max="14339" width="14.28515625" style="144" bestFit="1" customWidth="1"/>
    <col min="14340" max="14340" width="23.28515625" style="144" bestFit="1" customWidth="1"/>
    <col min="14341" max="14342" width="11.5703125" style="144" bestFit="1" customWidth="1"/>
    <col min="14343" max="14343" width="12.28515625" style="144" bestFit="1" customWidth="1"/>
    <col min="14344" max="14344" width="13.42578125" style="144" bestFit="1" customWidth="1"/>
    <col min="14345" max="14347" width="10.5703125" style="144" bestFit="1" customWidth="1"/>
    <col min="14348" max="14348" width="12.85546875" style="144" bestFit="1" customWidth="1"/>
    <col min="14349" max="14593" width="12.42578125" style="144"/>
    <col min="14594" max="14594" width="10.7109375" style="144" bestFit="1" customWidth="1"/>
    <col min="14595" max="14595" width="14.28515625" style="144" bestFit="1" customWidth="1"/>
    <col min="14596" max="14596" width="23.28515625" style="144" bestFit="1" customWidth="1"/>
    <col min="14597" max="14598" width="11.5703125" style="144" bestFit="1" customWidth="1"/>
    <col min="14599" max="14599" width="12.28515625" style="144" bestFit="1" customWidth="1"/>
    <col min="14600" max="14600" width="13.42578125" style="144" bestFit="1" customWidth="1"/>
    <col min="14601" max="14603" width="10.5703125" style="144" bestFit="1" customWidth="1"/>
    <col min="14604" max="14604" width="12.85546875" style="144" bestFit="1" customWidth="1"/>
    <col min="14605" max="14849" width="12.42578125" style="144"/>
    <col min="14850" max="14850" width="10.7109375" style="144" bestFit="1" customWidth="1"/>
    <col min="14851" max="14851" width="14.28515625" style="144" bestFit="1" customWidth="1"/>
    <col min="14852" max="14852" width="23.28515625" style="144" bestFit="1" customWidth="1"/>
    <col min="14853" max="14854" width="11.5703125" style="144" bestFit="1" customWidth="1"/>
    <col min="14855" max="14855" width="12.28515625" style="144" bestFit="1" customWidth="1"/>
    <col min="14856" max="14856" width="13.42578125" style="144" bestFit="1" customWidth="1"/>
    <col min="14857" max="14859" width="10.5703125" style="144" bestFit="1" customWidth="1"/>
    <col min="14860" max="14860" width="12.85546875" style="144" bestFit="1" customWidth="1"/>
    <col min="14861" max="15105" width="12.42578125" style="144"/>
    <col min="15106" max="15106" width="10.7109375" style="144" bestFit="1" customWidth="1"/>
    <col min="15107" max="15107" width="14.28515625" style="144" bestFit="1" customWidth="1"/>
    <col min="15108" max="15108" width="23.28515625" style="144" bestFit="1" customWidth="1"/>
    <col min="15109" max="15110" width="11.5703125" style="144" bestFit="1" customWidth="1"/>
    <col min="15111" max="15111" width="12.28515625" style="144" bestFit="1" customWidth="1"/>
    <col min="15112" max="15112" width="13.42578125" style="144" bestFit="1" customWidth="1"/>
    <col min="15113" max="15115" width="10.5703125" style="144" bestFit="1" customWidth="1"/>
    <col min="15116" max="15116" width="12.85546875" style="144" bestFit="1" customWidth="1"/>
    <col min="15117" max="15361" width="12.42578125" style="144"/>
    <col min="15362" max="15362" width="10.7109375" style="144" bestFit="1" customWidth="1"/>
    <col min="15363" max="15363" width="14.28515625" style="144" bestFit="1" customWidth="1"/>
    <col min="15364" max="15364" width="23.28515625" style="144" bestFit="1" customWidth="1"/>
    <col min="15365" max="15366" width="11.5703125" style="144" bestFit="1" customWidth="1"/>
    <col min="15367" max="15367" width="12.28515625" style="144" bestFit="1" customWidth="1"/>
    <col min="15368" max="15368" width="13.42578125" style="144" bestFit="1" customWidth="1"/>
    <col min="15369" max="15371" width="10.5703125" style="144" bestFit="1" customWidth="1"/>
    <col min="15372" max="15372" width="12.85546875" style="144" bestFit="1" customWidth="1"/>
    <col min="15373" max="15617" width="12.42578125" style="144"/>
    <col min="15618" max="15618" width="10.7109375" style="144" bestFit="1" customWidth="1"/>
    <col min="15619" max="15619" width="14.28515625" style="144" bestFit="1" customWidth="1"/>
    <col min="15620" max="15620" width="23.28515625" style="144" bestFit="1" customWidth="1"/>
    <col min="15621" max="15622" width="11.5703125" style="144" bestFit="1" customWidth="1"/>
    <col min="15623" max="15623" width="12.28515625" style="144" bestFit="1" customWidth="1"/>
    <col min="15624" max="15624" width="13.42578125" style="144" bestFit="1" customWidth="1"/>
    <col min="15625" max="15627" width="10.5703125" style="144" bestFit="1" customWidth="1"/>
    <col min="15628" max="15628" width="12.85546875" style="144" bestFit="1" customWidth="1"/>
    <col min="15629" max="15873" width="12.42578125" style="144"/>
    <col min="15874" max="15874" width="10.7109375" style="144" bestFit="1" customWidth="1"/>
    <col min="15875" max="15875" width="14.28515625" style="144" bestFit="1" customWidth="1"/>
    <col min="15876" max="15876" width="23.28515625" style="144" bestFit="1" customWidth="1"/>
    <col min="15877" max="15878" width="11.5703125" style="144" bestFit="1" customWidth="1"/>
    <col min="15879" max="15879" width="12.28515625" style="144" bestFit="1" customWidth="1"/>
    <col min="15880" max="15880" width="13.42578125" style="144" bestFit="1" customWidth="1"/>
    <col min="15881" max="15883" width="10.5703125" style="144" bestFit="1" customWidth="1"/>
    <col min="15884" max="15884" width="12.85546875" style="144" bestFit="1" customWidth="1"/>
    <col min="15885" max="16129" width="12.42578125" style="144"/>
    <col min="16130" max="16130" width="10.7109375" style="144" bestFit="1" customWidth="1"/>
    <col min="16131" max="16131" width="14.28515625" style="144" bestFit="1" customWidth="1"/>
    <col min="16132" max="16132" width="23.28515625" style="144" bestFit="1" customWidth="1"/>
    <col min="16133" max="16134" width="11.5703125" style="144" bestFit="1" customWidth="1"/>
    <col min="16135" max="16135" width="12.28515625" style="144" bestFit="1" customWidth="1"/>
    <col min="16136" max="16136" width="13.42578125" style="144" bestFit="1" customWidth="1"/>
    <col min="16137" max="16139" width="10.5703125" style="144" bestFit="1" customWidth="1"/>
    <col min="16140" max="16140" width="12.85546875" style="144" bestFit="1" customWidth="1"/>
    <col min="16141" max="16384" width="12.42578125" style="144"/>
  </cols>
  <sheetData>
    <row r="1" spans="2:12" ht="18.75" x14ac:dyDescent="0.3">
      <c r="C1" s="126" t="s">
        <v>0</v>
      </c>
    </row>
    <row r="2" spans="2:12" ht="15.75" x14ac:dyDescent="0.25">
      <c r="C2" s="128" t="s">
        <v>242</v>
      </c>
    </row>
    <row r="3" spans="2:12" ht="15.75" x14ac:dyDescent="0.25">
      <c r="C3" s="129" t="s">
        <v>2</v>
      </c>
    </row>
    <row r="6" spans="2:12" x14ac:dyDescent="0.25">
      <c r="D6" s="244" t="s">
        <v>693</v>
      </c>
      <c r="E6" s="286">
        <f>-E152</f>
        <v>-2660.35</v>
      </c>
      <c r="F6" s="244" t="s">
        <v>318</v>
      </c>
    </row>
    <row r="7" spans="2:12" x14ac:dyDescent="0.25">
      <c r="D7" s="244" t="s">
        <v>926</v>
      </c>
      <c r="E7" s="286">
        <f>H157</f>
        <v>1971.7866000000001</v>
      </c>
      <c r="F7" s="244" t="s">
        <v>340</v>
      </c>
    </row>
    <row r="10" spans="2:12" s="150" customFormat="1" x14ac:dyDescent="0.25">
      <c r="B10" s="160" t="s">
        <v>728</v>
      </c>
      <c r="C10" s="147" t="s">
        <v>729</v>
      </c>
      <c r="D10" s="148" t="s">
        <v>730</v>
      </c>
      <c r="E10" s="148" t="s">
        <v>731</v>
      </c>
      <c r="F10" s="161" t="s">
        <v>757</v>
      </c>
      <c r="G10" s="161" t="s">
        <v>758</v>
      </c>
      <c r="H10" s="161" t="s">
        <v>759</v>
      </c>
      <c r="I10" s="161" t="s">
        <v>760</v>
      </c>
      <c r="J10" s="161" t="s">
        <v>761</v>
      </c>
      <c r="K10" s="161" t="s">
        <v>762</v>
      </c>
      <c r="L10" s="162"/>
    </row>
    <row r="11" spans="2:12" x14ac:dyDescent="0.25">
      <c r="B11" s="143">
        <v>44470</v>
      </c>
      <c r="C11" s="144">
        <v>321</v>
      </c>
      <c r="D11" s="151" t="s">
        <v>763</v>
      </c>
      <c r="E11" s="163">
        <v>625</v>
      </c>
      <c r="F11" s="163"/>
      <c r="G11" s="163"/>
      <c r="H11" s="163"/>
      <c r="I11" s="163"/>
      <c r="J11" s="163"/>
      <c r="K11" s="163">
        <f>E11</f>
        <v>625</v>
      </c>
    </row>
    <row r="12" spans="2:12" x14ac:dyDescent="0.25">
      <c r="B12" s="143">
        <v>44470</v>
      </c>
      <c r="C12" s="144">
        <v>370736</v>
      </c>
      <c r="D12" s="151" t="s">
        <v>764</v>
      </c>
      <c r="E12" s="145">
        <v>1912</v>
      </c>
      <c r="F12" s="145"/>
      <c r="G12" s="145"/>
      <c r="H12" s="145"/>
      <c r="I12" s="145"/>
      <c r="J12" s="145"/>
      <c r="K12" s="145">
        <f>E12</f>
        <v>1912</v>
      </c>
    </row>
    <row r="13" spans="2:12" x14ac:dyDescent="0.25">
      <c r="B13" s="143">
        <v>44470</v>
      </c>
      <c r="C13" s="144">
        <v>182263</v>
      </c>
      <c r="D13" s="151" t="s">
        <v>765</v>
      </c>
      <c r="E13" s="145">
        <v>162.66</v>
      </c>
      <c r="F13" s="145"/>
      <c r="G13" s="145"/>
      <c r="H13" s="145">
        <f>E13</f>
        <v>162.66</v>
      </c>
      <c r="I13" s="145"/>
      <c r="J13" s="145"/>
      <c r="K13" s="145"/>
    </row>
    <row r="14" spans="2:12" x14ac:dyDescent="0.25">
      <c r="B14" s="143">
        <v>44470</v>
      </c>
      <c r="C14" s="152">
        <v>182383</v>
      </c>
      <c r="D14" s="151" t="s">
        <v>765</v>
      </c>
      <c r="E14" s="145">
        <v>1646.38</v>
      </c>
      <c r="F14" s="145"/>
      <c r="G14" s="145"/>
      <c r="H14" s="145">
        <f>E14</f>
        <v>1646.38</v>
      </c>
      <c r="I14" s="145"/>
      <c r="J14" s="145"/>
      <c r="K14" s="145"/>
    </row>
    <row r="15" spans="2:12" x14ac:dyDescent="0.25">
      <c r="B15" s="143">
        <v>44470</v>
      </c>
      <c r="C15" s="152">
        <v>992.47619047619048</v>
      </c>
      <c r="D15" s="151" t="s">
        <v>766</v>
      </c>
      <c r="E15" s="145">
        <v>273.32</v>
      </c>
      <c r="F15" s="145">
        <f>E15</f>
        <v>273.32</v>
      </c>
      <c r="G15" s="145"/>
      <c r="H15" s="145"/>
      <c r="I15" s="145"/>
      <c r="J15" s="145"/>
      <c r="K15" s="145"/>
    </row>
    <row r="16" spans="2:12" x14ac:dyDescent="0.25">
      <c r="B16" s="143">
        <v>44470</v>
      </c>
      <c r="C16" s="152">
        <v>991.47619047619048</v>
      </c>
      <c r="D16" s="151" t="s">
        <v>766</v>
      </c>
      <c r="E16" s="145">
        <v>273.32</v>
      </c>
      <c r="F16" s="145">
        <f>E16</f>
        <v>273.32</v>
      </c>
      <c r="G16" s="145"/>
      <c r="H16" s="145"/>
      <c r="I16" s="145"/>
      <c r="J16" s="145"/>
      <c r="K16" s="145"/>
    </row>
    <row r="17" spans="2:11" x14ac:dyDescent="0.25">
      <c r="B17" s="143">
        <v>44470</v>
      </c>
      <c r="C17" s="152">
        <v>970.47619047619048</v>
      </c>
      <c r="D17" s="151" t="s">
        <v>766</v>
      </c>
      <c r="E17" s="145">
        <v>5393.37</v>
      </c>
      <c r="F17" s="145">
        <f>E17</f>
        <v>5393.37</v>
      </c>
      <c r="G17" s="145"/>
      <c r="H17" s="145"/>
      <c r="I17" s="145"/>
      <c r="J17" s="145"/>
      <c r="K17" s="145"/>
    </row>
    <row r="18" spans="2:11" x14ac:dyDescent="0.25">
      <c r="B18" s="143">
        <v>44470</v>
      </c>
      <c r="C18" s="152">
        <v>747.47619047619048</v>
      </c>
      <c r="D18" s="151" t="s">
        <v>766</v>
      </c>
      <c r="E18" s="145">
        <v>1650.3</v>
      </c>
      <c r="F18" s="145">
        <f>E18</f>
        <v>1650.3</v>
      </c>
      <c r="G18" s="145"/>
      <c r="H18" s="145"/>
      <c r="I18" s="145"/>
      <c r="J18" s="145"/>
      <c r="K18" s="145"/>
    </row>
    <row r="19" spans="2:11" x14ac:dyDescent="0.25">
      <c r="B19" s="143">
        <v>44470</v>
      </c>
      <c r="C19" s="152">
        <v>14321.476190476191</v>
      </c>
      <c r="D19" s="151" t="s">
        <v>767</v>
      </c>
      <c r="E19" s="145">
        <v>288.08</v>
      </c>
      <c r="F19" s="145"/>
      <c r="G19" s="145">
        <f>E19</f>
        <v>288.08</v>
      </c>
      <c r="H19" s="145"/>
      <c r="I19" s="145"/>
      <c r="J19" s="145"/>
      <c r="K19" s="145"/>
    </row>
    <row r="20" spans="2:11" x14ac:dyDescent="0.25">
      <c r="B20" s="143">
        <v>44470</v>
      </c>
      <c r="C20" s="152">
        <v>24130.476190476191</v>
      </c>
      <c r="D20" s="151" t="s">
        <v>768</v>
      </c>
      <c r="E20" s="145">
        <v>375.45</v>
      </c>
      <c r="F20" s="145"/>
      <c r="G20" s="145"/>
      <c r="H20" s="145"/>
      <c r="I20" s="145"/>
      <c r="J20" s="145">
        <f>E20</f>
        <v>375.45</v>
      </c>
      <c r="K20" s="145"/>
    </row>
    <row r="21" spans="2:11" x14ac:dyDescent="0.25">
      <c r="B21" s="143">
        <v>44470</v>
      </c>
      <c r="C21" s="152" t="s">
        <v>769</v>
      </c>
      <c r="D21" s="151" t="s">
        <v>770</v>
      </c>
      <c r="E21" s="145">
        <v>1938.03</v>
      </c>
      <c r="F21" s="145"/>
      <c r="G21" s="145"/>
      <c r="H21" s="145"/>
      <c r="I21" s="145">
        <f>E21</f>
        <v>1938.03</v>
      </c>
      <c r="J21" s="145"/>
      <c r="K21" s="145"/>
    </row>
    <row r="22" spans="2:11" x14ac:dyDescent="0.25">
      <c r="B22" s="143">
        <v>44501</v>
      </c>
      <c r="C22" s="144">
        <v>336</v>
      </c>
      <c r="D22" s="151" t="s">
        <v>763</v>
      </c>
      <c r="E22" s="145">
        <v>625</v>
      </c>
      <c r="F22" s="145"/>
      <c r="G22" s="145"/>
      <c r="H22" s="145"/>
      <c r="I22" s="145"/>
      <c r="J22" s="145"/>
      <c r="K22" s="145">
        <f>E22</f>
        <v>625</v>
      </c>
    </row>
    <row r="23" spans="2:11" x14ac:dyDescent="0.25">
      <c r="B23" s="143">
        <v>44501</v>
      </c>
      <c r="C23" s="144">
        <v>371752</v>
      </c>
      <c r="D23" s="151" t="s">
        <v>764</v>
      </c>
      <c r="E23" s="145">
        <v>2004.48</v>
      </c>
      <c r="F23" s="145"/>
      <c r="G23" s="145"/>
      <c r="H23" s="145"/>
      <c r="I23" s="145"/>
      <c r="J23" s="145"/>
      <c r="K23" s="145">
        <f>E23</f>
        <v>2004.48</v>
      </c>
    </row>
    <row r="24" spans="2:11" x14ac:dyDescent="0.25">
      <c r="B24" s="143">
        <v>44501</v>
      </c>
      <c r="C24" s="144">
        <v>182841</v>
      </c>
      <c r="D24" s="151" t="s">
        <v>765</v>
      </c>
      <c r="E24" s="145">
        <v>1646.38</v>
      </c>
      <c r="F24" s="145"/>
      <c r="G24" s="145"/>
      <c r="H24" s="145">
        <f>E24</f>
        <v>1646.38</v>
      </c>
      <c r="I24" s="145"/>
      <c r="J24" s="145"/>
      <c r="K24" s="145"/>
    </row>
    <row r="25" spans="2:11" x14ac:dyDescent="0.25">
      <c r="B25" s="143">
        <v>44501</v>
      </c>
      <c r="C25" s="144">
        <v>182383</v>
      </c>
      <c r="D25" s="151" t="s">
        <v>765</v>
      </c>
      <c r="E25" s="145">
        <v>294.62</v>
      </c>
      <c r="F25" s="145"/>
      <c r="G25" s="145"/>
      <c r="H25" s="145">
        <f>E25</f>
        <v>294.62</v>
      </c>
      <c r="I25" s="145"/>
      <c r="J25" s="145"/>
      <c r="K25" s="145"/>
    </row>
    <row r="26" spans="2:11" x14ac:dyDescent="0.25">
      <c r="B26" s="143">
        <v>44501</v>
      </c>
      <c r="C26" s="152">
        <v>747.52380952380952</v>
      </c>
      <c r="D26" s="151" t="s">
        <v>766</v>
      </c>
      <c r="E26" s="145">
        <v>1623.54</v>
      </c>
      <c r="F26" s="145">
        <f>E26</f>
        <v>1623.54</v>
      </c>
      <c r="G26" s="145"/>
      <c r="H26" s="145"/>
      <c r="I26" s="145"/>
      <c r="J26" s="145"/>
      <c r="K26" s="145"/>
    </row>
    <row r="27" spans="2:11" x14ac:dyDescent="0.25">
      <c r="B27" s="143">
        <v>44501</v>
      </c>
      <c r="C27" s="152">
        <v>970.52380952380952</v>
      </c>
      <c r="D27" s="151" t="s">
        <v>766</v>
      </c>
      <c r="E27" s="145">
        <v>5419.12</v>
      </c>
      <c r="F27" s="145">
        <f>E27</f>
        <v>5419.12</v>
      </c>
      <c r="G27" s="145"/>
      <c r="H27" s="145"/>
      <c r="I27" s="145"/>
      <c r="J27" s="145"/>
      <c r="K27" s="145"/>
    </row>
    <row r="28" spans="2:11" x14ac:dyDescent="0.25">
      <c r="B28" s="143">
        <v>44501</v>
      </c>
      <c r="C28" s="152">
        <v>991.52380952380952</v>
      </c>
      <c r="D28" s="151" t="s">
        <v>766</v>
      </c>
      <c r="E28" s="145">
        <v>273.32</v>
      </c>
      <c r="F28" s="145">
        <f>E28</f>
        <v>273.32</v>
      </c>
      <c r="G28" s="145"/>
      <c r="H28" s="145"/>
      <c r="I28" s="145"/>
      <c r="J28" s="145"/>
      <c r="K28" s="145"/>
    </row>
    <row r="29" spans="2:11" x14ac:dyDescent="0.25">
      <c r="B29" s="143">
        <v>44501</v>
      </c>
      <c r="C29" s="152">
        <v>992.52380952380952</v>
      </c>
      <c r="D29" s="151" t="s">
        <v>766</v>
      </c>
      <c r="E29" s="145">
        <v>273.32</v>
      </c>
      <c r="F29" s="145">
        <f>E29</f>
        <v>273.32</v>
      </c>
      <c r="G29" s="145"/>
      <c r="H29" s="145"/>
      <c r="I29" s="145"/>
      <c r="J29" s="145"/>
      <c r="K29" s="145"/>
    </row>
    <row r="30" spans="2:11" x14ac:dyDescent="0.25">
      <c r="B30" s="143">
        <v>44501</v>
      </c>
      <c r="C30" s="144">
        <v>24130</v>
      </c>
      <c r="D30" s="151" t="s">
        <v>768</v>
      </c>
      <c r="E30" s="145">
        <v>375.45</v>
      </c>
      <c r="F30" s="145"/>
      <c r="G30" s="145"/>
      <c r="H30" s="145"/>
      <c r="I30" s="145"/>
      <c r="J30" s="145">
        <f>E30</f>
        <v>375.45</v>
      </c>
      <c r="K30" s="145"/>
    </row>
    <row r="31" spans="2:11" x14ac:dyDescent="0.25">
      <c r="B31" s="143">
        <v>44501</v>
      </c>
      <c r="C31" s="144" t="s">
        <v>771</v>
      </c>
      <c r="D31" s="151" t="s">
        <v>770</v>
      </c>
      <c r="E31" s="145">
        <v>2525.41</v>
      </c>
      <c r="F31" s="145"/>
      <c r="G31" s="145"/>
      <c r="H31" s="145"/>
      <c r="I31" s="145">
        <f>E31</f>
        <v>2525.41</v>
      </c>
      <c r="J31" s="145"/>
      <c r="K31" s="145"/>
    </row>
    <row r="32" spans="2:11" x14ac:dyDescent="0.25">
      <c r="B32" s="143">
        <v>44531</v>
      </c>
      <c r="C32" s="153" t="s">
        <v>772</v>
      </c>
      <c r="D32" s="151" t="s">
        <v>763</v>
      </c>
      <c r="E32" s="145">
        <v>625</v>
      </c>
      <c r="F32" s="145"/>
      <c r="G32" s="145"/>
      <c r="H32" s="145"/>
      <c r="I32" s="145"/>
      <c r="J32" s="145"/>
      <c r="K32" s="145">
        <f>E32</f>
        <v>625</v>
      </c>
    </row>
    <row r="33" spans="2:11" x14ac:dyDescent="0.25">
      <c r="B33" s="143">
        <v>44531</v>
      </c>
      <c r="C33" s="153" t="s">
        <v>773</v>
      </c>
      <c r="D33" s="151" t="s">
        <v>764</v>
      </c>
      <c r="E33" s="145">
        <v>2025.84</v>
      </c>
      <c r="F33" s="145"/>
      <c r="G33" s="145"/>
      <c r="H33" s="145"/>
      <c r="I33" s="145"/>
      <c r="J33" s="145"/>
      <c r="K33" s="145">
        <f>E33</f>
        <v>2025.84</v>
      </c>
    </row>
    <row r="34" spans="2:11" x14ac:dyDescent="0.25">
      <c r="B34" s="143">
        <v>44531</v>
      </c>
      <c r="C34" s="153" t="s">
        <v>774</v>
      </c>
      <c r="D34" s="151" t="s">
        <v>765</v>
      </c>
      <c r="E34" s="145">
        <v>1646.38</v>
      </c>
      <c r="F34" s="145"/>
      <c r="G34" s="145"/>
      <c r="H34" s="145">
        <f>E34</f>
        <v>1646.38</v>
      </c>
      <c r="I34" s="145"/>
      <c r="J34" s="145"/>
      <c r="K34" s="145"/>
    </row>
    <row r="35" spans="2:11" x14ac:dyDescent="0.25">
      <c r="B35" s="143">
        <v>44531</v>
      </c>
      <c r="C35" s="153" t="s">
        <v>775</v>
      </c>
      <c r="D35" s="151" t="s">
        <v>765</v>
      </c>
      <c r="E35" s="145">
        <v>241.07</v>
      </c>
      <c r="F35" s="145"/>
      <c r="G35" s="145"/>
      <c r="H35" s="145">
        <f>E35</f>
        <v>241.07</v>
      </c>
      <c r="I35" s="145"/>
      <c r="J35" s="145"/>
      <c r="K35" s="145"/>
    </row>
    <row r="36" spans="2:11" x14ac:dyDescent="0.25">
      <c r="B36" s="143">
        <v>44531</v>
      </c>
      <c r="C36" s="153" t="s">
        <v>776</v>
      </c>
      <c r="D36" s="151" t="s">
        <v>766</v>
      </c>
      <c r="E36" s="145">
        <v>273.32</v>
      </c>
      <c r="F36" s="145">
        <f>E36</f>
        <v>273.32</v>
      </c>
      <c r="G36" s="145"/>
      <c r="H36" s="145"/>
      <c r="I36" s="145"/>
      <c r="J36" s="145"/>
      <c r="K36" s="145"/>
    </row>
    <row r="37" spans="2:11" x14ac:dyDescent="0.25">
      <c r="B37" s="143">
        <v>44531</v>
      </c>
      <c r="C37" s="153" t="s">
        <v>777</v>
      </c>
      <c r="D37" s="151" t="s">
        <v>766</v>
      </c>
      <c r="E37" s="145">
        <v>273.32</v>
      </c>
      <c r="F37" s="145">
        <f>E37</f>
        <v>273.32</v>
      </c>
      <c r="G37" s="145"/>
      <c r="H37" s="145"/>
      <c r="I37" s="145"/>
      <c r="J37" s="145"/>
      <c r="K37" s="145"/>
    </row>
    <row r="38" spans="2:11" x14ac:dyDescent="0.25">
      <c r="B38" s="143">
        <v>44531</v>
      </c>
      <c r="C38" s="153" t="s">
        <v>778</v>
      </c>
      <c r="D38" s="151" t="s">
        <v>766</v>
      </c>
      <c r="E38" s="145">
        <v>5277.43</v>
      </c>
      <c r="F38" s="145">
        <f>E38</f>
        <v>5277.43</v>
      </c>
      <c r="G38" s="145"/>
      <c r="H38" s="145"/>
      <c r="I38" s="145"/>
      <c r="J38" s="145"/>
      <c r="K38" s="145"/>
    </row>
    <row r="39" spans="2:11" x14ac:dyDescent="0.25">
      <c r="B39" s="143">
        <v>44531</v>
      </c>
      <c r="C39" s="153" t="s">
        <v>779</v>
      </c>
      <c r="D39" s="151" t="s">
        <v>766</v>
      </c>
      <c r="E39" s="145">
        <v>1635.06</v>
      </c>
      <c r="F39" s="145">
        <f>E39</f>
        <v>1635.06</v>
      </c>
      <c r="G39" s="145"/>
      <c r="H39" s="145"/>
      <c r="I39" s="145"/>
      <c r="J39" s="145"/>
      <c r="K39" s="145"/>
    </row>
    <row r="40" spans="2:11" x14ac:dyDescent="0.25">
      <c r="B40" s="143">
        <v>44531</v>
      </c>
      <c r="C40" s="153" t="s">
        <v>780</v>
      </c>
      <c r="D40" s="151" t="s">
        <v>768</v>
      </c>
      <c r="E40" s="145">
        <v>666.52</v>
      </c>
      <c r="F40" s="145"/>
      <c r="G40" s="145"/>
      <c r="H40" s="145"/>
      <c r="I40" s="145"/>
      <c r="J40" s="145">
        <f>E40</f>
        <v>666.52</v>
      </c>
      <c r="K40" s="145"/>
    </row>
    <row r="41" spans="2:11" x14ac:dyDescent="0.25">
      <c r="B41" s="143">
        <v>44531</v>
      </c>
      <c r="C41" s="153" t="s">
        <v>781</v>
      </c>
      <c r="D41" s="151" t="s">
        <v>770</v>
      </c>
      <c r="E41" s="145">
        <v>1938.03</v>
      </c>
      <c r="F41" s="145"/>
      <c r="G41" s="145"/>
      <c r="H41" s="145"/>
      <c r="I41" s="145">
        <f>E41</f>
        <v>1938.03</v>
      </c>
      <c r="J41" s="145"/>
      <c r="K41" s="145"/>
    </row>
    <row r="42" spans="2:11" x14ac:dyDescent="0.25">
      <c r="B42" s="143">
        <v>44562</v>
      </c>
      <c r="C42" s="144">
        <v>365</v>
      </c>
      <c r="D42" s="151" t="s">
        <v>763</v>
      </c>
      <c r="E42" s="145">
        <v>625</v>
      </c>
      <c r="F42" s="145"/>
      <c r="G42" s="145"/>
      <c r="H42" s="145"/>
      <c r="I42" s="145"/>
      <c r="J42" s="145"/>
      <c r="K42" s="145">
        <f>E42</f>
        <v>625</v>
      </c>
    </row>
    <row r="43" spans="2:11" x14ac:dyDescent="0.25">
      <c r="B43" s="143">
        <v>44562</v>
      </c>
      <c r="C43" s="144" t="s">
        <v>782</v>
      </c>
      <c r="D43" s="151" t="s">
        <v>764</v>
      </c>
      <c r="E43" s="145">
        <v>2018.24</v>
      </c>
      <c r="F43" s="145"/>
      <c r="G43" s="145"/>
      <c r="H43" s="145"/>
      <c r="I43" s="145"/>
      <c r="J43" s="145"/>
      <c r="K43" s="145">
        <f>E43</f>
        <v>2018.24</v>
      </c>
    </row>
    <row r="44" spans="2:11" x14ac:dyDescent="0.25">
      <c r="B44" s="143">
        <v>44562</v>
      </c>
      <c r="C44" s="144">
        <v>183675</v>
      </c>
      <c r="D44" s="151" t="s">
        <v>765</v>
      </c>
      <c r="E44" s="145">
        <v>1747.84</v>
      </c>
      <c r="F44" s="145"/>
      <c r="G44" s="145"/>
      <c r="H44" s="145">
        <f>E44</f>
        <v>1747.84</v>
      </c>
      <c r="I44" s="145"/>
      <c r="J44" s="145"/>
      <c r="K44" s="145"/>
    </row>
    <row r="45" spans="2:11" x14ac:dyDescent="0.25">
      <c r="B45" s="143">
        <v>44562</v>
      </c>
      <c r="C45" s="144">
        <v>183552</v>
      </c>
      <c r="D45" s="151" t="s">
        <v>765</v>
      </c>
      <c r="E45" s="145">
        <v>333.16</v>
      </c>
      <c r="F45" s="145"/>
      <c r="G45" s="145"/>
      <c r="H45" s="145">
        <f>E45</f>
        <v>333.16</v>
      </c>
      <c r="I45" s="145"/>
      <c r="J45" s="145"/>
      <c r="K45" s="145"/>
    </row>
    <row r="46" spans="2:11" x14ac:dyDescent="0.25">
      <c r="B46" s="143">
        <v>44562</v>
      </c>
      <c r="C46" s="153" t="s">
        <v>783</v>
      </c>
      <c r="D46" s="151" t="s">
        <v>766</v>
      </c>
      <c r="E46" s="145">
        <v>281.33999999999997</v>
      </c>
      <c r="F46" s="145">
        <f>E46</f>
        <v>281.33999999999997</v>
      </c>
      <c r="G46" s="145"/>
      <c r="H46" s="145"/>
      <c r="I46" s="145"/>
      <c r="J46" s="145"/>
      <c r="K46" s="145"/>
    </row>
    <row r="47" spans="2:11" x14ac:dyDescent="0.25">
      <c r="B47" s="143">
        <v>44562</v>
      </c>
      <c r="C47" s="152">
        <v>991.0454545454545</v>
      </c>
      <c r="D47" s="151" t="s">
        <v>766</v>
      </c>
      <c r="E47" s="145">
        <v>281.33999999999997</v>
      </c>
      <c r="F47" s="145">
        <f>E47</f>
        <v>281.33999999999997</v>
      </c>
      <c r="G47" s="145"/>
      <c r="H47" s="145"/>
      <c r="I47" s="145"/>
      <c r="J47" s="145"/>
      <c r="K47" s="145"/>
    </row>
    <row r="48" spans="2:11" x14ac:dyDescent="0.25">
      <c r="B48" s="143">
        <v>44562</v>
      </c>
      <c r="C48" s="152">
        <v>970.0454545454545</v>
      </c>
      <c r="D48" s="151" t="s">
        <v>766</v>
      </c>
      <c r="E48" s="145">
        <v>7407.78</v>
      </c>
      <c r="F48" s="145">
        <f>E48</f>
        <v>7407.78</v>
      </c>
      <c r="G48" s="145"/>
      <c r="H48" s="145"/>
      <c r="I48" s="145"/>
      <c r="J48" s="145"/>
      <c r="K48" s="145"/>
    </row>
    <row r="49" spans="2:11" x14ac:dyDescent="0.25">
      <c r="B49" s="143">
        <v>44562</v>
      </c>
      <c r="C49" s="152">
        <v>747.0454545454545</v>
      </c>
      <c r="D49" s="151" t="s">
        <v>766</v>
      </c>
      <c r="E49" s="145">
        <v>1757.36</v>
      </c>
      <c r="F49" s="145">
        <f>E49</f>
        <v>1757.36</v>
      </c>
      <c r="G49" s="145"/>
      <c r="H49" s="145"/>
      <c r="I49" s="145"/>
      <c r="J49" s="145"/>
      <c r="K49" s="145"/>
    </row>
    <row r="50" spans="2:11" x14ac:dyDescent="0.25">
      <c r="B50" s="143">
        <v>44562</v>
      </c>
      <c r="C50" s="144">
        <v>26097</v>
      </c>
      <c r="D50" s="151" t="s">
        <v>767</v>
      </c>
      <c r="E50" s="145">
        <v>221.81</v>
      </c>
      <c r="F50" s="145"/>
      <c r="G50" s="145">
        <f>E50</f>
        <v>221.81</v>
      </c>
      <c r="H50" s="145"/>
      <c r="I50" s="145"/>
      <c r="J50" s="145"/>
      <c r="K50" s="145"/>
    </row>
    <row r="51" spans="2:11" x14ac:dyDescent="0.25">
      <c r="B51" s="143">
        <v>44562</v>
      </c>
      <c r="C51" s="144">
        <v>26137</v>
      </c>
      <c r="D51" s="151" t="s">
        <v>767</v>
      </c>
      <c r="E51" s="145">
        <v>50.27</v>
      </c>
      <c r="F51" s="145"/>
      <c r="G51" s="145">
        <f>E51</f>
        <v>50.27</v>
      </c>
      <c r="H51" s="145"/>
      <c r="I51" s="145"/>
      <c r="J51" s="145"/>
      <c r="K51" s="145"/>
    </row>
    <row r="52" spans="2:11" x14ac:dyDescent="0.25">
      <c r="B52" s="143">
        <v>44562</v>
      </c>
      <c r="C52" s="164">
        <v>44948</v>
      </c>
      <c r="D52" s="151" t="s">
        <v>768</v>
      </c>
      <c r="E52" s="145">
        <v>387.29</v>
      </c>
      <c r="F52" s="145"/>
      <c r="G52" s="145"/>
      <c r="H52" s="145"/>
      <c r="I52" s="145"/>
      <c r="J52" s="145">
        <f>E52</f>
        <v>387.29</v>
      </c>
      <c r="K52" s="145"/>
    </row>
    <row r="53" spans="2:11" x14ac:dyDescent="0.25">
      <c r="B53" s="143">
        <v>44562</v>
      </c>
      <c r="C53" s="144" t="s">
        <v>784</v>
      </c>
      <c r="D53" s="151" t="s">
        <v>770</v>
      </c>
      <c r="E53" s="145">
        <v>2035.35</v>
      </c>
      <c r="F53" s="145"/>
      <c r="G53" s="145"/>
      <c r="H53" s="145"/>
      <c r="I53" s="145">
        <f>E53</f>
        <v>2035.35</v>
      </c>
      <c r="J53" s="145"/>
      <c r="K53" s="145"/>
    </row>
    <row r="54" spans="2:11" x14ac:dyDescent="0.25">
      <c r="B54" s="143">
        <v>44593</v>
      </c>
      <c r="C54" s="144">
        <v>379</v>
      </c>
      <c r="D54" s="151" t="s">
        <v>763</v>
      </c>
      <c r="E54" s="145">
        <v>625</v>
      </c>
      <c r="F54" s="145"/>
      <c r="G54" s="145"/>
      <c r="H54" s="145"/>
      <c r="I54" s="145"/>
      <c r="J54" s="145"/>
      <c r="K54" s="145">
        <f>E54</f>
        <v>625</v>
      </c>
    </row>
    <row r="55" spans="2:11" x14ac:dyDescent="0.25">
      <c r="B55" s="143">
        <v>44593</v>
      </c>
      <c r="C55" s="144">
        <v>374276</v>
      </c>
      <c r="D55" s="151" t="s">
        <v>764</v>
      </c>
      <c r="E55" s="145">
        <v>2046.59</v>
      </c>
      <c r="F55" s="145"/>
      <c r="G55" s="145"/>
      <c r="H55" s="145"/>
      <c r="I55" s="145"/>
      <c r="J55" s="145"/>
      <c r="K55" s="145">
        <f>E55</f>
        <v>2046.59</v>
      </c>
    </row>
    <row r="56" spans="2:11" x14ac:dyDescent="0.25">
      <c r="B56" s="143">
        <v>44593</v>
      </c>
      <c r="C56" s="153" t="s">
        <v>785</v>
      </c>
      <c r="D56" s="151" t="s">
        <v>765</v>
      </c>
      <c r="E56" s="145">
        <v>1747.84</v>
      </c>
      <c r="F56" s="145"/>
      <c r="G56" s="145"/>
      <c r="H56" s="145">
        <f>E56</f>
        <v>1747.84</v>
      </c>
      <c r="I56" s="145"/>
      <c r="J56" s="145"/>
      <c r="K56" s="145"/>
    </row>
    <row r="57" spans="2:11" x14ac:dyDescent="0.25">
      <c r="B57" s="143">
        <v>44593</v>
      </c>
      <c r="C57" s="144">
        <v>183993</v>
      </c>
      <c r="D57" s="151" t="s">
        <v>765</v>
      </c>
      <c r="E57" s="145">
        <v>354.8</v>
      </c>
      <c r="F57" s="145"/>
      <c r="G57" s="145"/>
      <c r="H57" s="145">
        <f>E57</f>
        <v>354.8</v>
      </c>
      <c r="I57" s="145"/>
      <c r="J57" s="145"/>
      <c r="K57" s="145"/>
    </row>
    <row r="58" spans="2:11" x14ac:dyDescent="0.25">
      <c r="B58" s="143">
        <v>44593</v>
      </c>
      <c r="C58" s="153" t="s">
        <v>786</v>
      </c>
      <c r="D58" s="151" t="s">
        <v>766</v>
      </c>
      <c r="E58" s="145">
        <v>281.33999999999997</v>
      </c>
      <c r="F58" s="145">
        <f>E58</f>
        <v>281.33999999999997</v>
      </c>
      <c r="G58" s="145"/>
      <c r="H58" s="145"/>
      <c r="I58" s="145"/>
      <c r="J58" s="145"/>
      <c r="K58" s="145"/>
    </row>
    <row r="59" spans="2:11" x14ac:dyDescent="0.25">
      <c r="B59" s="143">
        <v>44593</v>
      </c>
      <c r="C59" s="153" t="s">
        <v>787</v>
      </c>
      <c r="D59" s="151" t="s">
        <v>766</v>
      </c>
      <c r="E59" s="145">
        <v>281.33999999999997</v>
      </c>
      <c r="F59" s="145">
        <f>E59</f>
        <v>281.33999999999997</v>
      </c>
      <c r="G59" s="145"/>
      <c r="H59" s="145"/>
      <c r="I59" s="145"/>
      <c r="J59" s="145"/>
      <c r="K59" s="145"/>
    </row>
    <row r="60" spans="2:11" x14ac:dyDescent="0.25">
      <c r="B60" s="143">
        <v>44593</v>
      </c>
      <c r="C60" s="153" t="s">
        <v>788</v>
      </c>
      <c r="D60" s="151" t="s">
        <v>766</v>
      </c>
      <c r="E60" s="145">
        <v>7147.81</v>
      </c>
      <c r="F60" s="145">
        <f>E60</f>
        <v>7147.81</v>
      </c>
      <c r="G60" s="145"/>
      <c r="H60" s="145"/>
      <c r="I60" s="145"/>
      <c r="J60" s="145"/>
      <c r="K60" s="145"/>
    </row>
    <row r="61" spans="2:11" x14ac:dyDescent="0.25">
      <c r="B61" s="143">
        <v>44593</v>
      </c>
      <c r="C61" s="153" t="s">
        <v>789</v>
      </c>
      <c r="D61" s="151" t="s">
        <v>766</v>
      </c>
      <c r="E61" s="145">
        <v>1803.68</v>
      </c>
      <c r="F61" s="145">
        <f>E61</f>
        <v>1803.68</v>
      </c>
      <c r="G61" s="145"/>
      <c r="H61" s="145"/>
      <c r="I61" s="145"/>
      <c r="J61" s="145"/>
      <c r="K61" s="145"/>
    </row>
    <row r="62" spans="2:11" x14ac:dyDescent="0.25">
      <c r="B62" s="143">
        <v>44593</v>
      </c>
      <c r="C62" s="153" t="s">
        <v>790</v>
      </c>
      <c r="D62" s="151" t="s">
        <v>767</v>
      </c>
      <c r="E62" s="145">
        <v>1327.43</v>
      </c>
      <c r="F62" s="145"/>
      <c r="G62" s="145">
        <v>1327.43</v>
      </c>
      <c r="H62" s="145"/>
      <c r="I62" s="145"/>
      <c r="J62" s="145"/>
      <c r="K62" s="145"/>
    </row>
    <row r="63" spans="2:11" x14ac:dyDescent="0.25">
      <c r="B63" s="143">
        <v>44593</v>
      </c>
      <c r="C63" s="153" t="s">
        <v>791</v>
      </c>
      <c r="D63" s="151" t="s">
        <v>768</v>
      </c>
      <c r="E63" s="145">
        <v>677.01</v>
      </c>
      <c r="F63" s="145"/>
      <c r="G63" s="145"/>
      <c r="H63" s="145"/>
      <c r="I63" s="145"/>
      <c r="J63" s="145">
        <f>E63</f>
        <v>677.01</v>
      </c>
      <c r="K63" s="145"/>
    </row>
    <row r="64" spans="2:11" x14ac:dyDescent="0.25">
      <c r="B64" s="143">
        <v>44593</v>
      </c>
      <c r="C64" s="144">
        <v>10589</v>
      </c>
      <c r="D64" s="151" t="s">
        <v>770</v>
      </c>
      <c r="E64" s="145">
        <v>2798.69</v>
      </c>
      <c r="F64" s="145"/>
      <c r="G64" s="145"/>
      <c r="H64" s="145"/>
      <c r="I64" s="145">
        <f>E64</f>
        <v>2798.69</v>
      </c>
      <c r="J64" s="145"/>
      <c r="K64" s="145"/>
    </row>
    <row r="65" spans="2:11" x14ac:dyDescent="0.25">
      <c r="B65" s="143">
        <v>44621</v>
      </c>
      <c r="C65" s="144">
        <v>394</v>
      </c>
      <c r="D65" s="151" t="s">
        <v>763</v>
      </c>
      <c r="E65" s="145">
        <v>625</v>
      </c>
      <c r="F65" s="145"/>
      <c r="G65" s="145"/>
      <c r="H65" s="145"/>
      <c r="I65" s="145"/>
      <c r="J65" s="145"/>
      <c r="K65" s="145">
        <f>E65</f>
        <v>625</v>
      </c>
    </row>
    <row r="66" spans="2:11" x14ac:dyDescent="0.25">
      <c r="B66" s="143">
        <v>44621</v>
      </c>
      <c r="C66" s="152">
        <v>375038.13636363635</v>
      </c>
      <c r="D66" s="151" t="s">
        <v>764</v>
      </c>
      <c r="E66" s="145">
        <v>2150.3000000000002</v>
      </c>
      <c r="F66" s="145"/>
      <c r="G66" s="145"/>
      <c r="H66" s="145"/>
      <c r="I66" s="145"/>
      <c r="J66" s="145"/>
      <c r="K66" s="145">
        <f>E66</f>
        <v>2150.3000000000002</v>
      </c>
    </row>
    <row r="67" spans="2:11" x14ac:dyDescent="0.25">
      <c r="B67" s="143">
        <v>44621</v>
      </c>
      <c r="C67" s="144">
        <v>184421</v>
      </c>
      <c r="D67" s="151" t="s">
        <v>765</v>
      </c>
      <c r="E67" s="145">
        <v>295.83999999999997</v>
      </c>
      <c r="F67" s="145"/>
      <c r="G67" s="145"/>
      <c r="H67" s="145">
        <f>E67</f>
        <v>295.83999999999997</v>
      </c>
      <c r="I67" s="145"/>
      <c r="J67" s="145"/>
      <c r="K67" s="145"/>
    </row>
    <row r="68" spans="2:11" x14ac:dyDescent="0.25">
      <c r="B68" s="143">
        <v>44621</v>
      </c>
      <c r="C68" s="144">
        <v>184544</v>
      </c>
      <c r="D68" s="151" t="s">
        <v>765</v>
      </c>
      <c r="E68" s="145">
        <v>1747.84</v>
      </c>
      <c r="F68" s="145"/>
      <c r="G68" s="145"/>
      <c r="H68" s="145">
        <f>E68</f>
        <v>1747.84</v>
      </c>
      <c r="I68" s="145"/>
      <c r="J68" s="145"/>
      <c r="K68" s="145"/>
    </row>
    <row r="69" spans="2:11" x14ac:dyDescent="0.25">
      <c r="B69" s="143">
        <v>44621</v>
      </c>
      <c r="C69" s="144" t="s">
        <v>792</v>
      </c>
      <c r="D69" s="151" t="s">
        <v>766</v>
      </c>
      <c r="E69" s="145">
        <v>281.33999999999997</v>
      </c>
      <c r="F69" s="145">
        <f>E69</f>
        <v>281.33999999999997</v>
      </c>
      <c r="G69" s="145"/>
      <c r="H69" s="145"/>
      <c r="I69" s="145"/>
      <c r="J69" s="145"/>
      <c r="K69" s="145"/>
    </row>
    <row r="70" spans="2:11" x14ac:dyDescent="0.25">
      <c r="B70" s="143">
        <v>44621</v>
      </c>
      <c r="C70" s="144" t="s">
        <v>793</v>
      </c>
      <c r="D70" s="151" t="s">
        <v>766</v>
      </c>
      <c r="E70" s="145">
        <v>281.33999999999997</v>
      </c>
      <c r="F70" s="145">
        <f>E70</f>
        <v>281.33999999999997</v>
      </c>
      <c r="G70" s="145"/>
      <c r="H70" s="145"/>
      <c r="I70" s="145"/>
      <c r="J70" s="145"/>
      <c r="K70" s="145"/>
    </row>
    <row r="71" spans="2:11" x14ac:dyDescent="0.25">
      <c r="B71" s="143">
        <v>44621</v>
      </c>
      <c r="C71" s="144" t="s">
        <v>794</v>
      </c>
      <c r="D71" s="151" t="s">
        <v>766</v>
      </c>
      <c r="E71" s="145">
        <v>6973.34</v>
      </c>
      <c r="F71" s="145">
        <f>E71</f>
        <v>6973.34</v>
      </c>
      <c r="G71" s="145"/>
      <c r="H71" s="145"/>
      <c r="I71" s="145"/>
      <c r="J71" s="145"/>
      <c r="K71" s="145"/>
    </row>
    <row r="72" spans="2:11" x14ac:dyDescent="0.25">
      <c r="B72" s="143">
        <v>44621</v>
      </c>
      <c r="C72" s="144" t="s">
        <v>795</v>
      </c>
      <c r="D72" s="151" t="s">
        <v>766</v>
      </c>
      <c r="E72" s="145">
        <v>1706</v>
      </c>
      <c r="F72" s="145">
        <f>E72</f>
        <v>1706</v>
      </c>
      <c r="G72" s="145"/>
      <c r="H72" s="145"/>
      <c r="I72" s="145"/>
      <c r="J72" s="145"/>
      <c r="K72" s="145"/>
    </row>
    <row r="73" spans="2:11" x14ac:dyDescent="0.25">
      <c r="B73" s="143">
        <v>44621</v>
      </c>
      <c r="C73" s="144" t="s">
        <v>796</v>
      </c>
      <c r="D73" s="151" t="s">
        <v>767</v>
      </c>
      <c r="E73" s="145">
        <v>4</v>
      </c>
      <c r="F73" s="145"/>
      <c r="G73" s="145">
        <f>E73</f>
        <v>4</v>
      </c>
      <c r="H73" s="145"/>
      <c r="I73" s="145"/>
      <c r="J73" s="145"/>
      <c r="K73" s="145"/>
    </row>
    <row r="74" spans="2:11" x14ac:dyDescent="0.25">
      <c r="B74" s="143">
        <v>44621</v>
      </c>
      <c r="C74" s="152">
        <v>14321.136363636364</v>
      </c>
      <c r="D74" s="151" t="s">
        <v>767</v>
      </c>
      <c r="E74" s="145">
        <v>1273.3599999999999</v>
      </c>
      <c r="F74" s="145"/>
      <c r="G74" s="145">
        <f>E74</f>
        <v>1273.3599999999999</v>
      </c>
      <c r="H74" s="145"/>
      <c r="I74" s="145"/>
      <c r="J74" s="145"/>
      <c r="K74" s="145"/>
    </row>
    <row r="75" spans="2:11" x14ac:dyDescent="0.25">
      <c r="B75" s="143">
        <v>44621</v>
      </c>
      <c r="C75" s="152">
        <v>24130.136363636364</v>
      </c>
      <c r="D75" s="151" t="s">
        <v>768</v>
      </c>
      <c r="E75" s="145">
        <v>387.29</v>
      </c>
      <c r="F75" s="145"/>
      <c r="G75" s="145"/>
      <c r="H75" s="145"/>
      <c r="I75" s="145"/>
      <c r="J75" s="145">
        <f>E75</f>
        <v>387.29</v>
      </c>
      <c r="K75" s="145"/>
    </row>
    <row r="76" spans="2:11" x14ac:dyDescent="0.25">
      <c r="B76" s="143">
        <v>44621</v>
      </c>
      <c r="C76" s="144" t="s">
        <v>797</v>
      </c>
      <c r="D76" s="151" t="s">
        <v>770</v>
      </c>
      <c r="E76" s="145">
        <v>2035.35</v>
      </c>
      <c r="F76" s="145"/>
      <c r="G76" s="145"/>
      <c r="H76" s="145"/>
      <c r="I76" s="145">
        <f>E76</f>
        <v>2035.35</v>
      </c>
      <c r="J76" s="145"/>
      <c r="K76" s="145"/>
    </row>
    <row r="77" spans="2:11" x14ac:dyDescent="0.25">
      <c r="B77" s="143">
        <v>44652</v>
      </c>
      <c r="C77" s="153" t="s">
        <v>798</v>
      </c>
      <c r="D77" s="151" t="s">
        <v>763</v>
      </c>
      <c r="E77" s="145">
        <v>625</v>
      </c>
      <c r="F77" s="145"/>
      <c r="G77" s="145"/>
      <c r="H77" s="145"/>
      <c r="I77" s="145"/>
      <c r="J77" s="145"/>
      <c r="K77" s="145">
        <f>E77</f>
        <v>625</v>
      </c>
    </row>
    <row r="78" spans="2:11" x14ac:dyDescent="0.25">
      <c r="B78" s="143">
        <v>44652</v>
      </c>
      <c r="C78" s="153" t="s">
        <v>799</v>
      </c>
      <c r="D78" s="151" t="s">
        <v>764</v>
      </c>
      <c r="E78" s="145">
        <v>2090.77</v>
      </c>
      <c r="F78" s="145"/>
      <c r="G78" s="145"/>
      <c r="H78" s="145"/>
      <c r="I78" s="145"/>
      <c r="J78" s="145"/>
      <c r="K78" s="145">
        <f>E78</f>
        <v>2090.77</v>
      </c>
    </row>
    <row r="79" spans="2:11" x14ac:dyDescent="0.25">
      <c r="B79" s="143">
        <v>44652</v>
      </c>
      <c r="C79" s="153" t="s">
        <v>799</v>
      </c>
      <c r="D79" s="151" t="s">
        <v>764</v>
      </c>
      <c r="E79" s="145">
        <v>299.52</v>
      </c>
      <c r="F79" s="145"/>
      <c r="G79" s="145"/>
      <c r="H79" s="145"/>
      <c r="I79" s="145"/>
      <c r="J79" s="145"/>
      <c r="K79" s="145">
        <f>E79</f>
        <v>299.52</v>
      </c>
    </row>
    <row r="80" spans="2:11" x14ac:dyDescent="0.25">
      <c r="B80" s="143">
        <v>44652</v>
      </c>
      <c r="C80" s="153" t="s">
        <v>800</v>
      </c>
      <c r="D80" s="151" t="s">
        <v>765</v>
      </c>
      <c r="E80" s="145">
        <v>261.42</v>
      </c>
      <c r="F80" s="145"/>
      <c r="G80" s="145"/>
      <c r="H80" s="145">
        <f>E80</f>
        <v>261.42</v>
      </c>
      <c r="I80" s="145"/>
      <c r="J80" s="145"/>
      <c r="K80" s="145"/>
    </row>
    <row r="81" spans="2:11" x14ac:dyDescent="0.25">
      <c r="B81" s="143">
        <v>44652</v>
      </c>
      <c r="C81" s="153" t="s">
        <v>801</v>
      </c>
      <c r="D81" s="151" t="s">
        <v>765</v>
      </c>
      <c r="E81" s="145">
        <v>1747.84</v>
      </c>
      <c r="F81" s="145"/>
      <c r="G81" s="145"/>
      <c r="H81" s="145">
        <f>E81</f>
        <v>1747.84</v>
      </c>
      <c r="I81" s="145"/>
      <c r="J81" s="145"/>
      <c r="K81" s="145"/>
    </row>
    <row r="82" spans="2:11" x14ac:dyDescent="0.25">
      <c r="B82" s="143">
        <v>44652</v>
      </c>
      <c r="C82" s="153" t="s">
        <v>802</v>
      </c>
      <c r="D82" s="151" t="s">
        <v>766</v>
      </c>
      <c r="E82" s="145">
        <v>281.33999999999997</v>
      </c>
      <c r="F82" s="145">
        <f>E82</f>
        <v>281.33999999999997</v>
      </c>
      <c r="G82" s="145"/>
      <c r="H82" s="145"/>
      <c r="I82" s="145"/>
      <c r="J82" s="145"/>
      <c r="K82" s="145"/>
    </row>
    <row r="83" spans="2:11" x14ac:dyDescent="0.25">
      <c r="B83" s="143">
        <v>44652</v>
      </c>
      <c r="C83" s="153" t="s">
        <v>803</v>
      </c>
      <c r="D83" s="151" t="s">
        <v>766</v>
      </c>
      <c r="E83" s="145">
        <v>281.33999999999997</v>
      </c>
      <c r="F83" s="145">
        <f>E83</f>
        <v>281.33999999999997</v>
      </c>
      <c r="G83" s="145"/>
      <c r="H83" s="145"/>
      <c r="I83" s="145"/>
      <c r="J83" s="145"/>
      <c r="K83" s="145"/>
    </row>
    <row r="84" spans="2:11" x14ac:dyDescent="0.25">
      <c r="B84" s="143">
        <v>44652</v>
      </c>
      <c r="C84" s="153" t="s">
        <v>804</v>
      </c>
      <c r="D84" s="151" t="s">
        <v>766</v>
      </c>
      <c r="E84" s="145">
        <v>6867.88</v>
      </c>
      <c r="F84" s="145">
        <f>E84</f>
        <v>6867.88</v>
      </c>
      <c r="G84" s="145"/>
      <c r="H84" s="145"/>
      <c r="I84" s="145"/>
      <c r="J84" s="145"/>
      <c r="K84" s="145"/>
    </row>
    <row r="85" spans="2:11" x14ac:dyDescent="0.25">
      <c r="B85" s="143">
        <v>44652</v>
      </c>
      <c r="C85" s="153" t="s">
        <v>805</v>
      </c>
      <c r="D85" s="151" t="s">
        <v>766</v>
      </c>
      <c r="E85" s="145">
        <v>1741.4</v>
      </c>
      <c r="F85" s="145">
        <f>E85</f>
        <v>1741.4</v>
      </c>
      <c r="G85" s="145"/>
      <c r="H85" s="145"/>
      <c r="I85" s="145"/>
      <c r="J85" s="145"/>
      <c r="K85" s="145"/>
    </row>
    <row r="86" spans="2:11" x14ac:dyDescent="0.25">
      <c r="B86" s="143">
        <v>44652</v>
      </c>
      <c r="C86" s="153" t="s">
        <v>806</v>
      </c>
      <c r="D86" s="151" t="s">
        <v>767</v>
      </c>
      <c r="E86" s="145">
        <v>352.8</v>
      </c>
      <c r="F86" s="145"/>
      <c r="G86" s="145">
        <f>E86</f>
        <v>352.8</v>
      </c>
      <c r="H86" s="145"/>
      <c r="I86" s="145"/>
      <c r="J86" s="145"/>
      <c r="K86" s="145"/>
    </row>
    <row r="87" spans="2:11" x14ac:dyDescent="0.25">
      <c r="B87" s="143">
        <v>44652</v>
      </c>
      <c r="C87" s="153" t="s">
        <v>807</v>
      </c>
      <c r="D87" s="151" t="s">
        <v>767</v>
      </c>
      <c r="E87" s="145">
        <v>712.04</v>
      </c>
      <c r="F87" s="145"/>
      <c r="G87" s="145">
        <f>E87</f>
        <v>712.04</v>
      </c>
      <c r="H87" s="145"/>
      <c r="I87" s="145"/>
      <c r="J87" s="145"/>
      <c r="K87" s="145"/>
    </row>
    <row r="88" spans="2:11" x14ac:dyDescent="0.25">
      <c r="B88" s="143">
        <v>44652</v>
      </c>
      <c r="C88" s="153" t="s">
        <v>808</v>
      </c>
      <c r="D88" s="151" t="s">
        <v>767</v>
      </c>
      <c r="E88" s="145">
        <v>7.57</v>
      </c>
      <c r="F88" s="145"/>
      <c r="G88" s="145">
        <f>E88</f>
        <v>7.57</v>
      </c>
      <c r="H88" s="145"/>
      <c r="I88" s="145"/>
      <c r="J88" s="145"/>
      <c r="K88" s="145"/>
    </row>
    <row r="89" spans="2:11" x14ac:dyDescent="0.25">
      <c r="B89" s="143">
        <v>44652</v>
      </c>
      <c r="C89" s="153" t="s">
        <v>809</v>
      </c>
      <c r="D89" s="151" t="s">
        <v>768</v>
      </c>
      <c r="E89" s="145">
        <v>558.91</v>
      </c>
      <c r="F89" s="145"/>
      <c r="G89" s="145"/>
      <c r="H89" s="145"/>
      <c r="I89" s="145"/>
      <c r="J89" s="145">
        <f>E89</f>
        <v>558.91</v>
      </c>
      <c r="K89" s="145"/>
    </row>
    <row r="90" spans="2:11" x14ac:dyDescent="0.25">
      <c r="B90" s="143">
        <v>44652</v>
      </c>
      <c r="C90" s="153" t="s">
        <v>810</v>
      </c>
      <c r="D90" s="151" t="s">
        <v>770</v>
      </c>
      <c r="E90" s="145">
        <v>2040.35</v>
      </c>
      <c r="F90" s="145"/>
      <c r="G90" s="145"/>
      <c r="H90" s="145"/>
      <c r="I90" s="145">
        <f>E90</f>
        <v>2040.35</v>
      </c>
      <c r="J90" s="145"/>
      <c r="K90" s="145"/>
    </row>
    <row r="91" spans="2:11" x14ac:dyDescent="0.25">
      <c r="B91" s="143">
        <v>44682</v>
      </c>
      <c r="C91" s="144">
        <v>422</v>
      </c>
      <c r="D91" s="151" t="s">
        <v>763</v>
      </c>
      <c r="E91" s="163">
        <v>625</v>
      </c>
      <c r="F91" s="163"/>
      <c r="G91" s="163"/>
      <c r="H91" s="163"/>
      <c r="I91" s="163"/>
      <c r="J91" s="163"/>
      <c r="K91" s="163">
        <f>E91</f>
        <v>625</v>
      </c>
    </row>
    <row r="92" spans="2:11" x14ac:dyDescent="0.25">
      <c r="B92" s="143">
        <v>44682</v>
      </c>
      <c r="C92" s="144">
        <v>376708</v>
      </c>
      <c r="D92" s="151" t="s">
        <v>764</v>
      </c>
      <c r="E92" s="145">
        <v>2123.89</v>
      </c>
      <c r="F92" s="145"/>
      <c r="G92" s="145"/>
      <c r="H92" s="145"/>
      <c r="I92" s="145"/>
      <c r="J92" s="145"/>
      <c r="K92" s="145">
        <f>E92</f>
        <v>2123.89</v>
      </c>
    </row>
    <row r="93" spans="2:11" x14ac:dyDescent="0.25">
      <c r="B93" s="143">
        <v>44682</v>
      </c>
      <c r="C93" s="144">
        <v>185514</v>
      </c>
      <c r="D93" s="151" t="s">
        <v>765</v>
      </c>
      <c r="E93" s="145">
        <v>1747.84</v>
      </c>
      <c r="F93" s="145"/>
      <c r="G93" s="145"/>
      <c r="H93" s="145">
        <f>E93</f>
        <v>1747.84</v>
      </c>
      <c r="I93" s="145"/>
      <c r="J93" s="145"/>
      <c r="K93" s="145"/>
    </row>
    <row r="94" spans="2:11" x14ac:dyDescent="0.25">
      <c r="B94" s="143">
        <v>44682</v>
      </c>
      <c r="C94" s="144">
        <v>185386</v>
      </c>
      <c r="D94" s="151" t="s">
        <v>765</v>
      </c>
      <c r="E94" s="145">
        <v>252.14</v>
      </c>
      <c r="F94" s="145"/>
      <c r="G94" s="145"/>
      <c r="H94" s="145">
        <f>E94</f>
        <v>252.14</v>
      </c>
      <c r="I94" s="145"/>
      <c r="J94" s="145"/>
      <c r="K94" s="145"/>
    </row>
    <row r="95" spans="2:11" x14ac:dyDescent="0.25">
      <c r="B95" s="143">
        <v>44682</v>
      </c>
      <c r="C95" s="152">
        <v>991.22727272727275</v>
      </c>
      <c r="D95" s="151" t="s">
        <v>766</v>
      </c>
      <c r="E95" s="145">
        <v>281.33999999999997</v>
      </c>
      <c r="F95" s="145">
        <f>E95</f>
        <v>281.33999999999997</v>
      </c>
      <c r="G95" s="145"/>
      <c r="H95" s="145"/>
      <c r="I95" s="145"/>
      <c r="J95" s="145"/>
      <c r="K95" s="145"/>
    </row>
    <row r="96" spans="2:11" x14ac:dyDescent="0.25">
      <c r="B96" s="143">
        <v>44682</v>
      </c>
      <c r="C96" s="152">
        <v>992.22727272727275</v>
      </c>
      <c r="D96" s="151" t="s">
        <v>766</v>
      </c>
      <c r="E96" s="145">
        <v>281.33999999999997</v>
      </c>
      <c r="F96" s="145">
        <f>E96</f>
        <v>281.33999999999997</v>
      </c>
      <c r="G96" s="145"/>
      <c r="H96" s="145"/>
      <c r="I96" s="145"/>
      <c r="J96" s="145"/>
      <c r="K96" s="145"/>
    </row>
    <row r="97" spans="2:11" x14ac:dyDescent="0.25">
      <c r="B97" s="143">
        <v>44682</v>
      </c>
      <c r="C97" s="152">
        <v>970.22727272727275</v>
      </c>
      <c r="D97" s="151" t="s">
        <v>766</v>
      </c>
      <c r="E97" s="145">
        <v>6958.43</v>
      </c>
      <c r="F97" s="145">
        <f>E97</f>
        <v>6958.43</v>
      </c>
      <c r="G97" s="145"/>
      <c r="H97" s="145"/>
      <c r="I97" s="145"/>
      <c r="J97" s="145"/>
      <c r="K97" s="145"/>
    </row>
    <row r="98" spans="2:11" x14ac:dyDescent="0.25">
      <c r="B98" s="143">
        <v>44682</v>
      </c>
      <c r="C98" s="152">
        <v>747.22727272727275</v>
      </c>
      <c r="D98" s="151" t="s">
        <v>766</v>
      </c>
      <c r="E98" s="145">
        <v>1702.64</v>
      </c>
      <c r="F98" s="145">
        <f>E98</f>
        <v>1702.64</v>
      </c>
      <c r="G98" s="145"/>
      <c r="H98" s="145"/>
      <c r="I98" s="145"/>
      <c r="J98" s="145"/>
      <c r="K98" s="145"/>
    </row>
    <row r="99" spans="2:11" x14ac:dyDescent="0.25">
      <c r="B99" s="143">
        <v>44682</v>
      </c>
      <c r="C99" s="144">
        <v>14321</v>
      </c>
      <c r="D99" s="151" t="s">
        <v>767</v>
      </c>
      <c r="E99" s="145">
        <v>650.5</v>
      </c>
      <c r="F99" s="145"/>
      <c r="G99" s="145">
        <f>E99</f>
        <v>650.5</v>
      </c>
      <c r="H99" s="145"/>
      <c r="I99" s="145"/>
      <c r="J99" s="145"/>
      <c r="K99" s="145"/>
    </row>
    <row r="100" spans="2:11" x14ac:dyDescent="0.25">
      <c r="B100" s="143">
        <v>44682</v>
      </c>
      <c r="C100" s="144">
        <v>26641</v>
      </c>
      <c r="D100" s="151" t="s">
        <v>767</v>
      </c>
      <c r="E100" s="145">
        <v>161.53</v>
      </c>
      <c r="F100" s="145"/>
      <c r="G100" s="145">
        <f>E100</f>
        <v>161.53</v>
      </c>
      <c r="H100" s="145"/>
      <c r="I100" s="145"/>
      <c r="J100" s="145"/>
      <c r="K100" s="145"/>
    </row>
    <row r="101" spans="2:11" x14ac:dyDescent="0.25">
      <c r="B101" s="143">
        <v>44682</v>
      </c>
      <c r="C101" s="144">
        <v>24130</v>
      </c>
      <c r="D101" s="151" t="s">
        <v>768</v>
      </c>
      <c r="E101" s="145">
        <v>387.29</v>
      </c>
      <c r="F101" s="145"/>
      <c r="G101" s="145"/>
      <c r="H101" s="145"/>
      <c r="I101" s="145"/>
      <c r="J101" s="145">
        <f>E101</f>
        <v>387.29</v>
      </c>
      <c r="K101" s="145"/>
    </row>
    <row r="102" spans="2:11" x14ac:dyDescent="0.25">
      <c r="B102" s="143">
        <v>44682</v>
      </c>
      <c r="C102" s="144" t="s">
        <v>811</v>
      </c>
      <c r="D102" s="151" t="s">
        <v>770</v>
      </c>
      <c r="E102" s="145">
        <v>2852.2</v>
      </c>
      <c r="F102" s="145"/>
      <c r="G102" s="145"/>
      <c r="H102" s="145"/>
      <c r="I102" s="145">
        <f>E102</f>
        <v>2852.2</v>
      </c>
      <c r="J102" s="145"/>
      <c r="K102" s="145"/>
    </row>
    <row r="103" spans="2:11" x14ac:dyDescent="0.25">
      <c r="B103" s="143">
        <v>44713</v>
      </c>
      <c r="C103" s="144">
        <v>435</v>
      </c>
      <c r="D103" s="151" t="s">
        <v>763</v>
      </c>
      <c r="E103" s="145">
        <v>625</v>
      </c>
      <c r="F103" s="145"/>
      <c r="G103" s="145"/>
      <c r="H103" s="145"/>
      <c r="I103" s="145"/>
      <c r="J103" s="145"/>
      <c r="K103" s="145">
        <f>E103</f>
        <v>625</v>
      </c>
    </row>
    <row r="104" spans="2:11" x14ac:dyDescent="0.25">
      <c r="B104" s="143">
        <v>44713</v>
      </c>
      <c r="C104" s="144">
        <v>377497</v>
      </c>
      <c r="D104" s="151" t="s">
        <v>764</v>
      </c>
      <c r="E104" s="145">
        <v>2057.4699999999998</v>
      </c>
      <c r="F104" s="145"/>
      <c r="G104" s="145"/>
      <c r="H104" s="145"/>
      <c r="I104" s="145"/>
      <c r="J104" s="145"/>
      <c r="K104" s="145">
        <f>E104</f>
        <v>2057.4699999999998</v>
      </c>
    </row>
    <row r="105" spans="2:11" x14ac:dyDescent="0.25">
      <c r="B105" s="143">
        <v>44713</v>
      </c>
      <c r="C105" s="153" t="s">
        <v>812</v>
      </c>
      <c r="D105" s="151" t="s">
        <v>765</v>
      </c>
      <c r="E105" s="145">
        <v>1747.84</v>
      </c>
      <c r="F105" s="145"/>
      <c r="G105" s="145"/>
      <c r="H105" s="145">
        <f>E105</f>
        <v>1747.84</v>
      </c>
      <c r="I105" s="145"/>
      <c r="J105" s="145"/>
      <c r="K105" s="145"/>
    </row>
    <row r="106" spans="2:11" x14ac:dyDescent="0.25">
      <c r="B106" s="143">
        <v>44713</v>
      </c>
      <c r="C106" s="144">
        <v>185902</v>
      </c>
      <c r="D106" s="151" t="s">
        <v>765</v>
      </c>
      <c r="E106" s="145">
        <v>200.77</v>
      </c>
      <c r="F106" s="145"/>
      <c r="G106" s="145"/>
      <c r="H106" s="145">
        <f>E106</f>
        <v>200.77</v>
      </c>
      <c r="I106" s="145"/>
      <c r="J106" s="145"/>
      <c r="K106" s="145"/>
    </row>
    <row r="107" spans="2:11" x14ac:dyDescent="0.25">
      <c r="B107" s="143">
        <v>44713</v>
      </c>
      <c r="C107" s="153" t="s">
        <v>813</v>
      </c>
      <c r="D107" s="151" t="s">
        <v>766</v>
      </c>
      <c r="E107" s="145">
        <v>281.33999999999997</v>
      </c>
      <c r="F107" s="145">
        <f>E107</f>
        <v>281.33999999999997</v>
      </c>
      <c r="G107" s="145"/>
      <c r="H107" s="145"/>
      <c r="I107" s="145"/>
      <c r="J107" s="145"/>
      <c r="K107" s="145"/>
    </row>
    <row r="108" spans="2:11" x14ac:dyDescent="0.25">
      <c r="B108" s="143">
        <v>44713</v>
      </c>
      <c r="C108" s="153" t="s">
        <v>814</v>
      </c>
      <c r="D108" s="151" t="s">
        <v>766</v>
      </c>
      <c r="E108" s="145">
        <v>1618.28</v>
      </c>
      <c r="F108" s="145">
        <f>E108</f>
        <v>1618.28</v>
      </c>
      <c r="G108" s="145"/>
      <c r="H108" s="145"/>
      <c r="I108" s="145"/>
      <c r="J108" s="145"/>
      <c r="K108" s="145"/>
    </row>
    <row r="109" spans="2:11" x14ac:dyDescent="0.25">
      <c r="B109" s="143">
        <v>44713</v>
      </c>
      <c r="C109" s="153" t="s">
        <v>815</v>
      </c>
      <c r="D109" s="151" t="s">
        <v>766</v>
      </c>
      <c r="E109" s="145">
        <v>281.33999999999997</v>
      </c>
      <c r="F109" s="145">
        <f>E109</f>
        <v>281.33999999999997</v>
      </c>
      <c r="G109" s="145"/>
      <c r="H109" s="145"/>
      <c r="I109" s="145"/>
      <c r="J109" s="145"/>
      <c r="K109" s="145"/>
    </row>
    <row r="110" spans="2:11" x14ac:dyDescent="0.25">
      <c r="B110" s="143">
        <v>44713</v>
      </c>
      <c r="C110" s="153" t="s">
        <v>816</v>
      </c>
      <c r="D110" s="151" t="s">
        <v>766</v>
      </c>
      <c r="E110" s="145">
        <v>3449.34</v>
      </c>
      <c r="F110" s="145">
        <f>E110</f>
        <v>3449.34</v>
      </c>
      <c r="G110" s="145"/>
      <c r="H110" s="145"/>
      <c r="I110" s="145"/>
      <c r="J110" s="145"/>
      <c r="K110" s="145"/>
    </row>
    <row r="111" spans="2:11" x14ac:dyDescent="0.25">
      <c r="B111" s="143">
        <v>44713</v>
      </c>
      <c r="C111" s="153" t="s">
        <v>817</v>
      </c>
      <c r="D111" s="151" t="s">
        <v>767</v>
      </c>
      <c r="E111" s="145">
        <v>948.76</v>
      </c>
      <c r="F111" s="145"/>
      <c r="G111" s="145">
        <f>E111</f>
        <v>948.76</v>
      </c>
      <c r="H111" s="145"/>
      <c r="I111" s="145"/>
      <c r="J111" s="145"/>
      <c r="K111" s="145"/>
    </row>
    <row r="112" spans="2:11" x14ac:dyDescent="0.25">
      <c r="B112" s="143">
        <v>44713</v>
      </c>
      <c r="C112" s="144" t="s">
        <v>818</v>
      </c>
      <c r="D112" s="151" t="s">
        <v>768</v>
      </c>
      <c r="E112" s="145">
        <v>412.28</v>
      </c>
      <c r="F112" s="145"/>
      <c r="G112" s="145"/>
      <c r="H112" s="145"/>
      <c r="I112" s="145"/>
      <c r="J112" s="145">
        <f>E112</f>
        <v>412.28</v>
      </c>
      <c r="K112" s="145"/>
    </row>
    <row r="113" spans="2:11" x14ac:dyDescent="0.25">
      <c r="B113" s="143">
        <v>44713</v>
      </c>
      <c r="C113" s="144" t="s">
        <v>819</v>
      </c>
      <c r="D113" s="151" t="s">
        <v>770</v>
      </c>
      <c r="E113" s="145">
        <v>2035.35</v>
      </c>
      <c r="F113" s="145"/>
      <c r="G113" s="145"/>
      <c r="H113" s="145"/>
      <c r="I113" s="145">
        <f>E113</f>
        <v>2035.35</v>
      </c>
      <c r="J113" s="145"/>
      <c r="K113" s="145"/>
    </row>
    <row r="114" spans="2:11" x14ac:dyDescent="0.25">
      <c r="B114" s="143">
        <v>44743</v>
      </c>
      <c r="C114" s="144">
        <v>449</v>
      </c>
      <c r="D114" s="151" t="s">
        <v>763</v>
      </c>
      <c r="E114" s="145">
        <v>625</v>
      </c>
      <c r="F114" s="145"/>
      <c r="G114" s="145"/>
      <c r="H114" s="145"/>
      <c r="I114" s="145"/>
      <c r="J114" s="145"/>
      <c r="K114" s="145">
        <f>E114</f>
        <v>625</v>
      </c>
    </row>
    <row r="115" spans="2:11" x14ac:dyDescent="0.25">
      <c r="B115" s="143">
        <v>44743</v>
      </c>
      <c r="C115" s="144">
        <v>462</v>
      </c>
      <c r="D115" s="151" t="s">
        <v>763</v>
      </c>
      <c r="E115" s="145">
        <v>625</v>
      </c>
      <c r="F115" s="145"/>
      <c r="G115" s="145"/>
      <c r="H115" s="145"/>
      <c r="I115" s="145"/>
      <c r="J115" s="145"/>
      <c r="K115" s="145">
        <f>E115</f>
        <v>625</v>
      </c>
    </row>
    <row r="116" spans="2:11" x14ac:dyDescent="0.25">
      <c r="B116" s="143">
        <v>44743</v>
      </c>
      <c r="C116" s="144">
        <v>378421</v>
      </c>
      <c r="D116" s="151" t="s">
        <v>764</v>
      </c>
      <c r="E116" s="145">
        <v>2072.9499999999998</v>
      </c>
      <c r="F116" s="145"/>
      <c r="G116" s="145"/>
      <c r="H116" s="145"/>
      <c r="I116" s="145"/>
      <c r="J116" s="145"/>
      <c r="K116" s="145">
        <f>E116</f>
        <v>2072.9499999999998</v>
      </c>
    </row>
    <row r="117" spans="2:11" x14ac:dyDescent="0.25">
      <c r="B117" s="143">
        <v>44743</v>
      </c>
      <c r="C117" s="144">
        <v>186406</v>
      </c>
      <c r="D117" s="151" t="s">
        <v>765</v>
      </c>
      <c r="E117" s="145">
        <v>138.44999999999999</v>
      </c>
      <c r="F117" s="145"/>
      <c r="G117" s="145"/>
      <c r="H117" s="145">
        <f>E117</f>
        <v>138.44999999999999</v>
      </c>
      <c r="I117" s="145"/>
      <c r="J117" s="145"/>
      <c r="K117" s="145"/>
    </row>
    <row r="118" spans="2:11" x14ac:dyDescent="0.25">
      <c r="B118" s="143">
        <v>44743</v>
      </c>
      <c r="C118" s="144">
        <v>186530</v>
      </c>
      <c r="D118" s="151" t="s">
        <v>765</v>
      </c>
      <c r="E118" s="145">
        <v>1747.84</v>
      </c>
      <c r="F118" s="145"/>
      <c r="G118" s="145"/>
      <c r="H118" s="145">
        <f>E118</f>
        <v>1747.84</v>
      </c>
      <c r="I118" s="145"/>
      <c r="J118" s="145"/>
      <c r="K118" s="145"/>
    </row>
    <row r="119" spans="2:11" x14ac:dyDescent="0.25">
      <c r="B119" s="143">
        <v>44743</v>
      </c>
      <c r="C119" s="144" t="s">
        <v>820</v>
      </c>
      <c r="D119" s="151" t="s">
        <v>766</v>
      </c>
      <c r="E119" s="145">
        <v>281.33999999999997</v>
      </c>
      <c r="F119" s="145">
        <f>E119</f>
        <v>281.33999999999997</v>
      </c>
      <c r="G119" s="145"/>
      <c r="H119" s="145"/>
      <c r="I119" s="145"/>
      <c r="J119" s="145"/>
      <c r="K119" s="145"/>
    </row>
    <row r="120" spans="2:11" x14ac:dyDescent="0.25">
      <c r="B120" s="143">
        <v>44743</v>
      </c>
      <c r="C120" s="144" t="s">
        <v>821</v>
      </c>
      <c r="D120" s="151" t="s">
        <v>766</v>
      </c>
      <c r="E120" s="145">
        <v>6937.48</v>
      </c>
      <c r="F120" s="145">
        <f>E120</f>
        <v>6937.48</v>
      </c>
      <c r="G120" s="145"/>
      <c r="H120" s="145"/>
      <c r="I120" s="145"/>
      <c r="J120" s="145"/>
      <c r="K120" s="145"/>
    </row>
    <row r="121" spans="2:11" x14ac:dyDescent="0.25">
      <c r="B121" s="143">
        <v>44743</v>
      </c>
      <c r="C121" s="144" t="s">
        <v>822</v>
      </c>
      <c r="D121" s="151" t="s">
        <v>766</v>
      </c>
      <c r="E121" s="145">
        <v>281.33999999999997</v>
      </c>
      <c r="F121" s="145">
        <f>E121</f>
        <v>281.33999999999997</v>
      </c>
      <c r="G121" s="145"/>
      <c r="H121" s="145"/>
      <c r="I121" s="145"/>
      <c r="J121" s="145"/>
      <c r="K121" s="145"/>
    </row>
    <row r="122" spans="2:11" x14ac:dyDescent="0.25">
      <c r="B122" s="143">
        <v>44743</v>
      </c>
      <c r="C122" s="144" t="s">
        <v>823</v>
      </c>
      <c r="D122" s="151" t="s">
        <v>766</v>
      </c>
      <c r="E122" s="145">
        <v>1712.24</v>
      </c>
      <c r="F122" s="145">
        <f>E122</f>
        <v>1712.24</v>
      </c>
      <c r="G122" s="145"/>
      <c r="H122" s="145"/>
      <c r="I122" s="145"/>
      <c r="J122" s="145"/>
      <c r="K122" s="145"/>
    </row>
    <row r="123" spans="2:11" x14ac:dyDescent="0.25">
      <c r="B123" s="143">
        <v>44743</v>
      </c>
      <c r="C123" s="152">
        <v>17321.31818181818</v>
      </c>
      <c r="D123" s="151" t="s">
        <v>767</v>
      </c>
      <c r="E123" s="145">
        <v>697.94</v>
      </c>
      <c r="F123" s="145"/>
      <c r="G123" s="145">
        <f>E123</f>
        <v>697.94</v>
      </c>
      <c r="H123" s="145"/>
      <c r="I123" s="145"/>
      <c r="J123" s="145"/>
      <c r="K123" s="145"/>
    </row>
    <row r="124" spans="2:11" x14ac:dyDescent="0.25">
      <c r="B124" s="143">
        <v>44743</v>
      </c>
      <c r="C124" s="144">
        <v>24130</v>
      </c>
      <c r="D124" s="151" t="s">
        <v>768</v>
      </c>
      <c r="E124" s="145">
        <v>387.29</v>
      </c>
      <c r="F124" s="145"/>
      <c r="G124" s="145"/>
      <c r="H124" s="145"/>
      <c r="I124" s="145"/>
      <c r="J124" s="145">
        <f>E124</f>
        <v>387.29</v>
      </c>
      <c r="K124" s="145"/>
    </row>
    <row r="125" spans="2:11" x14ac:dyDescent="0.25">
      <c r="B125" s="143">
        <v>44743</v>
      </c>
      <c r="C125" s="144">
        <v>10614</v>
      </c>
      <c r="D125" s="151" t="s">
        <v>770</v>
      </c>
      <c r="E125" s="145">
        <v>2035.35</v>
      </c>
      <c r="F125" s="145"/>
      <c r="G125" s="145"/>
      <c r="H125" s="145"/>
      <c r="I125" s="145">
        <f>E125</f>
        <v>2035.35</v>
      </c>
      <c r="J125" s="145"/>
      <c r="K125" s="145"/>
    </row>
    <row r="126" spans="2:11" x14ac:dyDescent="0.25">
      <c r="B126" s="143">
        <v>44774</v>
      </c>
      <c r="C126" s="144" t="s">
        <v>824</v>
      </c>
      <c r="D126" s="151" t="s">
        <v>764</v>
      </c>
      <c r="E126" s="145">
        <v>2016.07</v>
      </c>
      <c r="F126" s="145"/>
      <c r="G126" s="145"/>
      <c r="H126" s="145"/>
      <c r="I126" s="145"/>
      <c r="J126" s="145"/>
      <c r="K126" s="145">
        <f>E126</f>
        <v>2016.07</v>
      </c>
    </row>
    <row r="127" spans="2:11" x14ac:dyDescent="0.25">
      <c r="B127" s="143">
        <v>44774</v>
      </c>
      <c r="C127" s="144">
        <v>186937</v>
      </c>
      <c r="D127" s="151" t="s">
        <v>765</v>
      </c>
      <c r="E127" s="145">
        <v>269.02</v>
      </c>
      <c r="F127" s="145"/>
      <c r="G127" s="145"/>
      <c r="H127" s="145">
        <f>E127</f>
        <v>269.02</v>
      </c>
      <c r="I127" s="145"/>
      <c r="J127" s="145"/>
      <c r="K127" s="145"/>
    </row>
    <row r="128" spans="2:11" x14ac:dyDescent="0.25">
      <c r="B128" s="143">
        <v>44774</v>
      </c>
      <c r="C128" s="144">
        <v>187059</v>
      </c>
      <c r="D128" s="151" t="s">
        <v>765</v>
      </c>
      <c r="E128" s="145">
        <v>1747.84</v>
      </c>
      <c r="F128" s="145"/>
      <c r="G128" s="145"/>
      <c r="H128" s="145">
        <f>E128</f>
        <v>1747.84</v>
      </c>
      <c r="I128" s="145"/>
      <c r="J128" s="145"/>
      <c r="K128" s="145"/>
    </row>
    <row r="129" spans="2:11" x14ac:dyDescent="0.25">
      <c r="B129" s="143">
        <v>44774</v>
      </c>
      <c r="C129" s="153" t="s">
        <v>825</v>
      </c>
      <c r="D129" s="151" t="s">
        <v>766</v>
      </c>
      <c r="E129" s="145">
        <v>6903.62</v>
      </c>
      <c r="F129" s="145">
        <f>E129</f>
        <v>6903.62</v>
      </c>
      <c r="G129" s="145"/>
      <c r="H129" s="145"/>
      <c r="I129" s="145"/>
      <c r="J129" s="145"/>
      <c r="K129" s="145"/>
    </row>
    <row r="130" spans="2:11" x14ac:dyDescent="0.25">
      <c r="B130" s="143">
        <v>44774</v>
      </c>
      <c r="C130" s="153" t="s">
        <v>826</v>
      </c>
      <c r="D130" s="151" t="s">
        <v>766</v>
      </c>
      <c r="E130" s="145">
        <v>1715.72</v>
      </c>
      <c r="F130" s="145">
        <f>E130</f>
        <v>1715.72</v>
      </c>
      <c r="G130" s="145"/>
      <c r="H130" s="145"/>
      <c r="I130" s="145"/>
      <c r="J130" s="145"/>
      <c r="K130" s="145"/>
    </row>
    <row r="131" spans="2:11" x14ac:dyDescent="0.25">
      <c r="B131" s="143">
        <v>44774</v>
      </c>
      <c r="C131" s="153" t="s">
        <v>827</v>
      </c>
      <c r="D131" s="151" t="s">
        <v>766</v>
      </c>
      <c r="E131" s="145">
        <v>281.33999999999997</v>
      </c>
      <c r="F131" s="145">
        <f>E131</f>
        <v>281.33999999999997</v>
      </c>
      <c r="G131" s="145"/>
      <c r="H131" s="145"/>
      <c r="I131" s="145"/>
      <c r="J131" s="145"/>
      <c r="K131" s="145"/>
    </row>
    <row r="132" spans="2:11" x14ac:dyDescent="0.25">
      <c r="B132" s="143">
        <v>44774</v>
      </c>
      <c r="C132" s="153" t="s">
        <v>828</v>
      </c>
      <c r="D132" s="151" t="s">
        <v>766</v>
      </c>
      <c r="E132" s="145">
        <v>281.33999999999997</v>
      </c>
      <c r="F132" s="145">
        <f>E132</f>
        <v>281.33999999999997</v>
      </c>
      <c r="G132" s="145"/>
      <c r="H132" s="145"/>
      <c r="I132" s="145"/>
      <c r="J132" s="145"/>
      <c r="K132" s="145"/>
    </row>
    <row r="133" spans="2:11" x14ac:dyDescent="0.25">
      <c r="B133" s="143">
        <v>44774</v>
      </c>
      <c r="C133" s="153" t="s">
        <v>829</v>
      </c>
      <c r="D133" s="151" t="s">
        <v>767</v>
      </c>
      <c r="E133" s="145">
        <v>735.17</v>
      </c>
      <c r="F133" s="145"/>
      <c r="G133" s="145">
        <f>E133</f>
        <v>735.17</v>
      </c>
      <c r="H133" s="145"/>
      <c r="I133" s="145"/>
      <c r="J133" s="145"/>
      <c r="K133" s="145"/>
    </row>
    <row r="134" spans="2:11" x14ac:dyDescent="0.25">
      <c r="B134" s="143">
        <v>44774</v>
      </c>
      <c r="C134" s="153" t="s">
        <v>830</v>
      </c>
      <c r="D134" s="151" t="s">
        <v>768</v>
      </c>
      <c r="E134" s="145">
        <v>473.52</v>
      </c>
      <c r="F134" s="145"/>
      <c r="G134" s="145"/>
      <c r="H134" s="145"/>
      <c r="I134" s="145"/>
      <c r="J134" s="145">
        <f>E134</f>
        <v>473.52</v>
      </c>
      <c r="K134" s="145"/>
    </row>
    <row r="135" spans="2:11" x14ac:dyDescent="0.25">
      <c r="B135" s="143">
        <v>44774</v>
      </c>
      <c r="C135" s="144">
        <v>10619</v>
      </c>
      <c r="D135" s="151" t="s">
        <v>770</v>
      </c>
      <c r="E135" s="145">
        <v>2810.55</v>
      </c>
      <c r="F135" s="145"/>
      <c r="G135" s="145"/>
      <c r="H135" s="145"/>
      <c r="I135" s="145">
        <f>E135</f>
        <v>2810.55</v>
      </c>
      <c r="J135" s="145"/>
      <c r="K135" s="145"/>
    </row>
    <row r="136" spans="2:11" x14ac:dyDescent="0.25">
      <c r="B136" s="143">
        <v>44805</v>
      </c>
      <c r="C136" s="144">
        <v>476</v>
      </c>
      <c r="D136" s="151" t="s">
        <v>763</v>
      </c>
      <c r="E136" s="145">
        <v>625</v>
      </c>
      <c r="F136" s="145"/>
      <c r="G136" s="145"/>
      <c r="H136" s="145"/>
      <c r="I136" s="145"/>
      <c r="J136" s="145"/>
      <c r="K136" s="145">
        <f>E136</f>
        <v>625</v>
      </c>
    </row>
    <row r="137" spans="2:11" x14ac:dyDescent="0.25">
      <c r="B137" s="143">
        <v>44805</v>
      </c>
      <c r="C137" s="144" t="s">
        <v>831</v>
      </c>
      <c r="D137" s="151" t="s">
        <v>764</v>
      </c>
      <c r="E137" s="145">
        <v>2106.81</v>
      </c>
      <c r="F137" s="145"/>
      <c r="G137" s="145"/>
      <c r="H137" s="145"/>
      <c r="I137" s="145"/>
      <c r="J137" s="145"/>
      <c r="K137" s="145">
        <f>E137</f>
        <v>2106.81</v>
      </c>
    </row>
    <row r="138" spans="2:11" x14ac:dyDescent="0.25">
      <c r="B138" s="143">
        <v>44805</v>
      </c>
      <c r="C138" s="144">
        <v>187591</v>
      </c>
      <c r="D138" s="151" t="s">
        <v>765</v>
      </c>
      <c r="E138" s="145">
        <v>1747.84</v>
      </c>
      <c r="F138" s="145"/>
      <c r="G138" s="145"/>
      <c r="H138" s="145">
        <f>E138</f>
        <v>1747.84</v>
      </c>
      <c r="I138" s="145"/>
      <c r="J138" s="145"/>
      <c r="K138" s="145"/>
    </row>
    <row r="139" spans="2:11" x14ac:dyDescent="0.25">
      <c r="B139" s="143">
        <v>44805</v>
      </c>
      <c r="C139" s="152">
        <v>970.40909090909088</v>
      </c>
      <c r="D139" s="151" t="s">
        <v>766</v>
      </c>
      <c r="E139" s="145">
        <v>6976.65</v>
      </c>
      <c r="F139" s="145">
        <f>E139</f>
        <v>6976.65</v>
      </c>
      <c r="G139" s="145"/>
      <c r="H139" s="145"/>
      <c r="I139" s="145"/>
      <c r="J139" s="145"/>
      <c r="K139" s="145"/>
    </row>
    <row r="140" spans="2:11" x14ac:dyDescent="0.25">
      <c r="B140" s="143">
        <v>44805</v>
      </c>
      <c r="C140" s="152">
        <v>992.40909090909088</v>
      </c>
      <c r="D140" s="151" t="s">
        <v>766</v>
      </c>
      <c r="E140" s="145">
        <v>281.33999999999997</v>
      </c>
      <c r="F140" s="145">
        <f>E140</f>
        <v>281.33999999999997</v>
      </c>
      <c r="G140" s="145"/>
      <c r="H140" s="145"/>
      <c r="I140" s="145"/>
      <c r="J140" s="145"/>
      <c r="K140" s="145"/>
    </row>
    <row r="141" spans="2:11" x14ac:dyDescent="0.25">
      <c r="B141" s="143">
        <v>44805</v>
      </c>
      <c r="C141" s="152">
        <v>747.40909090909088</v>
      </c>
      <c r="D141" s="151" t="s">
        <v>766</v>
      </c>
      <c r="E141" s="145">
        <v>1661.48</v>
      </c>
      <c r="F141" s="145">
        <f>E141</f>
        <v>1661.48</v>
      </c>
      <c r="G141" s="145"/>
      <c r="H141" s="145"/>
      <c r="I141" s="145"/>
      <c r="J141" s="145"/>
      <c r="K141" s="145"/>
    </row>
    <row r="142" spans="2:11" x14ac:dyDescent="0.25">
      <c r="B142" s="143">
        <v>44805</v>
      </c>
      <c r="C142" s="152">
        <v>991.40909090909088</v>
      </c>
      <c r="D142" s="151" t="s">
        <v>766</v>
      </c>
      <c r="E142" s="145">
        <v>281.33999999999997</v>
      </c>
      <c r="F142" s="145">
        <f>E142</f>
        <v>281.33999999999997</v>
      </c>
      <c r="G142" s="145"/>
      <c r="H142" s="145"/>
      <c r="I142" s="145"/>
      <c r="J142" s="145"/>
      <c r="K142" s="145"/>
    </row>
    <row r="143" spans="2:11" x14ac:dyDescent="0.25">
      <c r="B143" s="143">
        <v>44805</v>
      </c>
      <c r="C143" s="144">
        <v>14321</v>
      </c>
      <c r="D143" s="151" t="s">
        <v>767</v>
      </c>
      <c r="E143" s="145">
        <v>666.66</v>
      </c>
      <c r="F143" s="145"/>
      <c r="G143" s="145">
        <f>E143</f>
        <v>666.66</v>
      </c>
      <c r="H143" s="145"/>
      <c r="I143" s="145"/>
      <c r="J143" s="145"/>
      <c r="K143" s="145"/>
    </row>
    <row r="144" spans="2:11" x14ac:dyDescent="0.25">
      <c r="B144" s="143">
        <v>44805</v>
      </c>
      <c r="C144" s="144">
        <v>24130</v>
      </c>
      <c r="D144" s="151" t="s">
        <v>768</v>
      </c>
      <c r="E144" s="145">
        <v>387.29</v>
      </c>
      <c r="F144" s="145"/>
      <c r="G144" s="145"/>
      <c r="H144" s="145"/>
      <c r="I144" s="145"/>
      <c r="J144" s="145">
        <f>E144</f>
        <v>387.29</v>
      </c>
      <c r="K144" s="145"/>
    </row>
    <row r="145" spans="2:15" x14ac:dyDescent="0.25">
      <c r="B145" s="143">
        <v>44805</v>
      </c>
      <c r="C145" s="144">
        <v>10624</v>
      </c>
      <c r="D145" s="151" t="s">
        <v>770</v>
      </c>
      <c r="E145" s="145">
        <v>2035.35</v>
      </c>
      <c r="F145" s="145"/>
      <c r="G145" s="145"/>
      <c r="H145" s="145"/>
      <c r="I145" s="145">
        <f>E145</f>
        <v>2035.35</v>
      </c>
      <c r="J145" s="145"/>
      <c r="K145" s="145"/>
    </row>
    <row r="146" spans="2:15" x14ac:dyDescent="0.25">
      <c r="E146" s="156">
        <f t="shared" ref="E146:K146" si="0">SUM(E11:E145)</f>
        <v>199296.08999999994</v>
      </c>
      <c r="F146" s="156">
        <f t="shared" si="0"/>
        <v>102743.98999999993</v>
      </c>
      <c r="G146" s="156">
        <f t="shared" si="0"/>
        <v>8097.92</v>
      </c>
      <c r="H146" s="156">
        <f t="shared" si="0"/>
        <v>23473.65</v>
      </c>
      <c r="I146" s="156">
        <f t="shared" si="0"/>
        <v>27080.009999999995</v>
      </c>
      <c r="J146" s="156">
        <f t="shared" si="0"/>
        <v>5475.5899999999992</v>
      </c>
      <c r="K146" s="156">
        <f t="shared" si="0"/>
        <v>32424.930000000004</v>
      </c>
      <c r="L146" s="156">
        <f>SUM(F146:K146)</f>
        <v>199296.08999999994</v>
      </c>
      <c r="O146" s="145"/>
    </row>
    <row r="147" spans="2:15" x14ac:dyDescent="0.25">
      <c r="O147" s="145"/>
    </row>
    <row r="148" spans="2:15" x14ac:dyDescent="0.25">
      <c r="D148" s="160" t="s">
        <v>832</v>
      </c>
    </row>
    <row r="149" spans="2:15" x14ac:dyDescent="0.25">
      <c r="B149" s="144"/>
      <c r="D149" s="144"/>
    </row>
    <row r="150" spans="2:15" x14ac:dyDescent="0.25">
      <c r="B150" s="143">
        <v>44835</v>
      </c>
      <c r="C150" s="144">
        <v>10629</v>
      </c>
      <c r="D150" s="151" t="s">
        <v>770</v>
      </c>
      <c r="E150" s="145">
        <v>2035.35</v>
      </c>
      <c r="F150" s="145"/>
      <c r="G150" s="145"/>
      <c r="H150" s="145"/>
      <c r="I150" s="145">
        <f>E150</f>
        <v>2035.35</v>
      </c>
      <c r="J150" s="145"/>
      <c r="K150" s="145"/>
    </row>
    <row r="151" spans="2:15" x14ac:dyDescent="0.25">
      <c r="B151" s="143">
        <v>44835</v>
      </c>
      <c r="C151" s="144">
        <v>489</v>
      </c>
      <c r="D151" s="151" t="s">
        <v>763</v>
      </c>
      <c r="E151" s="145">
        <v>625</v>
      </c>
      <c r="F151" s="145"/>
      <c r="G151" s="145"/>
      <c r="H151" s="145"/>
      <c r="I151" s="145"/>
      <c r="J151" s="145"/>
      <c r="K151" s="145">
        <f>E151</f>
        <v>625</v>
      </c>
    </row>
    <row r="152" spans="2:15" x14ac:dyDescent="0.25">
      <c r="E152" s="284">
        <f>SUM(E150:E151)</f>
        <v>2660.35</v>
      </c>
      <c r="F152" s="244" t="s">
        <v>318</v>
      </c>
      <c r="I152" s="155">
        <f>SUM(I150:I151)</f>
        <v>2035.35</v>
      </c>
      <c r="K152" s="155">
        <f>SUM(K150:K151)</f>
        <v>625</v>
      </c>
    </row>
    <row r="153" spans="2:15" ht="14.25" customHeight="1" x14ac:dyDescent="0.25"/>
    <row r="154" spans="2:15" x14ac:dyDescent="0.25">
      <c r="E154" s="282"/>
      <c r="F154" s="145"/>
      <c r="G154" s="145"/>
      <c r="H154" s="145"/>
      <c r="I154" s="145"/>
      <c r="J154" s="145"/>
      <c r="K154" s="145"/>
      <c r="O154" s="145"/>
    </row>
    <row r="155" spans="2:15" x14ac:dyDescent="0.25">
      <c r="E155" s="282"/>
      <c r="F155" s="145"/>
      <c r="G155" s="145"/>
      <c r="H155" s="145">
        <f>H146</f>
        <v>23473.65</v>
      </c>
      <c r="I155" s="145"/>
      <c r="J155" s="145"/>
      <c r="K155" s="145"/>
      <c r="O155" s="145"/>
    </row>
    <row r="156" spans="2:15" x14ac:dyDescent="0.25">
      <c r="E156" s="282"/>
      <c r="F156" s="145" t="s">
        <v>984</v>
      </c>
      <c r="G156" s="145"/>
      <c r="H156" s="283">
        <v>8.4000000000000005E-2</v>
      </c>
      <c r="I156" s="145"/>
      <c r="J156" s="145"/>
      <c r="K156" s="145"/>
      <c r="O156" s="145"/>
    </row>
    <row r="157" spans="2:15" x14ac:dyDescent="0.25">
      <c r="E157" s="145"/>
      <c r="F157" s="145"/>
      <c r="G157" s="145"/>
      <c r="H157" s="284">
        <f>H155*H156</f>
        <v>1971.7866000000001</v>
      </c>
      <c r="I157" s="245" t="s">
        <v>986</v>
      </c>
      <c r="J157" s="145"/>
      <c r="K157" s="145"/>
      <c r="O157" s="14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1E4CA-2085-4359-BDCF-21A12A455277}">
  <sheetPr>
    <pageSetUpPr fitToPage="1"/>
  </sheetPr>
  <dimension ref="A1:J31"/>
  <sheetViews>
    <sheetView workbookViewId="0">
      <selection activeCell="A21" sqref="A21"/>
    </sheetView>
  </sheetViews>
  <sheetFormatPr defaultRowHeight="15" x14ac:dyDescent="0.25"/>
  <cols>
    <col min="1" max="1" width="2.42578125" style="165" customWidth="1"/>
    <col min="2" max="2" width="33.140625" style="165" customWidth="1"/>
    <col min="3" max="3" width="12.42578125" style="165" bestFit="1" customWidth="1"/>
    <col min="4" max="4" width="14.42578125" style="165" bestFit="1" customWidth="1"/>
    <col min="5" max="5" width="10.5703125" style="165" bestFit="1" customWidth="1"/>
    <col min="6" max="6" width="14.5703125" style="165" bestFit="1" customWidth="1"/>
    <col min="7" max="7" width="5.85546875" style="165" customWidth="1"/>
    <col min="8" max="8" width="19.28515625" style="165" bestFit="1" customWidth="1"/>
    <col min="9" max="9" width="19.42578125" style="303" bestFit="1" customWidth="1"/>
    <col min="10" max="10" width="34.85546875" style="165" customWidth="1"/>
    <col min="11" max="16384" width="9.140625" style="165"/>
  </cols>
  <sheetData>
    <row r="1" spans="1:10" ht="18.75" x14ac:dyDescent="0.3">
      <c r="B1" s="126" t="s">
        <v>0</v>
      </c>
    </row>
    <row r="2" spans="1:10" ht="15.75" x14ac:dyDescent="0.25">
      <c r="B2" s="128" t="s">
        <v>833</v>
      </c>
    </row>
    <row r="3" spans="1:10" x14ac:dyDescent="0.25">
      <c r="B3" s="292" t="s">
        <v>1000</v>
      </c>
    </row>
    <row r="5" spans="1:10" ht="15" customHeight="1" x14ac:dyDescent="0.25">
      <c r="B5" s="292"/>
      <c r="C5" s="292"/>
      <c r="D5" s="292"/>
      <c r="E5" s="293"/>
      <c r="F5" s="293"/>
      <c r="G5" s="292"/>
      <c r="H5" s="324" t="s">
        <v>1005</v>
      </c>
      <c r="I5" s="324"/>
      <c r="J5" s="292"/>
    </row>
    <row r="6" spans="1:10" x14ac:dyDescent="0.25">
      <c r="B6" s="292"/>
      <c r="C6" s="292"/>
      <c r="D6" s="292"/>
      <c r="E6" s="293"/>
      <c r="F6" s="293"/>
      <c r="G6" s="292"/>
      <c r="H6" s="314">
        <v>1.2323</v>
      </c>
      <c r="I6" s="300" t="s">
        <v>999</v>
      </c>
      <c r="J6" s="292"/>
    </row>
    <row r="7" spans="1:10" x14ac:dyDescent="0.25">
      <c r="B7" s="292"/>
      <c r="C7" s="292"/>
      <c r="D7" s="292"/>
      <c r="E7" s="293"/>
      <c r="F7" s="293"/>
      <c r="G7" s="292"/>
      <c r="H7" s="292"/>
      <c r="I7" s="300"/>
      <c r="J7" s="292"/>
    </row>
    <row r="8" spans="1:10" x14ac:dyDescent="0.25">
      <c r="A8" s="166"/>
      <c r="B8" s="296" t="s">
        <v>362</v>
      </c>
      <c r="C8" s="292"/>
      <c r="D8" s="304" t="s">
        <v>994</v>
      </c>
      <c r="E8" s="305" t="s">
        <v>668</v>
      </c>
      <c r="F8" s="295" t="s">
        <v>995</v>
      </c>
      <c r="G8" s="306"/>
      <c r="H8" s="307" t="s">
        <v>997</v>
      </c>
      <c r="I8" s="308" t="s">
        <v>998</v>
      </c>
      <c r="J8" s="292"/>
    </row>
    <row r="9" spans="1:10" x14ac:dyDescent="0.25">
      <c r="A9" s="166"/>
      <c r="B9" s="296"/>
      <c r="C9" s="292"/>
      <c r="D9" s="304"/>
      <c r="E9" s="305"/>
      <c r="F9" s="295"/>
      <c r="G9" s="306"/>
      <c r="H9" s="307"/>
      <c r="I9" s="308"/>
      <c r="J9" s="292"/>
    </row>
    <row r="10" spans="1:10" x14ac:dyDescent="0.25">
      <c r="B10" s="292" t="s">
        <v>835</v>
      </c>
      <c r="C10" s="292"/>
      <c r="D10" s="301">
        <v>303</v>
      </c>
      <c r="E10" s="297">
        <v>12723</v>
      </c>
      <c r="F10" s="297">
        <f>D10*E10</f>
        <v>3855069</v>
      </c>
      <c r="G10" s="292"/>
      <c r="H10" s="313">
        <f>ROUND($H$6*D10,0)</f>
        <v>373</v>
      </c>
      <c r="I10" s="300">
        <f>+E10*H10</f>
        <v>4745679</v>
      </c>
      <c r="J10" s="292"/>
    </row>
    <row r="11" spans="1:10" x14ac:dyDescent="0.25">
      <c r="B11" s="292" t="s">
        <v>836</v>
      </c>
      <c r="C11" s="292"/>
      <c r="D11" s="301">
        <f>+D10*1.5</f>
        <v>454.5</v>
      </c>
      <c r="E11" s="297">
        <v>2047.5</v>
      </c>
      <c r="F11" s="297">
        <f t="shared" ref="F11:F13" si="0">D11*E11</f>
        <v>930588.75</v>
      </c>
      <c r="G11" s="292"/>
      <c r="H11" s="313">
        <f>+H10*1.5</f>
        <v>559.5</v>
      </c>
      <c r="I11" s="300">
        <f t="shared" ref="I11:I13" si="1">+E11*H11</f>
        <v>1145576.25</v>
      </c>
      <c r="J11" s="292"/>
    </row>
    <row r="12" spans="1:10" x14ac:dyDescent="0.25">
      <c r="B12" s="292" t="s">
        <v>837</v>
      </c>
      <c r="C12" s="292"/>
      <c r="D12" s="301">
        <f>+D10*2</f>
        <v>606</v>
      </c>
      <c r="E12" s="297">
        <v>264.25</v>
      </c>
      <c r="F12" s="297">
        <f t="shared" si="0"/>
        <v>160135.5</v>
      </c>
      <c r="G12" s="292"/>
      <c r="H12" s="313">
        <f>+H10*2</f>
        <v>746</v>
      </c>
      <c r="I12" s="300">
        <f t="shared" si="1"/>
        <v>197130.5</v>
      </c>
      <c r="J12" s="292"/>
    </row>
    <row r="13" spans="1:10" x14ac:dyDescent="0.25">
      <c r="B13" s="292" t="s">
        <v>838</v>
      </c>
      <c r="C13" s="292"/>
      <c r="D13" s="301">
        <f>+D10*3</f>
        <v>909</v>
      </c>
      <c r="E13" s="297">
        <v>63.25</v>
      </c>
      <c r="F13" s="297">
        <f t="shared" si="0"/>
        <v>57494.25</v>
      </c>
      <c r="G13" s="292"/>
      <c r="H13" s="313">
        <f>+H10*3</f>
        <v>1119</v>
      </c>
      <c r="I13" s="300">
        <f t="shared" si="1"/>
        <v>70776.75</v>
      </c>
      <c r="J13" s="292"/>
    </row>
    <row r="14" spans="1:10" s="271" customFormat="1" x14ac:dyDescent="0.25">
      <c r="B14" s="306" t="s">
        <v>839</v>
      </c>
      <c r="C14" s="306"/>
      <c r="D14" s="309"/>
      <c r="E14" s="310">
        <f>SUM(E10:E13)</f>
        <v>15098</v>
      </c>
      <c r="F14" s="311">
        <f>SUM(F10:F13)</f>
        <v>5003287.5</v>
      </c>
      <c r="G14" s="306"/>
      <c r="H14" s="309"/>
      <c r="I14" s="312">
        <f>SUM(I10:I13)</f>
        <v>6159162.5</v>
      </c>
      <c r="J14" s="306"/>
    </row>
    <row r="15" spans="1:10" x14ac:dyDescent="0.25">
      <c r="B15" s="292"/>
      <c r="C15" s="292"/>
      <c r="D15" s="301"/>
      <c r="E15" s="300"/>
      <c r="F15" s="299"/>
      <c r="G15" s="292"/>
      <c r="H15" s="301"/>
      <c r="I15" s="300"/>
      <c r="J15" s="292"/>
    </row>
    <row r="16" spans="1:10" x14ac:dyDescent="0.25">
      <c r="B16" s="292"/>
      <c r="C16" s="292"/>
      <c r="D16" s="301"/>
      <c r="E16" s="300"/>
      <c r="F16" s="299"/>
      <c r="G16" s="292"/>
      <c r="H16" s="301"/>
      <c r="I16" s="300"/>
      <c r="J16" s="292"/>
    </row>
    <row r="17" spans="2:10" x14ac:dyDescent="0.25">
      <c r="B17" s="292" t="s">
        <v>840</v>
      </c>
      <c r="C17" s="292"/>
      <c r="D17" s="301">
        <v>60</v>
      </c>
      <c r="E17" s="297">
        <v>14009</v>
      </c>
      <c r="F17" s="297">
        <f>+E17*D17</f>
        <v>840540</v>
      </c>
      <c r="G17" s="292"/>
      <c r="H17" s="313">
        <f>ROUND($H$6*D17,0)</f>
        <v>74</v>
      </c>
      <c r="I17" s="300">
        <f>+E17*H17</f>
        <v>1036666</v>
      </c>
      <c r="J17" s="292"/>
    </row>
    <row r="18" spans="2:10" x14ac:dyDescent="0.25">
      <c r="B18" s="292" t="s">
        <v>841</v>
      </c>
      <c r="C18" s="292"/>
      <c r="D18" s="301">
        <f>+D17*1.5</f>
        <v>90</v>
      </c>
      <c r="E18" s="297">
        <v>2187.5100000000002</v>
      </c>
      <c r="F18" s="297">
        <f>+E18*D18</f>
        <v>196875.90000000002</v>
      </c>
      <c r="G18" s="292"/>
      <c r="H18" s="313">
        <f>+H17*1.5</f>
        <v>111</v>
      </c>
      <c r="I18" s="300">
        <f t="shared" ref="I18:I20" si="2">+E18*H18</f>
        <v>242813.61000000002</v>
      </c>
      <c r="J18" s="292"/>
    </row>
    <row r="19" spans="2:10" x14ac:dyDescent="0.25">
      <c r="B19" s="292" t="s">
        <v>842</v>
      </c>
      <c r="C19" s="292"/>
      <c r="D19" s="301">
        <f>50*2</f>
        <v>100</v>
      </c>
      <c r="E19" s="297">
        <v>286.25</v>
      </c>
      <c r="F19" s="297">
        <f>+E19*D19</f>
        <v>28625</v>
      </c>
      <c r="G19" s="292"/>
      <c r="H19" s="313">
        <f>+H17*2</f>
        <v>148</v>
      </c>
      <c r="I19" s="300">
        <f t="shared" si="2"/>
        <v>42365</v>
      </c>
      <c r="J19" s="292"/>
    </row>
    <row r="20" spans="2:10" x14ac:dyDescent="0.25">
      <c r="B20" s="292" t="s">
        <v>843</v>
      </c>
      <c r="C20" s="292"/>
      <c r="D20" s="301">
        <f>+D17*3</f>
        <v>180</v>
      </c>
      <c r="E20" s="297">
        <v>77</v>
      </c>
      <c r="F20" s="297">
        <f>+E20*D20</f>
        <v>13860</v>
      </c>
      <c r="G20" s="292"/>
      <c r="H20" s="313">
        <f>+H17*3</f>
        <v>222</v>
      </c>
      <c r="I20" s="300">
        <f t="shared" si="2"/>
        <v>17094</v>
      </c>
      <c r="J20" s="292"/>
    </row>
    <row r="21" spans="2:10" s="271" customFormat="1" x14ac:dyDescent="0.25">
      <c r="B21" s="306" t="s">
        <v>844</v>
      </c>
      <c r="C21" s="306"/>
      <c r="D21" s="291"/>
      <c r="E21" s="310">
        <f>SUM(E17:E20)</f>
        <v>16559.760000000002</v>
      </c>
      <c r="F21" s="311">
        <f>SUM(F17:F20)</f>
        <v>1079900.8999999999</v>
      </c>
      <c r="G21" s="306"/>
      <c r="H21" s="306"/>
      <c r="I21" s="312">
        <f>SUM(I17:I20)</f>
        <v>1338938.6100000001</v>
      </c>
      <c r="J21" s="306"/>
    </row>
    <row r="22" spans="2:10" x14ac:dyDescent="0.25">
      <c r="B22" s="292"/>
      <c r="C22" s="292"/>
      <c r="D22" s="290"/>
      <c r="E22" s="298"/>
      <c r="F22" s="299"/>
      <c r="G22" s="292"/>
      <c r="H22" s="292"/>
      <c r="I22" s="300"/>
      <c r="J22" s="292"/>
    </row>
    <row r="23" spans="2:10" x14ac:dyDescent="0.25">
      <c r="B23" s="292" t="s">
        <v>845</v>
      </c>
      <c r="C23" s="292"/>
      <c r="D23" s="290"/>
      <c r="E23" s="292"/>
      <c r="F23" s="168">
        <f>F14+F21</f>
        <v>6083188.4000000004</v>
      </c>
      <c r="G23" s="292"/>
      <c r="H23" s="292"/>
      <c r="I23" s="300">
        <f>+I14+I21</f>
        <v>7498101.1100000003</v>
      </c>
      <c r="J23" s="292" t="s">
        <v>834</v>
      </c>
    </row>
    <row r="24" spans="2:10" x14ac:dyDescent="0.25">
      <c r="B24" s="292" t="s">
        <v>996</v>
      </c>
      <c r="D24" s="290"/>
      <c r="E24" s="292"/>
      <c r="F24" s="168">
        <f>'Results of Operations'!G17</f>
        <v>6138014.29</v>
      </c>
      <c r="G24" s="292"/>
      <c r="H24" s="292"/>
      <c r="I24" s="300">
        <f>'Results of Operations'!O17</f>
        <v>7497153.3930765763</v>
      </c>
      <c r="J24" s="292" t="s">
        <v>993</v>
      </c>
    </row>
    <row r="25" spans="2:10" x14ac:dyDescent="0.25">
      <c r="B25" s="292" t="s">
        <v>846</v>
      </c>
      <c r="C25" s="292"/>
      <c r="D25" s="290"/>
      <c r="E25" s="292"/>
      <c r="F25" s="168">
        <f>F24-F23</f>
        <v>54825.889999999665</v>
      </c>
      <c r="G25" s="292"/>
      <c r="H25" s="292"/>
      <c r="I25" s="300">
        <f>I24-I23</f>
        <v>-947.71692342404276</v>
      </c>
      <c r="J25" s="292"/>
    </row>
    <row r="26" spans="2:10" x14ac:dyDescent="0.25">
      <c r="B26" s="292" t="s">
        <v>847</v>
      </c>
      <c r="C26" s="292"/>
      <c r="D26" s="292"/>
      <c r="E26" s="292"/>
      <c r="F26" s="302">
        <f>F25/F24</f>
        <v>8.9321867642637338E-3</v>
      </c>
      <c r="G26" s="292"/>
      <c r="H26" s="292"/>
      <c r="I26" s="302">
        <f>I25/I24</f>
        <v>-1.2641023515661749E-4</v>
      </c>
      <c r="J26" s="292"/>
    </row>
    <row r="27" spans="2:10" x14ac:dyDescent="0.25">
      <c r="B27" s="292"/>
      <c r="C27" s="292"/>
      <c r="D27" s="292"/>
      <c r="E27" s="292"/>
      <c r="F27" s="292"/>
      <c r="G27" s="292"/>
      <c r="H27" s="292">
        <f>303*1.232</f>
        <v>373.29599999999999</v>
      </c>
      <c r="I27" s="300"/>
      <c r="J27" s="294"/>
    </row>
    <row r="28" spans="2:10" x14ac:dyDescent="0.25">
      <c r="B28" s="292"/>
      <c r="C28" s="292"/>
      <c r="D28" s="292"/>
      <c r="E28" s="292"/>
      <c r="F28" s="292"/>
      <c r="G28" s="292"/>
      <c r="H28" s="292"/>
      <c r="I28" s="300"/>
      <c r="J28" s="294"/>
    </row>
    <row r="29" spans="2:10" x14ac:dyDescent="0.25">
      <c r="C29" s="292"/>
      <c r="D29" s="292"/>
      <c r="E29" s="292"/>
      <c r="F29" s="292"/>
      <c r="G29" s="292"/>
      <c r="H29" s="319"/>
      <c r="I29" s="165"/>
    </row>
    <row r="30" spans="2:10" x14ac:dyDescent="0.25">
      <c r="C30" s="292"/>
      <c r="D30" s="292"/>
      <c r="E30" s="292"/>
      <c r="F30" s="292"/>
      <c r="G30" s="292"/>
      <c r="H30" s="319"/>
      <c r="I30" s="300"/>
      <c r="J30" s="292"/>
    </row>
    <row r="31" spans="2:10" x14ac:dyDescent="0.25">
      <c r="B31" s="292"/>
      <c r="C31" s="292"/>
      <c r="D31" s="292"/>
      <c r="E31" s="292"/>
      <c r="F31" s="292"/>
      <c r="G31" s="292"/>
      <c r="H31" s="292"/>
      <c r="I31" s="300"/>
      <c r="J31" s="292"/>
    </row>
  </sheetData>
  <mergeCells count="1">
    <mergeCell ref="H5:I5"/>
  </mergeCells>
  <pageMargins left="0.25" right="0.25" top="0.75" bottom="0.75" header="0.3" footer="0.3"/>
  <pageSetup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53B6-21E1-421B-9BCC-3CF073F2DD88}">
  <dimension ref="B1:G49"/>
  <sheetViews>
    <sheetView topLeftCell="A3" workbookViewId="0">
      <selection activeCell="B4" sqref="B4"/>
    </sheetView>
  </sheetViews>
  <sheetFormatPr defaultRowHeight="15" x14ac:dyDescent="0.25"/>
  <cols>
    <col min="1" max="1" width="2.7109375" style="165" customWidth="1"/>
    <col min="2" max="2" width="38.28515625" style="165" bestFit="1" customWidth="1"/>
    <col min="3" max="3" width="8.7109375" style="165" hidden="1" customWidth="1"/>
    <col min="4" max="4" width="8.7109375" style="165" bestFit="1" customWidth="1"/>
    <col min="5" max="5" width="16" style="165" bestFit="1" customWidth="1"/>
    <col min="6" max="6" width="10.140625" style="165" bestFit="1" customWidth="1"/>
    <col min="7" max="16384" width="9.140625" style="165"/>
  </cols>
  <sheetData>
    <row r="1" spans="2:7" ht="18.75" x14ac:dyDescent="0.3">
      <c r="B1" s="126" t="s">
        <v>0</v>
      </c>
      <c r="C1" s="169"/>
      <c r="D1" s="169"/>
      <c r="E1" s="169"/>
      <c r="F1" s="169"/>
    </row>
    <row r="2" spans="2:7" ht="15.75" x14ac:dyDescent="0.25">
      <c r="B2" s="128" t="s">
        <v>983</v>
      </c>
      <c r="C2" s="169"/>
      <c r="D2" s="169"/>
      <c r="E2" s="169"/>
      <c r="F2" s="169"/>
    </row>
    <row r="3" spans="2:7" ht="15.75" x14ac:dyDescent="0.25">
      <c r="B3" s="129" t="s">
        <v>927</v>
      </c>
      <c r="C3" s="169"/>
      <c r="D3" s="169"/>
      <c r="E3" s="169"/>
      <c r="F3" s="169"/>
    </row>
    <row r="4" spans="2:7" x14ac:dyDescent="0.25">
      <c r="B4" s="169"/>
      <c r="C4" s="169"/>
      <c r="D4" s="169"/>
      <c r="E4" s="169"/>
      <c r="F4" s="169"/>
    </row>
    <row r="6" spans="2:7" x14ac:dyDescent="0.25">
      <c r="B6" s="271" t="s">
        <v>947</v>
      </c>
    </row>
    <row r="8" spans="2:7" x14ac:dyDescent="0.25">
      <c r="B8" s="165" t="s">
        <v>848</v>
      </c>
      <c r="F8" s="167">
        <v>43961.55</v>
      </c>
    </row>
    <row r="9" spans="2:7" x14ac:dyDescent="0.25">
      <c r="B9" s="165" t="s">
        <v>849</v>
      </c>
      <c r="E9" s="165" t="s">
        <v>850</v>
      </c>
      <c r="F9" s="167">
        <f>+F8/5</f>
        <v>8792.3100000000013</v>
      </c>
    </row>
    <row r="10" spans="2:7" x14ac:dyDescent="0.25">
      <c r="F10" s="167"/>
    </row>
    <row r="11" spans="2:7" x14ac:dyDescent="0.25">
      <c r="B11" s="165" t="s">
        <v>851</v>
      </c>
      <c r="F11" s="167"/>
    </row>
    <row r="12" spans="2:7" x14ac:dyDescent="0.25">
      <c r="C12" s="170">
        <v>43160</v>
      </c>
      <c r="D12" s="170">
        <v>43525</v>
      </c>
      <c r="F12" s="167">
        <f>+F9</f>
        <v>8792.3100000000013</v>
      </c>
    </row>
    <row r="13" spans="2:7" x14ac:dyDescent="0.25">
      <c r="C13" s="170">
        <v>43525</v>
      </c>
      <c r="D13" s="170">
        <v>43891</v>
      </c>
      <c r="F13" s="167">
        <f>+F9</f>
        <v>8792.3100000000013</v>
      </c>
    </row>
    <row r="14" spans="2:7" x14ac:dyDescent="0.25">
      <c r="C14" s="170">
        <v>43891</v>
      </c>
      <c r="D14" s="170">
        <v>44256</v>
      </c>
      <c r="F14" s="167">
        <f>+F9</f>
        <v>8792.3100000000013</v>
      </c>
    </row>
    <row r="15" spans="2:7" x14ac:dyDescent="0.25">
      <c r="C15" s="170">
        <v>44256</v>
      </c>
      <c r="D15" s="170">
        <v>44621</v>
      </c>
      <c r="F15" s="167">
        <f>+F9</f>
        <v>8792.3100000000013</v>
      </c>
    </row>
    <row r="16" spans="2:7" x14ac:dyDescent="0.25">
      <c r="C16" s="170">
        <v>44621</v>
      </c>
      <c r="D16" s="170">
        <v>44986</v>
      </c>
      <c r="F16" s="246">
        <f>+F9</f>
        <v>8792.3100000000013</v>
      </c>
      <c r="G16" s="247" t="s">
        <v>319</v>
      </c>
    </row>
    <row r="17" spans="2:7" x14ac:dyDescent="0.25">
      <c r="F17" s="167">
        <f>SUM(F12:F16)</f>
        <v>43961.55</v>
      </c>
    </row>
    <row r="18" spans="2:7" x14ac:dyDescent="0.25">
      <c r="F18" s="167"/>
    </row>
    <row r="19" spans="2:7" x14ac:dyDescent="0.25">
      <c r="B19" s="280"/>
      <c r="C19" s="280"/>
      <c r="D19" s="280"/>
      <c r="E19" s="280"/>
      <c r="F19" s="281"/>
      <c r="G19" s="280"/>
    </row>
    <row r="20" spans="2:7" x14ac:dyDescent="0.25">
      <c r="F20" s="167"/>
    </row>
    <row r="21" spans="2:7" x14ac:dyDescent="0.25">
      <c r="B21" s="271" t="s">
        <v>946</v>
      </c>
      <c r="F21" s="167"/>
    </row>
    <row r="22" spans="2:7" x14ac:dyDescent="0.25">
      <c r="F22" s="167"/>
    </row>
    <row r="23" spans="2:7" x14ac:dyDescent="0.25">
      <c r="B23" s="165" t="s">
        <v>852</v>
      </c>
      <c r="F23" s="167">
        <v>177458.81</v>
      </c>
    </row>
    <row r="24" spans="2:7" x14ac:dyDescent="0.25">
      <c r="B24" s="165" t="s">
        <v>849</v>
      </c>
      <c r="E24" s="165" t="s">
        <v>850</v>
      </c>
      <c r="F24" s="167">
        <f>+F23/5</f>
        <v>35491.762000000002</v>
      </c>
    </row>
    <row r="25" spans="2:7" x14ac:dyDescent="0.25">
      <c r="F25" s="167"/>
    </row>
    <row r="26" spans="2:7" x14ac:dyDescent="0.25">
      <c r="B26" s="165" t="s">
        <v>851</v>
      </c>
      <c r="F26" s="167"/>
    </row>
    <row r="27" spans="2:7" x14ac:dyDescent="0.25">
      <c r="C27" s="170">
        <v>43160</v>
      </c>
      <c r="D27" s="170">
        <v>43525</v>
      </c>
      <c r="F27" s="167">
        <f>+F24</f>
        <v>35491.762000000002</v>
      </c>
    </row>
    <row r="28" spans="2:7" x14ac:dyDescent="0.25">
      <c r="C28" s="170">
        <v>43525</v>
      </c>
      <c r="D28" s="170">
        <v>43891</v>
      </c>
      <c r="F28" s="167">
        <f>+F24</f>
        <v>35491.762000000002</v>
      </c>
    </row>
    <row r="29" spans="2:7" x14ac:dyDescent="0.25">
      <c r="C29" s="170">
        <v>43891</v>
      </c>
      <c r="D29" s="170">
        <v>44256</v>
      </c>
      <c r="F29" s="167">
        <f>+F24</f>
        <v>35491.762000000002</v>
      </c>
    </row>
    <row r="30" spans="2:7" x14ac:dyDescent="0.25">
      <c r="C30" s="170">
        <v>44256</v>
      </c>
      <c r="D30" s="170">
        <v>44621</v>
      </c>
      <c r="F30" s="167">
        <f>+F24</f>
        <v>35491.762000000002</v>
      </c>
    </row>
    <row r="31" spans="2:7" x14ac:dyDescent="0.25">
      <c r="C31" s="170">
        <v>44621</v>
      </c>
      <c r="D31" s="170">
        <v>44986</v>
      </c>
      <c r="F31" s="246">
        <f>+F24</f>
        <v>35491.762000000002</v>
      </c>
      <c r="G31" s="247" t="s">
        <v>320</v>
      </c>
    </row>
    <row r="32" spans="2:7" x14ac:dyDescent="0.25">
      <c r="F32" s="167">
        <f>SUM(F27:F31)</f>
        <v>177458.81</v>
      </c>
    </row>
    <row r="33" spans="6:6" x14ac:dyDescent="0.25">
      <c r="F33" s="167"/>
    </row>
    <row r="34" spans="6:6" x14ac:dyDescent="0.25">
      <c r="F34" s="167"/>
    </row>
    <row r="35" spans="6:6" x14ac:dyDescent="0.25">
      <c r="F35" s="167"/>
    </row>
    <row r="36" spans="6:6" x14ac:dyDescent="0.25">
      <c r="F36" s="167"/>
    </row>
    <row r="37" spans="6:6" x14ac:dyDescent="0.25">
      <c r="F37" s="167"/>
    </row>
    <row r="38" spans="6:6" x14ac:dyDescent="0.25">
      <c r="F38" s="167"/>
    </row>
    <row r="39" spans="6:6" x14ac:dyDescent="0.25">
      <c r="F39" s="167"/>
    </row>
    <row r="40" spans="6:6" x14ac:dyDescent="0.25">
      <c r="F40" s="167"/>
    </row>
    <row r="41" spans="6:6" x14ac:dyDescent="0.25">
      <c r="F41" s="167"/>
    </row>
    <row r="42" spans="6:6" x14ac:dyDescent="0.25">
      <c r="F42" s="167"/>
    </row>
    <row r="43" spans="6:6" x14ac:dyDescent="0.25">
      <c r="F43" s="167"/>
    </row>
    <row r="44" spans="6:6" x14ac:dyDescent="0.25">
      <c r="F44" s="167"/>
    </row>
    <row r="45" spans="6:6" x14ac:dyDescent="0.25">
      <c r="F45" s="167"/>
    </row>
    <row r="46" spans="6:6" x14ac:dyDescent="0.25">
      <c r="F46" s="167"/>
    </row>
    <row r="47" spans="6:6" x14ac:dyDescent="0.25">
      <c r="F47" s="167"/>
    </row>
    <row r="48" spans="6:6" x14ac:dyDescent="0.25">
      <c r="F48" s="167"/>
    </row>
    <row r="49" spans="6:6" x14ac:dyDescent="0.25">
      <c r="F49" s="167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580A0-D16E-450D-BBAB-596F50243E15}">
  <dimension ref="B1:G35"/>
  <sheetViews>
    <sheetView workbookViewId="0">
      <selection activeCell="E31" sqref="E31"/>
    </sheetView>
  </sheetViews>
  <sheetFormatPr defaultRowHeight="15" x14ac:dyDescent="0.25"/>
  <cols>
    <col min="1" max="1" width="2.42578125" style="214" customWidth="1"/>
    <col min="2" max="2" width="37.5703125" style="214" bestFit="1" customWidth="1"/>
    <col min="3" max="3" width="21.5703125" style="214" bestFit="1" customWidth="1"/>
    <col min="4" max="5" width="12.28515625" style="214" bestFit="1" customWidth="1"/>
    <col min="6" max="6" width="11.140625" style="214" bestFit="1" customWidth="1"/>
    <col min="7" max="7" width="34.42578125" style="214" bestFit="1" customWidth="1"/>
    <col min="8" max="16384" width="9.140625" style="214"/>
  </cols>
  <sheetData>
    <row r="1" spans="2:7" ht="18.75" x14ac:dyDescent="0.3">
      <c r="B1" s="126" t="s">
        <v>0</v>
      </c>
    </row>
    <row r="2" spans="2:7" ht="15.75" x14ac:dyDescent="0.25">
      <c r="B2" s="128" t="s">
        <v>930</v>
      </c>
    </row>
    <row r="3" spans="2:7" ht="15.75" x14ac:dyDescent="0.25">
      <c r="B3" s="129"/>
    </row>
    <row r="7" spans="2:7" x14ac:dyDescent="0.25">
      <c r="B7" s="215" t="s">
        <v>900</v>
      </c>
      <c r="C7" s="215" t="s">
        <v>901</v>
      </c>
      <c r="D7" s="215" t="s">
        <v>902</v>
      </c>
      <c r="E7" s="215" t="s">
        <v>903</v>
      </c>
      <c r="F7" s="215" t="s">
        <v>904</v>
      </c>
      <c r="G7" s="215" t="s">
        <v>905</v>
      </c>
    </row>
    <row r="8" spans="2:7" ht="15" customHeight="1" x14ac:dyDescent="0.25">
      <c r="B8" s="214" t="s">
        <v>906</v>
      </c>
      <c r="D8" s="216">
        <v>16500</v>
      </c>
      <c r="E8" s="216">
        <v>13932.558852913082</v>
      </c>
      <c r="F8" s="216">
        <f>D35*D8</f>
        <v>2567.4411470869181</v>
      </c>
      <c r="G8" s="216"/>
    </row>
    <row r="9" spans="2:7" x14ac:dyDescent="0.25">
      <c r="B9" s="214" t="s">
        <v>907</v>
      </c>
      <c r="C9" s="214" t="s">
        <v>908</v>
      </c>
      <c r="D9" s="216">
        <v>132524</v>
      </c>
      <c r="E9" s="216">
        <v>132524</v>
      </c>
      <c r="F9" s="216">
        <v>0</v>
      </c>
      <c r="G9" s="216"/>
    </row>
    <row r="10" spans="2:7" x14ac:dyDescent="0.25">
      <c r="B10" s="214" t="s">
        <v>909</v>
      </c>
      <c r="C10" s="214" t="s">
        <v>910</v>
      </c>
      <c r="D10" s="216">
        <v>55732</v>
      </c>
      <c r="E10" s="216">
        <v>28071.908589992676</v>
      </c>
      <c r="F10" s="216">
        <v>27660.091410007328</v>
      </c>
      <c r="G10" s="216" t="s">
        <v>911</v>
      </c>
    </row>
    <row r="11" spans="2:7" ht="15" customHeight="1" x14ac:dyDescent="0.25">
      <c r="B11" s="214" t="s">
        <v>912</v>
      </c>
      <c r="C11" s="214" t="s">
        <v>908</v>
      </c>
      <c r="D11" s="216">
        <v>2830</v>
      </c>
      <c r="E11" s="216">
        <v>2830</v>
      </c>
      <c r="F11" s="216">
        <v>0</v>
      </c>
      <c r="G11" s="216"/>
    </row>
    <row r="12" spans="2:7" ht="15" customHeight="1" x14ac:dyDescent="0.25">
      <c r="B12" s="214" t="s">
        <v>913</v>
      </c>
      <c r="C12" s="214" t="s">
        <v>256</v>
      </c>
      <c r="D12" s="216">
        <v>16218.59</v>
      </c>
      <c r="E12" s="216">
        <v>13694.936950682884</v>
      </c>
      <c r="F12" s="216">
        <f>D35*D12</f>
        <v>2523.6530493171163</v>
      </c>
      <c r="G12" s="216"/>
    </row>
    <row r="13" spans="2:7" x14ac:dyDescent="0.25">
      <c r="B13" s="214" t="s">
        <v>914</v>
      </c>
      <c r="C13" s="214" t="s">
        <v>915</v>
      </c>
      <c r="D13" s="216">
        <v>40131</v>
      </c>
      <c r="E13" s="216">
        <v>23703.866260677001</v>
      </c>
      <c r="F13" s="216">
        <v>16427.133739322999</v>
      </c>
      <c r="G13" s="216"/>
    </row>
    <row r="14" spans="2:7" ht="15" customHeight="1" x14ac:dyDescent="0.25">
      <c r="B14" s="214" t="s">
        <v>916</v>
      </c>
      <c r="C14" s="214" t="s">
        <v>917</v>
      </c>
      <c r="D14" s="216">
        <v>7407</v>
      </c>
      <c r="E14" s="216">
        <v>7407</v>
      </c>
      <c r="F14" s="216">
        <v>0</v>
      </c>
      <c r="G14" s="216"/>
    </row>
    <row r="15" spans="2:7" ht="15" customHeight="1" x14ac:dyDescent="0.25">
      <c r="B15" s="214" t="s">
        <v>918</v>
      </c>
      <c r="C15" s="214" t="s">
        <v>919</v>
      </c>
      <c r="D15" s="216">
        <v>13429</v>
      </c>
      <c r="E15" s="216">
        <v>9832</v>
      </c>
      <c r="F15" s="216">
        <v>3597</v>
      </c>
      <c r="G15" s="216"/>
    </row>
    <row r="16" spans="2:7" ht="15" customHeight="1" x14ac:dyDescent="0.25">
      <c r="B16" s="214" t="s">
        <v>920</v>
      </c>
      <c r="C16" s="214" t="s">
        <v>256</v>
      </c>
      <c r="D16" s="216">
        <v>14279</v>
      </c>
      <c r="E16" s="216">
        <v>12057.151991560357</v>
      </c>
      <c r="F16" s="216">
        <f>D35*D16</f>
        <v>2221.8480084396424</v>
      </c>
      <c r="G16" s="216"/>
    </row>
    <row r="17" spans="2:7" ht="15" customHeight="1" x14ac:dyDescent="0.25">
      <c r="B17" s="214" t="s">
        <v>921</v>
      </c>
      <c r="C17" s="214" t="s">
        <v>919</v>
      </c>
      <c r="D17" s="216">
        <v>3107</v>
      </c>
      <c r="E17" s="216">
        <v>2470.3991788906474</v>
      </c>
      <c r="F17" s="216">
        <v>636.60082110935286</v>
      </c>
      <c r="G17" s="216"/>
    </row>
    <row r="18" spans="2:7" x14ac:dyDescent="0.25">
      <c r="B18" s="217" t="s">
        <v>922</v>
      </c>
      <c r="C18" s="217"/>
      <c r="D18" s="218">
        <f>SUM(D8:D17)</f>
        <v>302157.58999999997</v>
      </c>
      <c r="E18" s="218">
        <f>SUM(E8:E17)</f>
        <v>246523.82182471667</v>
      </c>
      <c r="F18" s="218">
        <f>SUM(F8:F17)</f>
        <v>55633.768175283352</v>
      </c>
      <c r="G18" s="219"/>
    </row>
    <row r="19" spans="2:7" x14ac:dyDescent="0.25">
      <c r="B19" s="217"/>
      <c r="C19" s="217"/>
      <c r="D19" s="220"/>
      <c r="E19" s="220"/>
      <c r="F19" s="220"/>
      <c r="G19" s="219"/>
    </row>
    <row r="20" spans="2:7" x14ac:dyDescent="0.25">
      <c r="B20" s="217"/>
      <c r="C20" s="217"/>
      <c r="D20" s="219"/>
      <c r="E20" s="221">
        <f>E18/D18</f>
        <v>0.81587830318846766</v>
      </c>
      <c r="F20" s="221">
        <f>F18/D18</f>
        <v>0.18412169681153254</v>
      </c>
      <c r="G20" s="219"/>
    </row>
    <row r="22" spans="2:7" x14ac:dyDescent="0.25">
      <c r="B22" s="214" t="s">
        <v>923</v>
      </c>
      <c r="C22" s="214" t="s">
        <v>924</v>
      </c>
      <c r="D22" s="216">
        <v>69000</v>
      </c>
      <c r="E22" s="216">
        <f>E18*C23</f>
        <v>56295.602920004269</v>
      </c>
      <c r="F22" s="216">
        <f>F18*C23</f>
        <v>12704.397079995746</v>
      </c>
    </row>
    <row r="23" spans="2:7" x14ac:dyDescent="0.25">
      <c r="C23" s="255">
        <f>D22/D18</f>
        <v>0.22835765932604907</v>
      </c>
    </row>
    <row r="24" spans="2:7" x14ac:dyDescent="0.25">
      <c r="B24" s="222" t="s">
        <v>17</v>
      </c>
      <c r="C24" s="222"/>
      <c r="D24" s="316">
        <f>D18+D22</f>
        <v>371157.58999999997</v>
      </c>
      <c r="E24" s="316">
        <f>E18+E22</f>
        <v>302819.42474472092</v>
      </c>
      <c r="F24" s="316">
        <f>F18+F22</f>
        <v>68338.165255279106</v>
      </c>
    </row>
    <row r="25" spans="2:7" x14ac:dyDescent="0.25">
      <c r="B25" s="214" t="s">
        <v>1002</v>
      </c>
      <c r="C25" s="222"/>
      <c r="D25" s="317">
        <f>D24*0.1</f>
        <v>37115.758999999998</v>
      </c>
      <c r="E25" s="317">
        <f>E24*0.1</f>
        <v>30281.942474472093</v>
      </c>
      <c r="F25" s="317">
        <f>F24*0.1</f>
        <v>6833.8165255279109</v>
      </c>
    </row>
    <row r="26" spans="2:7" s="222" customFormat="1" x14ac:dyDescent="0.25">
      <c r="B26" s="222" t="s">
        <v>203</v>
      </c>
      <c r="D26" s="318">
        <f>D24+D25</f>
        <v>408273.34899999999</v>
      </c>
      <c r="E26" s="318">
        <f t="shared" ref="E26:F26" si="0">E24+E25</f>
        <v>333101.36721919302</v>
      </c>
      <c r="F26" s="318">
        <f t="shared" si="0"/>
        <v>75171.981780807022</v>
      </c>
    </row>
    <row r="27" spans="2:7" x14ac:dyDescent="0.25">
      <c r="D27" s="216"/>
      <c r="E27" s="216"/>
      <c r="F27" s="216"/>
    </row>
    <row r="28" spans="2:7" x14ac:dyDescent="0.25">
      <c r="B28" s="214" t="s">
        <v>931</v>
      </c>
      <c r="D28" s="216">
        <f>'Insurance ''21-''22'!D24</f>
        <v>328476.77</v>
      </c>
      <c r="E28" s="216">
        <f>'Insurance ''21-''22'!E24</f>
        <v>262401.10350824246</v>
      </c>
      <c r="F28" s="216">
        <f>'Insurance ''21-''22'!F24</f>
        <v>66075.666491757511</v>
      </c>
    </row>
    <row r="29" spans="2:7" x14ac:dyDescent="0.25">
      <c r="D29" s="216"/>
      <c r="E29" s="216"/>
      <c r="F29" s="216"/>
    </row>
    <row r="30" spans="2:7" x14ac:dyDescent="0.25">
      <c r="D30" s="216"/>
      <c r="E30" s="260">
        <f>E26-E28</f>
        <v>70700.263710950559</v>
      </c>
      <c r="F30" s="260" t="s">
        <v>333</v>
      </c>
    </row>
    <row r="33" spans="3:4" x14ac:dyDescent="0.2">
      <c r="C33" s="257" t="s">
        <v>929</v>
      </c>
      <c r="D33" s="258" t="s">
        <v>928</v>
      </c>
    </row>
    <row r="34" spans="3:4" x14ac:dyDescent="0.25">
      <c r="C34" s="256" t="s">
        <v>903</v>
      </c>
      <c r="D34" s="259">
        <v>0.84439750623715648</v>
      </c>
    </row>
    <row r="35" spans="3:4" x14ac:dyDescent="0.25">
      <c r="C35" s="256" t="s">
        <v>904</v>
      </c>
      <c r="D35" s="259">
        <v>0.15560249376284352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5DAC-DCEF-471A-9FE8-502D0C4134AE}">
  <dimension ref="B1:G32"/>
  <sheetViews>
    <sheetView workbookViewId="0">
      <selection activeCell="B3" sqref="B3"/>
    </sheetView>
  </sheetViews>
  <sheetFormatPr defaultRowHeight="15" x14ac:dyDescent="0.25"/>
  <cols>
    <col min="1" max="1" width="2.42578125" style="214" customWidth="1"/>
    <col min="2" max="2" width="37.5703125" style="214" bestFit="1" customWidth="1"/>
    <col min="3" max="3" width="21.5703125" style="214" bestFit="1" customWidth="1"/>
    <col min="4" max="5" width="12.28515625" style="214" bestFit="1" customWidth="1"/>
    <col min="6" max="6" width="11.140625" style="214" bestFit="1" customWidth="1"/>
    <col min="7" max="7" width="34.42578125" style="214" bestFit="1" customWidth="1"/>
    <col min="8" max="16384" width="9.140625" style="214"/>
  </cols>
  <sheetData>
    <row r="1" spans="2:7" ht="18.75" x14ac:dyDescent="0.3">
      <c r="B1" s="126" t="s">
        <v>0</v>
      </c>
    </row>
    <row r="2" spans="2:7" ht="15.75" x14ac:dyDescent="0.25">
      <c r="B2" s="128" t="s">
        <v>899</v>
      </c>
    </row>
    <row r="3" spans="2:7" ht="15.75" x14ac:dyDescent="0.25">
      <c r="B3" s="129"/>
    </row>
    <row r="7" spans="2:7" x14ac:dyDescent="0.25">
      <c r="B7" s="215" t="s">
        <v>900</v>
      </c>
      <c r="C7" s="215" t="s">
        <v>901</v>
      </c>
      <c r="D7" s="215" t="s">
        <v>902</v>
      </c>
      <c r="E7" s="215" t="s">
        <v>903</v>
      </c>
      <c r="F7" s="215" t="s">
        <v>904</v>
      </c>
      <c r="G7" s="215" t="s">
        <v>905</v>
      </c>
    </row>
    <row r="8" spans="2:7" ht="15" customHeight="1" x14ac:dyDescent="0.25">
      <c r="B8" s="214" t="s">
        <v>906</v>
      </c>
      <c r="D8" s="216">
        <v>14000</v>
      </c>
      <c r="E8" s="216">
        <f t="shared" ref="E8:E17" si="0">D8-F8</f>
        <v>11248.967046105696</v>
      </c>
      <c r="F8" s="216">
        <f>D8*$D$32</f>
        <v>2751.0329538943047</v>
      </c>
      <c r="G8" s="216"/>
    </row>
    <row r="9" spans="2:7" x14ac:dyDescent="0.25">
      <c r="B9" s="214" t="s">
        <v>907</v>
      </c>
      <c r="C9" s="214" t="s">
        <v>908</v>
      </c>
      <c r="D9" s="216">
        <v>115685</v>
      </c>
      <c r="E9" s="216">
        <f t="shared" si="0"/>
        <v>115685</v>
      </c>
      <c r="F9" s="216"/>
      <c r="G9" s="216"/>
    </row>
    <row r="10" spans="2:7" x14ac:dyDescent="0.25">
      <c r="B10" s="214" t="s">
        <v>909</v>
      </c>
      <c r="C10" s="214" t="s">
        <v>910</v>
      </c>
      <c r="D10" s="216">
        <v>48594</v>
      </c>
      <c r="E10" s="216">
        <f t="shared" si="0"/>
        <v>20636.46</v>
      </c>
      <c r="F10" s="216">
        <v>27957.54</v>
      </c>
      <c r="G10" s="216" t="s">
        <v>911</v>
      </c>
    </row>
    <row r="11" spans="2:7" ht="15" customHeight="1" x14ac:dyDescent="0.25">
      <c r="B11" s="214" t="s">
        <v>912</v>
      </c>
      <c r="C11" s="214" t="s">
        <v>908</v>
      </c>
      <c r="D11" s="216">
        <v>2830</v>
      </c>
      <c r="E11" s="216">
        <f t="shared" si="0"/>
        <v>2830</v>
      </c>
      <c r="F11" s="216"/>
      <c r="G11" s="216"/>
    </row>
    <row r="12" spans="2:7" ht="15" customHeight="1" x14ac:dyDescent="0.25">
      <c r="B12" s="214" t="s">
        <v>913</v>
      </c>
      <c r="C12" s="214" t="s">
        <v>256</v>
      </c>
      <c r="D12" s="216">
        <v>14755.77</v>
      </c>
      <c r="E12" s="216">
        <f t="shared" si="0"/>
        <v>11856.226462136789</v>
      </c>
      <c r="F12" s="216">
        <f>D12*$D$32</f>
        <v>2899.5435378632119</v>
      </c>
      <c r="G12" s="216"/>
    </row>
    <row r="13" spans="2:7" x14ac:dyDescent="0.25">
      <c r="B13" s="214" t="s">
        <v>914</v>
      </c>
      <c r="C13" s="214" t="s">
        <v>915</v>
      </c>
      <c r="D13" s="216">
        <v>34281</v>
      </c>
      <c r="E13" s="216">
        <f t="shared" si="0"/>
        <v>21060.05</v>
      </c>
      <c r="F13" s="216">
        <v>13220.95</v>
      </c>
      <c r="G13" s="216"/>
    </row>
    <row r="14" spans="2:7" ht="15" customHeight="1" x14ac:dyDescent="0.25">
      <c r="B14" s="214" t="s">
        <v>916</v>
      </c>
      <c r="C14" s="214" t="s">
        <v>917</v>
      </c>
      <c r="D14" s="216">
        <v>7407</v>
      </c>
      <c r="E14" s="216">
        <f t="shared" si="0"/>
        <v>7407</v>
      </c>
      <c r="F14" s="216"/>
      <c r="G14" s="216"/>
    </row>
    <row r="15" spans="2:7" ht="15" customHeight="1" x14ac:dyDescent="0.25">
      <c r="B15" s="214" t="s">
        <v>918</v>
      </c>
      <c r="C15" s="214" t="s">
        <v>919</v>
      </c>
      <c r="D15" s="216">
        <v>12810</v>
      </c>
      <c r="E15" s="216">
        <f t="shared" si="0"/>
        <v>9132</v>
      </c>
      <c r="F15" s="216">
        <v>3678</v>
      </c>
      <c r="G15" s="216"/>
    </row>
    <row r="16" spans="2:7" ht="15" customHeight="1" x14ac:dyDescent="0.25">
      <c r="B16" s="214" t="s">
        <v>920</v>
      </c>
      <c r="C16" s="214" t="s">
        <v>256</v>
      </c>
      <c r="D16" s="216">
        <v>12583</v>
      </c>
      <c r="E16" s="216">
        <f t="shared" si="0"/>
        <v>10110.41</v>
      </c>
      <c r="F16" s="216">
        <v>2472.59</v>
      </c>
      <c r="G16" s="216"/>
    </row>
    <row r="17" spans="2:7" ht="15" customHeight="1" x14ac:dyDescent="0.25">
      <c r="B17" s="214" t="s">
        <v>921</v>
      </c>
      <c r="C17" s="214" t="s">
        <v>919</v>
      </c>
      <c r="D17" s="216">
        <v>2531</v>
      </c>
      <c r="E17" s="216">
        <f t="shared" si="0"/>
        <v>2107.9299999999998</v>
      </c>
      <c r="F17" s="216">
        <v>423.07</v>
      </c>
      <c r="G17" s="216"/>
    </row>
    <row r="18" spans="2:7" x14ac:dyDescent="0.25">
      <c r="B18" s="217" t="s">
        <v>922</v>
      </c>
      <c r="C18" s="217"/>
      <c r="D18" s="218">
        <f>SUM(D8:D17)</f>
        <v>265476.77</v>
      </c>
      <c r="E18" s="218">
        <f t="shared" ref="E18:F18" si="1">SUM(E8:E17)</f>
        <v>212074.04350824247</v>
      </c>
      <c r="F18" s="218">
        <f t="shared" si="1"/>
        <v>53402.726491757516</v>
      </c>
      <c r="G18" s="219"/>
    </row>
    <row r="19" spans="2:7" x14ac:dyDescent="0.25">
      <c r="B19" s="217"/>
      <c r="C19" s="217"/>
      <c r="D19" s="220"/>
      <c r="E19" s="220"/>
      <c r="F19" s="220"/>
      <c r="G19" s="219"/>
    </row>
    <row r="20" spans="2:7" x14ac:dyDescent="0.25">
      <c r="B20" s="217"/>
      <c r="C20" s="217"/>
      <c r="D20" s="219"/>
      <c r="E20" s="221">
        <f>E18/D18</f>
        <v>0.79884218686343988</v>
      </c>
      <c r="F20" s="221">
        <f>F18/D18</f>
        <v>0.20115781313655998</v>
      </c>
      <c r="G20" s="219"/>
    </row>
    <row r="22" spans="2:7" x14ac:dyDescent="0.25">
      <c r="B22" s="214" t="s">
        <v>923</v>
      </c>
      <c r="C22" s="214" t="s">
        <v>924</v>
      </c>
      <c r="D22" s="216">
        <v>63000</v>
      </c>
      <c r="E22" s="216">
        <f t="shared" ref="E22" si="2">D22-F22</f>
        <v>50327.06</v>
      </c>
      <c r="F22" s="216">
        <v>12672.94</v>
      </c>
    </row>
    <row r="24" spans="2:7" ht="15.75" thickBot="1" x14ac:dyDescent="0.3">
      <c r="B24" s="222" t="s">
        <v>17</v>
      </c>
      <c r="C24" s="222"/>
      <c r="D24" s="223">
        <f>D18+D22</f>
        <v>328476.77</v>
      </c>
      <c r="E24" s="223">
        <f t="shared" ref="E24:F24" si="3">E18+E22</f>
        <v>262401.10350824246</v>
      </c>
      <c r="F24" s="223">
        <f t="shared" si="3"/>
        <v>66075.666491757511</v>
      </c>
    </row>
    <row r="25" spans="2:7" ht="15.75" thickTop="1" x14ac:dyDescent="0.25">
      <c r="D25" s="216"/>
      <c r="E25" s="216"/>
      <c r="F25" s="216"/>
    </row>
    <row r="26" spans="2:7" x14ac:dyDescent="0.25">
      <c r="B26" s="214" t="s">
        <v>925</v>
      </c>
      <c r="D26" s="216">
        <f>D24/12</f>
        <v>27373.064166666667</v>
      </c>
      <c r="E26" s="216">
        <f t="shared" ref="E26:F26" si="4">E24/12</f>
        <v>21866.758625686871</v>
      </c>
      <c r="F26" s="216">
        <f t="shared" si="4"/>
        <v>5506.3055409797926</v>
      </c>
    </row>
    <row r="27" spans="2:7" x14ac:dyDescent="0.25">
      <c r="D27" s="216"/>
      <c r="E27" s="216"/>
      <c r="F27" s="216"/>
    </row>
    <row r="30" spans="2:7" x14ac:dyDescent="0.2">
      <c r="C30" s="257" t="s">
        <v>929</v>
      </c>
      <c r="D30" s="258" t="s">
        <v>928</v>
      </c>
    </row>
    <row r="31" spans="2:7" x14ac:dyDescent="0.25">
      <c r="C31" s="256" t="s">
        <v>903</v>
      </c>
      <c r="D31" s="259">
        <v>0.80349764615040686</v>
      </c>
    </row>
    <row r="32" spans="2:7" x14ac:dyDescent="0.25">
      <c r="C32" s="256" t="s">
        <v>904</v>
      </c>
      <c r="D32" s="259">
        <v>0.19650235384959319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4E34B-2338-4560-9C95-2175CD0095C9}">
  <dimension ref="B1:H32"/>
  <sheetViews>
    <sheetView workbookViewId="0">
      <selection activeCell="F18" sqref="F18"/>
    </sheetView>
  </sheetViews>
  <sheetFormatPr defaultRowHeight="15" x14ac:dyDescent="0.25"/>
  <cols>
    <col min="1" max="1" width="2.7109375" customWidth="1"/>
    <col min="2" max="2" width="12" customWidth="1"/>
    <col min="3" max="3" width="63.5703125" bestFit="1" customWidth="1"/>
    <col min="4" max="4" width="13.28515625" bestFit="1" customWidth="1"/>
    <col min="6" max="6" width="14.42578125" bestFit="1" customWidth="1"/>
  </cols>
  <sheetData>
    <row r="1" spans="2:5" ht="18.75" x14ac:dyDescent="0.3">
      <c r="B1" s="126" t="s">
        <v>0</v>
      </c>
    </row>
    <row r="2" spans="2:5" ht="15.75" x14ac:dyDescent="0.25">
      <c r="B2" s="128" t="s">
        <v>935</v>
      </c>
    </row>
    <row r="6" spans="2:5" x14ac:dyDescent="0.25">
      <c r="C6" s="262" t="s">
        <v>940</v>
      </c>
    </row>
    <row r="8" spans="2:5" x14ac:dyDescent="0.25">
      <c r="C8" s="267" t="s">
        <v>942</v>
      </c>
    </row>
    <row r="9" spans="2:5" x14ac:dyDescent="0.25">
      <c r="C9" t="s">
        <v>941</v>
      </c>
    </row>
    <row r="11" spans="2:5" x14ac:dyDescent="0.25">
      <c r="C11" t="s">
        <v>936</v>
      </c>
      <c r="D11" s="263">
        <v>-26248</v>
      </c>
      <c r="E11" s="264" t="s">
        <v>321</v>
      </c>
    </row>
    <row r="12" spans="2:5" x14ac:dyDescent="0.25">
      <c r="C12" t="s">
        <v>937</v>
      </c>
      <c r="D12" s="263">
        <v>26248</v>
      </c>
      <c r="E12" s="264" t="s">
        <v>322</v>
      </c>
    </row>
    <row r="15" spans="2:5" x14ac:dyDescent="0.25">
      <c r="C15" s="267" t="s">
        <v>943</v>
      </c>
    </row>
    <row r="16" spans="2:5" x14ac:dyDescent="0.25">
      <c r="C16" t="s">
        <v>944</v>
      </c>
    </row>
    <row r="18" spans="2:8" x14ac:dyDescent="0.25">
      <c r="C18" t="s">
        <v>938</v>
      </c>
      <c r="D18" s="266">
        <v>1359141.4831609298</v>
      </c>
    </row>
    <row r="19" spans="2:8" x14ac:dyDescent="0.25">
      <c r="C19" t="s">
        <v>939</v>
      </c>
      <c r="D19" s="265">
        <v>4.0000000000000001E-3</v>
      </c>
    </row>
    <row r="20" spans="2:8" x14ac:dyDescent="0.25">
      <c r="D20" s="270">
        <f>D18*D19</f>
        <v>5436.565932643719</v>
      </c>
      <c r="E20" s="264" t="s">
        <v>334</v>
      </c>
    </row>
    <row r="22" spans="2:8" x14ac:dyDescent="0.25">
      <c r="B22" s="274"/>
      <c r="C22" s="274"/>
      <c r="D22" s="274"/>
      <c r="E22" s="274"/>
      <c r="F22" s="274"/>
      <c r="G22" s="274"/>
      <c r="H22" s="274"/>
    </row>
    <row r="24" spans="2:8" x14ac:dyDescent="0.25">
      <c r="C24" s="262" t="s">
        <v>945</v>
      </c>
    </row>
    <row r="25" spans="2:8" x14ac:dyDescent="0.25">
      <c r="F25" t="s">
        <v>949</v>
      </c>
    </row>
    <row r="26" spans="2:8" x14ac:dyDescent="0.25">
      <c r="C26" s="171" t="s">
        <v>947</v>
      </c>
      <c r="D26" s="268">
        <v>35000</v>
      </c>
      <c r="E26" s="165"/>
      <c r="F26" s="272">
        <f t="shared" ref="F26:F28" si="0">D26/2</f>
        <v>17500</v>
      </c>
      <c r="G26" s="273" t="s">
        <v>335</v>
      </c>
    </row>
    <row r="27" spans="2:8" x14ac:dyDescent="0.25">
      <c r="C27" s="165" t="s">
        <v>946</v>
      </c>
      <c r="D27" s="268">
        <v>25000</v>
      </c>
      <c r="E27" s="165"/>
      <c r="F27" s="272">
        <f>D27/2</f>
        <v>12500</v>
      </c>
      <c r="G27" s="273" t="s">
        <v>336</v>
      </c>
    </row>
    <row r="28" spans="2:8" x14ac:dyDescent="0.25">
      <c r="C28" s="171" t="s">
        <v>948</v>
      </c>
      <c r="D28" s="269">
        <f>SUM(D26:D26)</f>
        <v>35000</v>
      </c>
      <c r="E28" s="165"/>
      <c r="F28" s="269">
        <f t="shared" si="0"/>
        <v>17500</v>
      </c>
      <c r="G28" s="167"/>
    </row>
    <row r="29" spans="2:8" x14ac:dyDescent="0.25">
      <c r="C29" s="171"/>
      <c r="D29" s="165"/>
      <c r="E29" s="165"/>
      <c r="F29" s="165"/>
      <c r="G29" s="167"/>
    </row>
    <row r="30" spans="2:8" x14ac:dyDescent="0.25">
      <c r="C30" s="172"/>
      <c r="D30" s="165"/>
      <c r="E30" s="165"/>
      <c r="F30" s="165"/>
      <c r="G30" s="167"/>
    </row>
    <row r="31" spans="2:8" x14ac:dyDescent="0.25">
      <c r="C31" s="172"/>
      <c r="D31" s="165"/>
      <c r="E31" s="165"/>
      <c r="F31" s="165"/>
      <c r="G31" s="167"/>
    </row>
    <row r="32" spans="2:8" x14ac:dyDescent="0.25">
      <c r="D32" s="165"/>
      <c r="E32" s="165"/>
      <c r="F32" s="165"/>
      <c r="G32" s="16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2B3A-4D9F-44A8-B1C9-9840CC629A98}">
  <dimension ref="B1:G21"/>
  <sheetViews>
    <sheetView workbookViewId="0">
      <selection activeCell="D12" sqref="D12"/>
    </sheetView>
  </sheetViews>
  <sheetFormatPr defaultRowHeight="15" x14ac:dyDescent="0.25"/>
  <cols>
    <col min="1" max="1" width="2.7109375" customWidth="1"/>
    <col min="2" max="2" width="12" customWidth="1"/>
    <col min="3" max="3" width="63.5703125" bestFit="1" customWidth="1"/>
    <col min="4" max="4" width="13.28515625" bestFit="1" customWidth="1"/>
    <col min="6" max="6" width="14.42578125" bestFit="1" customWidth="1"/>
  </cols>
  <sheetData>
    <row r="1" spans="2:7" ht="18.75" x14ac:dyDescent="0.3">
      <c r="B1" s="126" t="s">
        <v>0</v>
      </c>
    </row>
    <row r="2" spans="2:7" ht="15.75" x14ac:dyDescent="0.25">
      <c r="B2" s="128" t="s">
        <v>954</v>
      </c>
    </row>
    <row r="6" spans="2:7" x14ac:dyDescent="0.25">
      <c r="C6" s="262" t="s">
        <v>954</v>
      </c>
    </row>
    <row r="8" spans="2:7" x14ac:dyDescent="0.25">
      <c r="C8" s="267" t="s">
        <v>943</v>
      </c>
    </row>
    <row r="9" spans="2:7" x14ac:dyDescent="0.25">
      <c r="C9" t="s">
        <v>955</v>
      </c>
    </row>
    <row r="11" spans="2:7" x14ac:dyDescent="0.25">
      <c r="C11" t="s">
        <v>938</v>
      </c>
      <c r="D11" s="266">
        <f>'UTC Exp'!D18</f>
        <v>1359141.4831609298</v>
      </c>
    </row>
    <row r="12" spans="2:7" x14ac:dyDescent="0.25">
      <c r="C12" t="s">
        <v>956</v>
      </c>
      <c r="D12" s="275">
        <v>6.4200000000000004E-3</v>
      </c>
    </row>
    <row r="13" spans="2:7" x14ac:dyDescent="0.25">
      <c r="D13" s="270">
        <f>D11*D12</f>
        <v>8725.6883218931689</v>
      </c>
      <c r="E13" s="264" t="s">
        <v>337</v>
      </c>
    </row>
    <row r="15" spans="2:7" x14ac:dyDescent="0.25">
      <c r="C15" s="172"/>
      <c r="D15" s="165"/>
      <c r="E15" s="165"/>
      <c r="F15" s="165"/>
      <c r="G15" s="167"/>
    </row>
    <row r="16" spans="2:7" x14ac:dyDescent="0.25">
      <c r="C16" s="172"/>
      <c r="D16" s="165"/>
      <c r="E16" s="165"/>
      <c r="F16" s="165"/>
      <c r="G16" s="167"/>
    </row>
    <row r="17" spans="4:7" x14ac:dyDescent="0.25">
      <c r="D17" s="165"/>
      <c r="E17" s="165"/>
      <c r="F17" s="165"/>
      <c r="G17" s="167"/>
    </row>
    <row r="21" spans="4:7" x14ac:dyDescent="0.25">
      <c r="F21" s="261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B564-68CE-48D8-929E-EA9C7C897803}">
  <dimension ref="B1:G27"/>
  <sheetViews>
    <sheetView workbookViewId="0">
      <selection activeCell="F27" sqref="F27"/>
    </sheetView>
  </sheetViews>
  <sheetFormatPr defaultRowHeight="15" x14ac:dyDescent="0.25"/>
  <cols>
    <col min="1" max="1" width="2.7109375" customWidth="1"/>
    <col min="3" max="3" width="11.140625" bestFit="1" customWidth="1"/>
    <col min="4" max="4" width="15.28515625" bestFit="1" customWidth="1"/>
    <col min="5" max="5" width="14.28515625" bestFit="1" customWidth="1"/>
    <col min="6" max="6" width="13.5703125" bestFit="1" customWidth="1"/>
    <col min="7" max="7" width="13.5703125" customWidth="1"/>
  </cols>
  <sheetData>
    <row r="1" spans="2:7" ht="18.75" x14ac:dyDescent="0.3">
      <c r="B1" s="126" t="s">
        <v>0</v>
      </c>
    </row>
    <row r="2" spans="2:7" ht="15.75" x14ac:dyDescent="0.25">
      <c r="B2" s="128" t="s">
        <v>974</v>
      </c>
    </row>
    <row r="7" spans="2:7" x14ac:dyDescent="0.25">
      <c r="C7" s="276" t="s">
        <v>975</v>
      </c>
      <c r="D7" s="276" t="s">
        <v>977</v>
      </c>
      <c r="E7" s="276" t="s">
        <v>978</v>
      </c>
      <c r="F7" s="276" t="s">
        <v>17</v>
      </c>
      <c r="G7" s="276"/>
    </row>
    <row r="8" spans="2:7" x14ac:dyDescent="0.25">
      <c r="C8" t="s">
        <v>873</v>
      </c>
      <c r="D8" s="261">
        <v>4.7689353708236979</v>
      </c>
      <c r="E8" s="261">
        <v>10244.421999999999</v>
      </c>
      <c r="F8" s="261">
        <v>46227.850000000006</v>
      </c>
      <c r="G8" s="261"/>
    </row>
    <row r="9" spans="2:7" x14ac:dyDescent="0.25">
      <c r="C9" t="s">
        <v>874</v>
      </c>
      <c r="D9" s="261">
        <v>4.6582167582902843</v>
      </c>
      <c r="E9" s="261">
        <v>3906.7850000000003</v>
      </c>
      <c r="F9" s="261">
        <v>18108.529999999995</v>
      </c>
      <c r="G9" s="261"/>
    </row>
    <row r="10" spans="2:7" x14ac:dyDescent="0.25">
      <c r="C10" t="s">
        <v>972</v>
      </c>
      <c r="D10" s="261">
        <v>4.8667981121181274</v>
      </c>
      <c r="E10" s="261">
        <v>7170.4400000000005</v>
      </c>
      <c r="F10" s="261">
        <v>33912.349999999991</v>
      </c>
      <c r="G10" s="261"/>
    </row>
    <row r="11" spans="2:7" x14ac:dyDescent="0.25">
      <c r="C11" t="s">
        <v>973</v>
      </c>
      <c r="D11" s="261">
        <v>4.30299528397566</v>
      </c>
      <c r="E11" s="261">
        <v>397.2</v>
      </c>
      <c r="F11" s="261">
        <v>1707.52</v>
      </c>
      <c r="G11" s="261"/>
    </row>
    <row r="12" spans="2:7" x14ac:dyDescent="0.25">
      <c r="C12" t="s">
        <v>877</v>
      </c>
      <c r="D12" s="261">
        <v>4.7430684937904841</v>
      </c>
      <c r="E12" s="261">
        <v>2102.2999999999997</v>
      </c>
      <c r="F12" s="261">
        <v>10514.619999999997</v>
      </c>
      <c r="G12" s="261"/>
    </row>
    <row r="13" spans="2:7" x14ac:dyDescent="0.25">
      <c r="C13" t="s">
        <v>878</v>
      </c>
      <c r="D13" s="261">
        <v>5.670468427073815</v>
      </c>
      <c r="E13" s="261">
        <v>2711.4950000000003</v>
      </c>
      <c r="F13" s="261">
        <v>15105.039999999999</v>
      </c>
      <c r="G13" s="261"/>
    </row>
    <row r="14" spans="2:7" x14ac:dyDescent="0.25">
      <c r="C14" t="s">
        <v>228</v>
      </c>
      <c r="D14" s="261">
        <v>3.9561312380952378</v>
      </c>
      <c r="E14" s="261">
        <v>4250</v>
      </c>
      <c r="F14" s="261">
        <v>17297.07</v>
      </c>
      <c r="G14" s="261"/>
    </row>
    <row r="15" spans="2:7" x14ac:dyDescent="0.25">
      <c r="C15" t="s">
        <v>879</v>
      </c>
      <c r="D15" s="261">
        <v>4.6326253096326129</v>
      </c>
      <c r="E15" s="261">
        <v>17767.548399999989</v>
      </c>
      <c r="F15" s="261">
        <v>82027.320000000022</v>
      </c>
      <c r="G15" s="261"/>
    </row>
    <row r="16" spans="2:7" x14ac:dyDescent="0.25">
      <c r="C16" t="s">
        <v>880</v>
      </c>
      <c r="D16" s="261">
        <v>4.5360274074260349</v>
      </c>
      <c r="E16" s="261">
        <v>4887.5869999999995</v>
      </c>
      <c r="F16" s="261">
        <v>21796.229999999996</v>
      </c>
      <c r="G16" s="261"/>
    </row>
    <row r="17" spans="3:7" x14ac:dyDescent="0.25">
      <c r="C17" t="s">
        <v>881</v>
      </c>
      <c r="D17" s="261">
        <v>4.7255115336139424</v>
      </c>
      <c r="E17" s="261">
        <v>9000.8490000000002</v>
      </c>
      <c r="F17" s="261">
        <v>42218.210000000006</v>
      </c>
      <c r="G17" s="261"/>
    </row>
    <row r="18" spans="3:7" x14ac:dyDescent="0.25">
      <c r="C18" t="s">
        <v>882</v>
      </c>
      <c r="D18" s="261">
        <v>4.5402828363051588</v>
      </c>
      <c r="E18" s="261">
        <v>18192.349999999999</v>
      </c>
      <c r="F18" s="261">
        <v>82539.28</v>
      </c>
      <c r="G18" s="261"/>
    </row>
    <row r="19" spans="3:7" x14ac:dyDescent="0.25">
      <c r="C19" t="s">
        <v>883</v>
      </c>
      <c r="D19" s="261">
        <v>4.7432812650983127</v>
      </c>
      <c r="E19" s="261">
        <v>8259.5250000000015</v>
      </c>
      <c r="F19" s="261">
        <v>39390.131000000001</v>
      </c>
      <c r="G19" s="261"/>
    </row>
    <row r="20" spans="3:7" x14ac:dyDescent="0.25">
      <c r="C20" t="s">
        <v>227</v>
      </c>
      <c r="D20" s="261">
        <v>4.4934319956064632</v>
      </c>
      <c r="E20" s="261">
        <v>1812.2</v>
      </c>
      <c r="F20" s="261">
        <v>8333.84</v>
      </c>
      <c r="G20" s="261"/>
    </row>
    <row r="21" spans="3:7" x14ac:dyDescent="0.25">
      <c r="C21" t="s">
        <v>976</v>
      </c>
      <c r="D21" s="261"/>
      <c r="E21" s="261"/>
      <c r="F21" s="261">
        <v>1523.02</v>
      </c>
      <c r="G21" s="261"/>
    </row>
    <row r="22" spans="3:7" x14ac:dyDescent="0.25">
      <c r="C22" s="262" t="s">
        <v>979</v>
      </c>
      <c r="D22" s="277">
        <f>SUM(D8:D21)</f>
        <v>60.63777403184983</v>
      </c>
      <c r="E22" s="277">
        <f t="shared" ref="E22:F22" si="0">SUM(E8:E21)</f>
        <v>90702.701399999976</v>
      </c>
      <c r="F22" s="277">
        <f t="shared" si="0"/>
        <v>420701.01100000006</v>
      </c>
      <c r="G22" s="279"/>
    </row>
    <row r="24" spans="3:7" x14ac:dyDescent="0.25">
      <c r="F24" s="261">
        <v>5.0199999999999996</v>
      </c>
      <c r="G24" t="s">
        <v>980</v>
      </c>
    </row>
    <row r="25" spans="3:7" x14ac:dyDescent="0.25">
      <c r="F25" s="278">
        <f>E22*F24</f>
        <v>455327.56102799985</v>
      </c>
      <c r="G25" t="s">
        <v>981</v>
      </c>
    </row>
    <row r="27" spans="3:7" x14ac:dyDescent="0.25">
      <c r="F27" s="263">
        <f>F25-F22</f>
        <v>34626.550027999794</v>
      </c>
      <c r="G27" s="264" t="s">
        <v>338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E386-FA04-4212-B6D0-A2D836CA1BC7}">
  <dimension ref="B1:J29"/>
  <sheetViews>
    <sheetView workbookViewId="0">
      <selection activeCell="H8" sqref="H8"/>
    </sheetView>
  </sheetViews>
  <sheetFormatPr defaultRowHeight="11.25" x14ac:dyDescent="0.2"/>
  <cols>
    <col min="1" max="1" width="2" style="70" customWidth="1"/>
    <col min="2" max="2" width="36.140625" style="70" bestFit="1" customWidth="1"/>
    <col min="3" max="3" width="3" style="70" bestFit="1" customWidth="1"/>
    <col min="4" max="4" width="12.28515625" style="70" bestFit="1" customWidth="1"/>
    <col min="5" max="5" width="2.85546875" style="70" customWidth="1"/>
    <col min="6" max="6" width="14" style="70" customWidth="1"/>
    <col min="7" max="7" width="9.140625" style="70"/>
    <col min="8" max="8" width="20.5703125" style="70" bestFit="1" customWidth="1"/>
    <col min="9" max="16384" width="9.140625" style="70"/>
  </cols>
  <sheetData>
    <row r="1" spans="2:10" ht="18.75" x14ac:dyDescent="0.3">
      <c r="B1" s="173" t="s">
        <v>342</v>
      </c>
      <c r="C1" s="173"/>
      <c r="D1" s="173"/>
      <c r="E1" s="173"/>
      <c r="F1" s="173"/>
      <c r="G1" s="173"/>
      <c r="H1" s="173"/>
      <c r="I1" s="173"/>
      <c r="J1" s="173"/>
    </row>
    <row r="2" spans="2:10" ht="15.75" x14ac:dyDescent="0.25">
      <c r="B2" s="174" t="s">
        <v>853</v>
      </c>
      <c r="C2" s="94"/>
      <c r="D2" s="94"/>
      <c r="E2" s="94"/>
      <c r="F2" s="94"/>
      <c r="G2" s="94"/>
      <c r="H2" s="94"/>
      <c r="I2" s="94"/>
      <c r="J2" s="94"/>
    </row>
    <row r="3" spans="2:10" ht="15.75" x14ac:dyDescent="0.25">
      <c r="B3" s="175" t="s">
        <v>854</v>
      </c>
      <c r="C3" s="176"/>
      <c r="D3" s="176"/>
      <c r="E3" s="176"/>
      <c r="F3" s="176"/>
      <c r="G3" s="176"/>
      <c r="H3" s="176"/>
      <c r="I3" s="176"/>
      <c r="J3" s="176"/>
    </row>
    <row r="4" spans="2:10" ht="18.75" x14ac:dyDescent="0.3">
      <c r="B4" s="177"/>
      <c r="C4" s="178"/>
      <c r="D4" s="178"/>
      <c r="E4" s="178"/>
      <c r="F4" s="178"/>
      <c r="G4" s="178"/>
      <c r="H4" s="178"/>
    </row>
    <row r="5" spans="2:10" ht="18.75" x14ac:dyDescent="0.3">
      <c r="B5" s="177"/>
      <c r="C5" s="178"/>
      <c r="D5" s="178"/>
      <c r="E5" s="178"/>
      <c r="F5" s="178"/>
      <c r="G5" s="178"/>
      <c r="H5" s="178"/>
    </row>
    <row r="6" spans="2:10" ht="30" x14ac:dyDescent="0.25">
      <c r="B6" s="179"/>
      <c r="D6" s="88" t="s">
        <v>211</v>
      </c>
      <c r="E6" s="88"/>
      <c r="F6" s="180" t="s">
        <v>855</v>
      </c>
      <c r="G6" s="181"/>
      <c r="H6" s="181"/>
    </row>
    <row r="7" spans="2:10" ht="15" x14ac:dyDescent="0.25">
      <c r="B7" s="179"/>
      <c r="D7" s="104"/>
      <c r="E7" s="104"/>
      <c r="F7" s="104"/>
      <c r="G7" s="182"/>
      <c r="H7" s="182"/>
    </row>
    <row r="8" spans="2:10" ht="15" x14ac:dyDescent="0.25">
      <c r="B8" s="176" t="s">
        <v>856</v>
      </c>
      <c r="D8" s="50">
        <v>0.87370000000000003</v>
      </c>
      <c r="E8" s="2"/>
      <c r="F8" s="50">
        <f>1-D8</f>
        <v>0.12629999999999997</v>
      </c>
      <c r="H8" s="2"/>
    </row>
    <row r="9" spans="2:10" ht="15" x14ac:dyDescent="0.25">
      <c r="D9" s="2"/>
      <c r="E9" s="2"/>
      <c r="F9" s="2"/>
    </row>
    <row r="10" spans="2:10" ht="15" x14ac:dyDescent="0.25">
      <c r="B10" s="176" t="s">
        <v>857</v>
      </c>
      <c r="D10" s="50">
        <v>0.87890000000000001</v>
      </c>
      <c r="E10" s="2"/>
      <c r="F10" s="50">
        <f>1-D10</f>
        <v>0.12109999999999999</v>
      </c>
      <c r="H10" s="2"/>
    </row>
    <row r="11" spans="2:10" ht="15" x14ac:dyDescent="0.25">
      <c r="D11" s="50"/>
      <c r="E11" s="2"/>
      <c r="F11" s="50"/>
    </row>
    <row r="12" spans="2:10" ht="15" x14ac:dyDescent="0.25">
      <c r="B12" s="176" t="s">
        <v>858</v>
      </c>
      <c r="D12" s="50">
        <f>'Results of Operations'!L34</f>
        <v>0.77687601571904341</v>
      </c>
      <c r="E12" s="2"/>
      <c r="F12" s="50">
        <f>1-D12</f>
        <v>0.22312398428095659</v>
      </c>
    </row>
    <row r="13" spans="2:10" ht="15" x14ac:dyDescent="0.25">
      <c r="D13" s="50"/>
      <c r="E13" s="2"/>
      <c r="F13" s="50"/>
    </row>
    <row r="14" spans="2:10" ht="15" x14ac:dyDescent="0.25">
      <c r="B14" s="176" t="s">
        <v>859</v>
      </c>
      <c r="D14" s="50">
        <v>0.74299999999999999</v>
      </c>
      <c r="E14" s="2"/>
      <c r="F14" s="50">
        <f>1-D14</f>
        <v>0.25700000000000001</v>
      </c>
    </row>
    <row r="19" spans="3:9" ht="12.75" x14ac:dyDescent="0.2">
      <c r="C19" s="183" t="s">
        <v>860</v>
      </c>
      <c r="D19" s="325" t="s">
        <v>861</v>
      </c>
      <c r="E19" s="325"/>
      <c r="F19" s="325"/>
      <c r="G19" s="325"/>
      <c r="H19" s="325"/>
      <c r="I19" s="325"/>
    </row>
    <row r="20" spans="3:9" ht="12.75" x14ac:dyDescent="0.2">
      <c r="C20" s="184"/>
      <c r="D20" s="185"/>
    </row>
    <row r="21" spans="3:9" ht="12.75" x14ac:dyDescent="0.2">
      <c r="C21" s="183" t="s">
        <v>862</v>
      </c>
      <c r="D21" s="326" t="s">
        <v>863</v>
      </c>
      <c r="E21" s="326"/>
      <c r="F21" s="326"/>
      <c r="G21" s="326"/>
      <c r="H21" s="326"/>
      <c r="I21" s="326"/>
    </row>
    <row r="22" spans="3:9" ht="12.75" x14ac:dyDescent="0.2">
      <c r="C22" s="184"/>
      <c r="D22" s="326"/>
      <c r="E22" s="326"/>
      <c r="F22" s="326"/>
      <c r="G22" s="326"/>
      <c r="H22" s="326"/>
      <c r="I22" s="326"/>
    </row>
    <row r="24" spans="3:9" ht="12.75" x14ac:dyDescent="0.2">
      <c r="C24" s="183" t="s">
        <v>864</v>
      </c>
      <c r="D24" s="326" t="s">
        <v>865</v>
      </c>
      <c r="E24" s="326"/>
      <c r="F24" s="326"/>
      <c r="G24" s="326"/>
      <c r="H24" s="326"/>
      <c r="I24" s="326"/>
    </row>
    <row r="25" spans="3:9" ht="12.75" x14ac:dyDescent="0.2">
      <c r="C25" s="184"/>
      <c r="D25" s="326"/>
      <c r="E25" s="326"/>
      <c r="F25" s="326"/>
      <c r="G25" s="326"/>
      <c r="H25" s="326"/>
      <c r="I25" s="326"/>
    </row>
    <row r="27" spans="3:9" ht="12.75" x14ac:dyDescent="0.2">
      <c r="C27" s="183" t="s">
        <v>866</v>
      </c>
      <c r="D27" s="325" t="s">
        <v>867</v>
      </c>
      <c r="E27" s="325"/>
      <c r="F27" s="325"/>
      <c r="G27" s="325"/>
      <c r="H27" s="325"/>
      <c r="I27" s="325"/>
    </row>
    <row r="28" spans="3:9" ht="12.75" x14ac:dyDescent="0.2">
      <c r="C28" s="184"/>
      <c r="D28" s="185"/>
    </row>
    <row r="29" spans="3:9" ht="12.75" x14ac:dyDescent="0.2">
      <c r="C29" s="183"/>
    </row>
  </sheetData>
  <mergeCells count="4">
    <mergeCell ref="D19:I19"/>
    <mergeCell ref="D21:I22"/>
    <mergeCell ref="D24:I25"/>
    <mergeCell ref="D27:I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E7F4-1328-4DD9-9CC0-D65CD4319780}">
  <dimension ref="B1:F30"/>
  <sheetViews>
    <sheetView workbookViewId="0">
      <selection activeCell="B4" sqref="B4"/>
    </sheetView>
  </sheetViews>
  <sheetFormatPr defaultRowHeight="15" x14ac:dyDescent="0.25"/>
  <cols>
    <col min="1" max="1" width="2.7109375" style="125" customWidth="1"/>
    <col min="2" max="2" width="26.28515625" style="125" bestFit="1" customWidth="1"/>
    <col min="3" max="3" width="10.85546875" style="125" customWidth="1"/>
    <col min="4" max="4" width="10.42578125" style="125" customWidth="1"/>
    <col min="5" max="5" width="11.42578125" style="125" customWidth="1"/>
    <col min="6" max="16384" width="9.140625" style="125"/>
  </cols>
  <sheetData>
    <row r="1" spans="2:6" ht="18.75" x14ac:dyDescent="0.3">
      <c r="B1" s="186" t="s">
        <v>0</v>
      </c>
    </row>
    <row r="2" spans="2:6" ht="15.75" x14ac:dyDescent="0.25">
      <c r="B2" s="187" t="s">
        <v>868</v>
      </c>
    </row>
    <row r="3" spans="2:6" ht="15.75" x14ac:dyDescent="0.25">
      <c r="B3" s="188" t="s">
        <v>854</v>
      </c>
    </row>
    <row r="5" spans="2:6" x14ac:dyDescent="0.25">
      <c r="C5" s="327" t="s">
        <v>869</v>
      </c>
      <c r="D5" s="327"/>
    </row>
    <row r="6" spans="2:6" x14ac:dyDescent="0.25">
      <c r="B6" s="130" t="s">
        <v>855</v>
      </c>
      <c r="C6" s="190" t="s">
        <v>870</v>
      </c>
      <c r="D6" s="190" t="s">
        <v>871</v>
      </c>
      <c r="E6" s="191" t="s">
        <v>872</v>
      </c>
      <c r="F6" s="192"/>
    </row>
    <row r="7" spans="2:6" x14ac:dyDescent="0.25">
      <c r="B7" s="193" t="s">
        <v>227</v>
      </c>
      <c r="C7" s="194">
        <v>570</v>
      </c>
      <c r="D7" s="195">
        <v>553</v>
      </c>
      <c r="E7" s="195">
        <f>SUM(C7:D7)</f>
        <v>1123</v>
      </c>
      <c r="F7" s="192"/>
    </row>
    <row r="8" spans="2:6" x14ac:dyDescent="0.25">
      <c r="B8" s="193" t="s">
        <v>228</v>
      </c>
      <c r="C8" s="194">
        <v>621</v>
      </c>
      <c r="D8" s="195">
        <v>621</v>
      </c>
      <c r="E8" s="195">
        <f>SUM(C8:D8)</f>
        <v>1242</v>
      </c>
      <c r="F8" s="192"/>
    </row>
    <row r="9" spans="2:6" x14ac:dyDescent="0.25">
      <c r="C9" s="196">
        <f>SUM(C7:C8)</f>
        <v>1191</v>
      </c>
      <c r="D9" s="197">
        <f>SUM(D7:D8)</f>
        <v>1174</v>
      </c>
      <c r="E9" s="197">
        <f>SUM(E7:E8)</f>
        <v>2365</v>
      </c>
      <c r="F9" s="198">
        <f>E9/(E9+E23)</f>
        <v>0.12634896890693451</v>
      </c>
    </row>
    <row r="10" spans="2:6" x14ac:dyDescent="0.25">
      <c r="D10" s="192"/>
      <c r="E10" s="199"/>
      <c r="F10" s="192"/>
    </row>
    <row r="11" spans="2:6" x14ac:dyDescent="0.25">
      <c r="B11" s="130" t="s">
        <v>211</v>
      </c>
      <c r="C11" s="189"/>
      <c r="F11" s="192"/>
    </row>
    <row r="12" spans="2:6" x14ac:dyDescent="0.25">
      <c r="B12" s="193" t="s">
        <v>873</v>
      </c>
      <c r="C12" s="195">
        <v>1123</v>
      </c>
      <c r="D12" s="195">
        <v>1153</v>
      </c>
      <c r="E12" s="195">
        <f>SUM(C12:D12)</f>
        <v>2276</v>
      </c>
      <c r="F12" s="192"/>
    </row>
    <row r="13" spans="2:6" x14ac:dyDescent="0.25">
      <c r="B13" s="193" t="s">
        <v>874</v>
      </c>
      <c r="C13" s="195">
        <v>570</v>
      </c>
      <c r="D13" s="195">
        <v>569</v>
      </c>
      <c r="E13" s="195">
        <f t="shared" ref="E13:E22" si="0">SUM(C13:D13)</f>
        <v>1139</v>
      </c>
      <c r="F13" s="192"/>
    </row>
    <row r="14" spans="2:6" x14ac:dyDescent="0.25">
      <c r="B14" s="193" t="s">
        <v>875</v>
      </c>
      <c r="C14" s="195">
        <v>695</v>
      </c>
      <c r="D14" s="195">
        <v>670</v>
      </c>
      <c r="E14" s="195">
        <f t="shared" si="0"/>
        <v>1365</v>
      </c>
      <c r="F14" s="192"/>
    </row>
    <row r="15" spans="2:6" x14ac:dyDescent="0.25">
      <c r="B15" s="193" t="s">
        <v>876</v>
      </c>
      <c r="C15" s="195">
        <v>125</v>
      </c>
      <c r="D15" s="200"/>
      <c r="E15" s="195">
        <f t="shared" si="0"/>
        <v>125</v>
      </c>
      <c r="F15" s="192"/>
    </row>
    <row r="16" spans="2:6" x14ac:dyDescent="0.25">
      <c r="B16" s="193" t="s">
        <v>877</v>
      </c>
      <c r="C16" s="195">
        <v>424</v>
      </c>
      <c r="D16" s="195">
        <v>420</v>
      </c>
      <c r="E16" s="195">
        <f t="shared" si="0"/>
        <v>844</v>
      </c>
      <c r="F16" s="192"/>
    </row>
    <row r="17" spans="2:6" x14ac:dyDescent="0.25">
      <c r="B17" s="193" t="s">
        <v>878</v>
      </c>
      <c r="C17" s="195">
        <v>341</v>
      </c>
      <c r="D17" s="195">
        <v>373</v>
      </c>
      <c r="E17" s="195">
        <f t="shared" si="0"/>
        <v>714</v>
      </c>
      <c r="F17" s="192"/>
    </row>
    <row r="18" spans="2:6" x14ac:dyDescent="0.25">
      <c r="B18" s="193" t="s">
        <v>879</v>
      </c>
      <c r="C18" s="195">
        <v>1360</v>
      </c>
      <c r="D18" s="195">
        <v>1359</v>
      </c>
      <c r="E18" s="195">
        <f t="shared" si="0"/>
        <v>2719</v>
      </c>
      <c r="F18" s="192"/>
    </row>
    <row r="19" spans="2:6" x14ac:dyDescent="0.25">
      <c r="B19" s="193" t="s">
        <v>880</v>
      </c>
      <c r="C19" s="195">
        <v>532</v>
      </c>
      <c r="D19" s="195">
        <v>526</v>
      </c>
      <c r="E19" s="195">
        <f t="shared" si="0"/>
        <v>1058</v>
      </c>
      <c r="F19" s="192"/>
    </row>
    <row r="20" spans="2:6" x14ac:dyDescent="0.25">
      <c r="B20" s="193" t="s">
        <v>881</v>
      </c>
      <c r="C20" s="195">
        <v>959</v>
      </c>
      <c r="D20" s="195">
        <v>961</v>
      </c>
      <c r="E20" s="195">
        <f t="shared" si="0"/>
        <v>1920</v>
      </c>
      <c r="F20" s="192"/>
    </row>
    <row r="21" spans="2:6" x14ac:dyDescent="0.25">
      <c r="B21" s="193" t="s">
        <v>882</v>
      </c>
      <c r="C21" s="195">
        <v>1314</v>
      </c>
      <c r="D21" s="195">
        <v>1319</v>
      </c>
      <c r="E21" s="195">
        <f t="shared" si="0"/>
        <v>2633</v>
      </c>
      <c r="F21" s="192"/>
    </row>
    <row r="22" spans="2:6" x14ac:dyDescent="0.25">
      <c r="B22" s="193" t="s">
        <v>883</v>
      </c>
      <c r="C22" s="195">
        <v>779</v>
      </c>
      <c r="D22" s="195">
        <v>781</v>
      </c>
      <c r="E22" s="195">
        <f t="shared" si="0"/>
        <v>1560</v>
      </c>
      <c r="F22" s="192"/>
    </row>
    <row r="23" spans="2:6" x14ac:dyDescent="0.25">
      <c r="C23" s="201">
        <f>SUM(C12:C22)</f>
        <v>8222</v>
      </c>
      <c r="D23" s="201">
        <f t="shared" ref="D23:E23" si="1">SUM(D12:D22)</f>
        <v>8131</v>
      </c>
      <c r="E23" s="201">
        <f t="shared" si="1"/>
        <v>16353</v>
      </c>
      <c r="F23" s="198">
        <f>E23/(E9+E23)</f>
        <v>0.87365103109306552</v>
      </c>
    </row>
    <row r="24" spans="2:6" x14ac:dyDescent="0.25">
      <c r="C24" s="192"/>
      <c r="D24" s="192"/>
      <c r="E24" s="199"/>
      <c r="F24" s="192"/>
    </row>
    <row r="25" spans="2:6" x14ac:dyDescent="0.25">
      <c r="B25" s="202" t="s">
        <v>884</v>
      </c>
      <c r="D25" s="192"/>
      <c r="E25" s="192"/>
      <c r="F25" s="192"/>
    </row>
    <row r="26" spans="2:6" x14ac:dyDescent="0.25">
      <c r="C26" s="192"/>
      <c r="D26" s="199"/>
      <c r="E26" s="192"/>
      <c r="F26" s="192"/>
    </row>
    <row r="27" spans="2:6" x14ac:dyDescent="0.25">
      <c r="D27" s="192"/>
      <c r="E27" s="192"/>
      <c r="F27" s="192"/>
    </row>
    <row r="28" spans="2:6" x14ac:dyDescent="0.25">
      <c r="B28" s="202" t="s">
        <v>885</v>
      </c>
      <c r="D28" s="192"/>
      <c r="E28" s="192"/>
      <c r="F28" s="192"/>
    </row>
    <row r="29" spans="2:6" x14ac:dyDescent="0.25">
      <c r="B29" s="202" t="s">
        <v>886</v>
      </c>
      <c r="C29" s="192"/>
      <c r="D29" s="192"/>
      <c r="E29" s="192"/>
      <c r="F29" s="192"/>
    </row>
    <row r="30" spans="2:6" x14ac:dyDescent="0.25">
      <c r="C30" s="192"/>
      <c r="D30" s="192"/>
      <c r="E30" s="192"/>
      <c r="F30" s="192"/>
    </row>
  </sheetData>
  <mergeCells count="1"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4CD5-993B-4ECE-9F5C-0F236471DF85}">
  <dimension ref="B1:U112"/>
  <sheetViews>
    <sheetView zoomScale="85" zoomScaleNormal="85" workbookViewId="0">
      <pane xSplit="2" ySplit="8" topLeftCell="C54" activePane="bottomRight" state="frozen"/>
      <selection pane="topRight" activeCell="C1" sqref="C1"/>
      <selection pane="bottomLeft" activeCell="A9" sqref="A9"/>
      <selection pane="bottomRight" activeCell="C79" sqref="C79"/>
    </sheetView>
  </sheetViews>
  <sheetFormatPr defaultRowHeight="15" x14ac:dyDescent="0.25"/>
  <cols>
    <col min="1" max="1" width="2.42578125" style="2" customWidth="1"/>
    <col min="2" max="2" width="34.42578125" style="2" bestFit="1" customWidth="1"/>
    <col min="3" max="3" width="14.28515625" style="2" bestFit="1" customWidth="1"/>
    <col min="4" max="4" width="12.42578125" style="2" bestFit="1" customWidth="1"/>
    <col min="5" max="5" width="14.28515625" style="2" bestFit="1" customWidth="1"/>
    <col min="6" max="6" width="14" style="2" bestFit="1" customWidth="1"/>
    <col min="7" max="7" width="14.28515625" style="2" bestFit="1" customWidth="1"/>
    <col min="8" max="8" width="2.7109375" style="2" customWidth="1"/>
    <col min="9" max="9" width="7.140625" style="2" bestFit="1" customWidth="1"/>
    <col min="10" max="10" width="10" style="2" bestFit="1" customWidth="1"/>
    <col min="11" max="11" width="13.28515625" style="2" bestFit="1" customWidth="1"/>
    <col min="12" max="12" width="14.28515625" style="2" bestFit="1" customWidth="1"/>
    <col min="13" max="13" width="2.7109375" style="2" customWidth="1"/>
    <col min="14" max="14" width="13.28515625" style="2" bestFit="1" customWidth="1"/>
    <col min="15" max="15" width="14.28515625" style="2" bestFit="1" customWidth="1"/>
    <col min="16" max="17" width="9.140625" style="2"/>
    <col min="18" max="19" width="13.28515625" style="2" bestFit="1" customWidth="1"/>
    <col min="20" max="16384" width="9.140625" style="2"/>
  </cols>
  <sheetData>
    <row r="1" spans="2:21" ht="18.7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5.75" x14ac:dyDescent="0.25">
      <c r="B2" s="3" t="s">
        <v>198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ht="15.75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6" spans="2:21" s="44" customFormat="1" x14ac:dyDescent="0.25">
      <c r="J6" s="45"/>
      <c r="K6" s="45"/>
      <c r="L6" s="45"/>
      <c r="M6" s="45"/>
      <c r="N6" s="45"/>
      <c r="O6" s="45" t="s">
        <v>199</v>
      </c>
    </row>
    <row r="7" spans="2:21" s="44" customFormat="1" x14ac:dyDescent="0.25">
      <c r="C7" s="45" t="s">
        <v>200</v>
      </c>
      <c r="D7" s="45" t="s">
        <v>201</v>
      </c>
      <c r="E7" s="45" t="s">
        <v>202</v>
      </c>
      <c r="F7" s="45" t="s">
        <v>203</v>
      </c>
      <c r="G7" s="45" t="s">
        <v>203</v>
      </c>
      <c r="H7" s="45"/>
      <c r="I7" s="320" t="s">
        <v>204</v>
      </c>
      <c r="J7" s="320"/>
      <c r="K7" s="45" t="s">
        <v>205</v>
      </c>
      <c r="L7" s="45"/>
      <c r="M7" s="45"/>
      <c r="N7" s="45" t="s">
        <v>206</v>
      </c>
      <c r="O7" s="45" t="s">
        <v>203</v>
      </c>
    </row>
    <row r="8" spans="2:21" s="44" customFormat="1" x14ac:dyDescent="0.25">
      <c r="B8" s="44" t="s">
        <v>4</v>
      </c>
      <c r="C8" s="45" t="s">
        <v>207</v>
      </c>
      <c r="D8" s="45" t="s">
        <v>208</v>
      </c>
      <c r="E8" s="45" t="s">
        <v>209</v>
      </c>
      <c r="F8" s="45" t="s">
        <v>208</v>
      </c>
      <c r="G8" s="45" t="s">
        <v>209</v>
      </c>
      <c r="H8" s="45"/>
      <c r="I8" s="45" t="s">
        <v>369</v>
      </c>
      <c r="J8" s="45" t="s">
        <v>210</v>
      </c>
      <c r="K8" s="45" t="s">
        <v>211</v>
      </c>
      <c r="L8" s="45" t="s">
        <v>211</v>
      </c>
      <c r="M8" s="45"/>
      <c r="N8" s="45" t="s">
        <v>212</v>
      </c>
      <c r="O8" s="45" t="s">
        <v>209</v>
      </c>
    </row>
    <row r="10" spans="2:21" x14ac:dyDescent="0.25">
      <c r="B10" s="44" t="s">
        <v>213</v>
      </c>
      <c r="F10" s="32"/>
    </row>
    <row r="11" spans="2:21" x14ac:dyDescent="0.25">
      <c r="B11" s="2" t="s">
        <v>214</v>
      </c>
      <c r="C11" s="27">
        <f>'12-month P&amp;L'!P11+'12-month P&amp;L'!P15+'12-month P&amp;L'!P16+'12-month P&amp;L'!P20+'12-month P&amp;L'!P24</f>
        <v>4417966.1999999993</v>
      </c>
      <c r="D11" s="32"/>
      <c r="E11" s="27">
        <f>C11+D11</f>
        <v>4417966.1999999993</v>
      </c>
      <c r="F11" s="32"/>
      <c r="G11" s="27">
        <f>E11+F11</f>
        <v>4417966.1999999993</v>
      </c>
      <c r="H11" s="27"/>
      <c r="J11" s="2" t="s">
        <v>215</v>
      </c>
      <c r="L11" s="27">
        <f>G11</f>
        <v>4417966.1999999993</v>
      </c>
      <c r="M11" s="27"/>
      <c r="N11" s="27">
        <f>L109</f>
        <v>1359139.1030765763</v>
      </c>
      <c r="O11" s="27">
        <f>L11+N11</f>
        <v>5777105.3030765755</v>
      </c>
    </row>
    <row r="12" spans="2:21" x14ac:dyDescent="0.25">
      <c r="B12" s="2" t="s">
        <v>216</v>
      </c>
      <c r="C12" s="27">
        <f>'12-month P&amp;L'!P12+'12-month P&amp;L'!P17+'12-month P&amp;L'!P21+'12-month P&amp;L'!P25</f>
        <v>613987.24</v>
      </c>
      <c r="D12" s="32"/>
      <c r="E12" s="27">
        <f t="shared" ref="E12:E16" si="0">C12+D12</f>
        <v>613987.24</v>
      </c>
      <c r="F12" s="32"/>
      <c r="G12" s="27">
        <f t="shared" ref="G12:G16" si="1">E12+F12</f>
        <v>613987.24</v>
      </c>
      <c r="H12" s="27"/>
      <c r="J12" s="2" t="s">
        <v>215</v>
      </c>
      <c r="L12" s="27">
        <f t="shared" ref="L12:L14" si="2">G12</f>
        <v>613987.24</v>
      </c>
      <c r="M12" s="27"/>
      <c r="O12" s="27">
        <f t="shared" ref="O12:O13" si="3">L12+N12</f>
        <v>613987.24</v>
      </c>
    </row>
    <row r="13" spans="2:21" x14ac:dyDescent="0.25">
      <c r="B13" s="2" t="s">
        <v>217</v>
      </c>
      <c r="C13" s="27">
        <f>'12-month P&amp;L'!P13+'12-month P&amp;L'!P18+'12-month P&amp;L'!P22+'12-month P&amp;L'!P26</f>
        <v>197197.5</v>
      </c>
      <c r="D13" s="32"/>
      <c r="E13" s="27">
        <f t="shared" si="0"/>
        <v>197197.5</v>
      </c>
      <c r="F13" s="32"/>
      <c r="G13" s="27">
        <f t="shared" si="1"/>
        <v>197197.5</v>
      </c>
      <c r="H13" s="27"/>
      <c r="J13" s="2" t="s">
        <v>215</v>
      </c>
      <c r="L13" s="27">
        <f t="shared" si="2"/>
        <v>197197.5</v>
      </c>
      <c r="M13" s="27"/>
      <c r="O13" s="27">
        <f t="shared" si="3"/>
        <v>197197.5</v>
      </c>
    </row>
    <row r="14" spans="2:21" x14ac:dyDescent="0.25">
      <c r="B14" s="2" t="s">
        <v>218</v>
      </c>
      <c r="C14" s="27">
        <f>'12-month P&amp;L'!P14+'12-month P&amp;L'!P19+'12-month P&amp;L'!P23+'12-month P&amp;L'!P27</f>
        <v>887430.9</v>
      </c>
      <c r="D14" s="32"/>
      <c r="E14" s="27">
        <f t="shared" si="0"/>
        <v>887430.9</v>
      </c>
      <c r="F14" s="32"/>
      <c r="G14" s="27">
        <f t="shared" si="1"/>
        <v>887430.9</v>
      </c>
      <c r="H14" s="27"/>
      <c r="J14" s="2" t="s">
        <v>215</v>
      </c>
      <c r="L14" s="27">
        <f t="shared" si="2"/>
        <v>887430.9</v>
      </c>
      <c r="M14" s="27"/>
      <c r="O14" s="27">
        <f>L14+N14</f>
        <v>887430.9</v>
      </c>
    </row>
    <row r="15" spans="2:21" x14ac:dyDescent="0.25">
      <c r="B15" s="2" t="s">
        <v>231</v>
      </c>
      <c r="C15" s="27">
        <f>'12-month P&amp;L'!P63</f>
        <v>5868.4100000000008</v>
      </c>
      <c r="D15" s="32"/>
      <c r="E15" s="27">
        <f>C15+D15</f>
        <v>5868.4100000000008</v>
      </c>
      <c r="F15" s="32"/>
      <c r="G15" s="27">
        <f>E15+F15</f>
        <v>5868.4100000000008</v>
      </c>
      <c r="H15" s="27"/>
      <c r="J15" s="2" t="s">
        <v>215</v>
      </c>
      <c r="L15" s="27">
        <f>G15</f>
        <v>5868.4100000000008</v>
      </c>
      <c r="O15" s="27">
        <f t="shared" ref="O15:O16" si="4">L15+N15</f>
        <v>5868.4100000000008</v>
      </c>
    </row>
    <row r="16" spans="2:21" x14ac:dyDescent="0.25">
      <c r="B16" s="2" t="s">
        <v>220</v>
      </c>
      <c r="C16" s="27">
        <f>'12-month P&amp;L'!P38</f>
        <v>15564.039999999999</v>
      </c>
      <c r="D16" s="32"/>
      <c r="E16" s="27">
        <f t="shared" si="0"/>
        <v>15564.039999999999</v>
      </c>
      <c r="F16" s="32"/>
      <c r="G16" s="27">
        <f t="shared" si="1"/>
        <v>15564.039999999999</v>
      </c>
      <c r="H16" s="27"/>
      <c r="J16" s="2" t="s">
        <v>215</v>
      </c>
      <c r="L16" s="27">
        <f>G16</f>
        <v>15564.039999999999</v>
      </c>
      <c r="M16" s="27"/>
      <c r="O16" s="27">
        <f t="shared" si="4"/>
        <v>15564.039999999999</v>
      </c>
    </row>
    <row r="17" spans="2:19" s="44" customFormat="1" x14ac:dyDescent="0.25">
      <c r="B17" s="44" t="s">
        <v>221</v>
      </c>
      <c r="C17" s="46">
        <f>SUM(C11:C16)</f>
        <v>6138014.29</v>
      </c>
      <c r="D17" s="47">
        <f>SUM(D11:D16)</f>
        <v>0</v>
      </c>
      <c r="E17" s="46">
        <f>SUM(E11:E16)</f>
        <v>6138014.29</v>
      </c>
      <c r="F17" s="47">
        <f>SUM(F11:F16)</f>
        <v>0</v>
      </c>
      <c r="G17" s="46">
        <f>SUM(G11:G16)</f>
        <v>6138014.29</v>
      </c>
      <c r="H17" s="48"/>
      <c r="K17" s="46">
        <f>SUM(K11:K16)</f>
        <v>0</v>
      </c>
      <c r="L17" s="46">
        <f>SUM(L11:L16)</f>
        <v>6138014.29</v>
      </c>
      <c r="M17" s="48"/>
      <c r="O17" s="46">
        <f>SUM(O11:O16)</f>
        <v>7497153.3930765763</v>
      </c>
    </row>
    <row r="18" spans="2:19" x14ac:dyDescent="0.25">
      <c r="C18" s="27"/>
      <c r="D18" s="32"/>
      <c r="E18" s="27"/>
      <c r="F18" s="32"/>
      <c r="G18" s="27"/>
      <c r="H18" s="27"/>
      <c r="K18" s="27"/>
    </row>
    <row r="19" spans="2:19" x14ac:dyDescent="0.25">
      <c r="B19" s="44" t="s">
        <v>222</v>
      </c>
      <c r="C19" s="27"/>
      <c r="D19" s="32"/>
      <c r="E19" s="27"/>
      <c r="F19" s="32"/>
      <c r="G19" s="27"/>
      <c r="H19" s="27"/>
      <c r="K19" s="27"/>
    </row>
    <row r="20" spans="2:19" x14ac:dyDescent="0.25">
      <c r="B20" s="2" t="s">
        <v>219</v>
      </c>
      <c r="C20" s="27">
        <f>'12-month P&amp;L'!P31</f>
        <v>262362.25</v>
      </c>
      <c r="D20" s="32"/>
      <c r="E20" s="27">
        <f>C20+D20</f>
        <v>262362.25</v>
      </c>
      <c r="F20" s="32"/>
      <c r="G20" s="27">
        <f>E20+F20</f>
        <v>262362.25</v>
      </c>
      <c r="H20" s="27"/>
      <c r="J20" s="2" t="s">
        <v>215</v>
      </c>
      <c r="K20" s="27">
        <f t="shared" ref="K20:K25" si="5">G20</f>
        <v>262362.25</v>
      </c>
      <c r="O20" s="27"/>
    </row>
    <row r="21" spans="2:19" x14ac:dyDescent="0.25">
      <c r="B21" s="2" t="s">
        <v>223</v>
      </c>
      <c r="C21" s="27">
        <f>'12-month P&amp;L'!P32</f>
        <v>38408.400000000001</v>
      </c>
      <c r="D21" s="32"/>
      <c r="E21" s="27">
        <f>C21+D21</f>
        <v>38408.400000000001</v>
      </c>
      <c r="F21" s="32"/>
      <c r="G21" s="27">
        <f>E21+F21</f>
        <v>38408.400000000001</v>
      </c>
      <c r="H21" s="27"/>
      <c r="J21" s="2" t="s">
        <v>215</v>
      </c>
      <c r="K21" s="27">
        <f t="shared" si="5"/>
        <v>38408.400000000001</v>
      </c>
      <c r="O21" s="27"/>
    </row>
    <row r="22" spans="2:19" x14ac:dyDescent="0.25">
      <c r="B22" s="2" t="s">
        <v>224</v>
      </c>
      <c r="C22" s="27">
        <f>'12-month P&amp;L'!P33</f>
        <v>91797.85</v>
      </c>
      <c r="D22" s="32"/>
      <c r="E22" s="27">
        <f t="shared" ref="E22:E30" si="6">C22+D22</f>
        <v>91797.85</v>
      </c>
      <c r="F22" s="32"/>
      <c r="G22" s="27">
        <f t="shared" ref="G22:G30" si="7">E22+F22</f>
        <v>91797.85</v>
      </c>
      <c r="H22" s="27"/>
      <c r="J22" s="2" t="s">
        <v>215</v>
      </c>
      <c r="K22" s="27">
        <f t="shared" si="5"/>
        <v>91797.85</v>
      </c>
      <c r="O22" s="27"/>
      <c r="R22" s="32"/>
      <c r="S22" s="32"/>
    </row>
    <row r="23" spans="2:19" x14ac:dyDescent="0.25">
      <c r="B23" s="2" t="s">
        <v>225</v>
      </c>
      <c r="C23" s="27">
        <f>'12-month P&amp;L'!P36</f>
        <v>47000</v>
      </c>
      <c r="D23" s="248"/>
      <c r="E23" s="27">
        <f t="shared" si="6"/>
        <v>47000</v>
      </c>
      <c r="F23" s="248"/>
      <c r="G23" s="27">
        <f t="shared" si="7"/>
        <v>47000</v>
      </c>
      <c r="H23" s="27"/>
      <c r="J23" s="2" t="s">
        <v>215</v>
      </c>
      <c r="K23" s="27">
        <f t="shared" si="5"/>
        <v>47000</v>
      </c>
      <c r="O23" s="27"/>
    </row>
    <row r="24" spans="2:19" x14ac:dyDescent="0.25">
      <c r="B24" s="2" t="s">
        <v>226</v>
      </c>
      <c r="C24" s="27">
        <f>'12-month P&amp;L'!P37</f>
        <v>180339.51</v>
      </c>
      <c r="D24" s="32"/>
      <c r="E24" s="27">
        <f t="shared" si="6"/>
        <v>180339.51</v>
      </c>
      <c r="F24" s="32"/>
      <c r="G24" s="27">
        <f t="shared" si="7"/>
        <v>180339.51</v>
      </c>
      <c r="H24" s="27"/>
      <c r="J24" s="2" t="s">
        <v>215</v>
      </c>
      <c r="K24" s="27">
        <f t="shared" si="5"/>
        <v>180339.51</v>
      </c>
      <c r="O24" s="27"/>
    </row>
    <row r="25" spans="2:19" x14ac:dyDescent="0.25">
      <c r="B25" s="2" t="s">
        <v>227</v>
      </c>
      <c r="C25" s="27">
        <f>'12-month P&amp;L'!P49</f>
        <v>420306.56</v>
      </c>
      <c r="D25" s="32"/>
      <c r="E25" s="27">
        <f t="shared" si="6"/>
        <v>420306.56</v>
      </c>
      <c r="F25" s="32"/>
      <c r="G25" s="27">
        <f t="shared" si="7"/>
        <v>420306.56</v>
      </c>
      <c r="H25" s="27"/>
      <c r="J25" s="2" t="s">
        <v>215</v>
      </c>
      <c r="K25" s="27">
        <f t="shared" si="5"/>
        <v>420306.56</v>
      </c>
    </row>
    <row r="26" spans="2:19" x14ac:dyDescent="0.25">
      <c r="B26" s="2" t="s">
        <v>228</v>
      </c>
      <c r="C26" s="27">
        <f>'12-month P&amp;L'!P59</f>
        <v>709002.83000000007</v>
      </c>
      <c r="D26" s="32"/>
      <c r="E26" s="27">
        <f t="shared" si="6"/>
        <v>709002.83000000007</v>
      </c>
      <c r="F26" s="32"/>
      <c r="G26" s="27">
        <f t="shared" si="7"/>
        <v>709002.83000000007</v>
      </c>
      <c r="H26" s="27"/>
      <c r="J26" s="2" t="s">
        <v>215</v>
      </c>
      <c r="K26" s="27">
        <f t="shared" ref="K26" si="8">G26</f>
        <v>709002.83000000007</v>
      </c>
    </row>
    <row r="27" spans="2:19" x14ac:dyDescent="0.25">
      <c r="B27" s="2" t="s">
        <v>229</v>
      </c>
      <c r="C27" s="27">
        <f>'12-month P&amp;L'!P61</f>
        <v>652.25</v>
      </c>
      <c r="D27" s="32"/>
      <c r="E27" s="27">
        <f t="shared" si="6"/>
        <v>652.25</v>
      </c>
      <c r="F27" s="32"/>
      <c r="G27" s="27">
        <f t="shared" si="7"/>
        <v>652.25</v>
      </c>
      <c r="H27" s="27"/>
      <c r="J27" s="2" t="s">
        <v>215</v>
      </c>
      <c r="K27" s="27">
        <f>G27</f>
        <v>652.25</v>
      </c>
    </row>
    <row r="28" spans="2:19" x14ac:dyDescent="0.25">
      <c r="B28" s="2" t="s">
        <v>230</v>
      </c>
      <c r="C28" s="27">
        <f>'12-month P&amp;L'!P62</f>
        <v>-83.78</v>
      </c>
      <c r="D28" s="32"/>
      <c r="E28" s="27">
        <f t="shared" si="6"/>
        <v>-83.78</v>
      </c>
      <c r="F28" s="32"/>
      <c r="G28" s="27">
        <f t="shared" si="7"/>
        <v>-83.78</v>
      </c>
      <c r="H28" s="27"/>
      <c r="J28" s="2" t="s">
        <v>215</v>
      </c>
      <c r="K28" s="27">
        <f t="shared" ref="K28" si="9">G28</f>
        <v>-83.78</v>
      </c>
    </row>
    <row r="29" spans="2:19" x14ac:dyDescent="0.25">
      <c r="B29" s="2" t="s">
        <v>232</v>
      </c>
      <c r="C29" s="27">
        <f>'12-month P&amp;L'!P64</f>
        <v>13006.910000000002</v>
      </c>
      <c r="D29" s="32"/>
      <c r="E29" s="27">
        <f t="shared" si="6"/>
        <v>13006.910000000002</v>
      </c>
      <c r="F29" s="32"/>
      <c r="G29" s="27">
        <f t="shared" si="7"/>
        <v>13006.910000000002</v>
      </c>
      <c r="H29" s="27"/>
      <c r="J29" s="2" t="s">
        <v>215</v>
      </c>
      <c r="K29" s="27">
        <f>G29</f>
        <v>13006.910000000002</v>
      </c>
    </row>
    <row r="30" spans="2:19" x14ac:dyDescent="0.25">
      <c r="B30" s="2" t="s">
        <v>233</v>
      </c>
      <c r="C30" s="27">
        <f>'12-month P&amp;L'!P65</f>
        <v>85.949999999999989</v>
      </c>
      <c r="D30" s="32"/>
      <c r="E30" s="27">
        <f t="shared" si="6"/>
        <v>85.949999999999989</v>
      </c>
      <c r="F30" s="32"/>
      <c r="G30" s="27">
        <f t="shared" si="7"/>
        <v>85.949999999999989</v>
      </c>
      <c r="H30" s="27"/>
      <c r="J30" s="2" t="s">
        <v>215</v>
      </c>
      <c r="K30" s="27">
        <f t="shared" ref="K30" si="10">G30</f>
        <v>85.949999999999989</v>
      </c>
    </row>
    <row r="31" spans="2:19" s="44" customFormat="1" x14ac:dyDescent="0.25">
      <c r="B31" s="44" t="s">
        <v>234</v>
      </c>
      <c r="C31" s="46">
        <f>SUM(C20:C30)</f>
        <v>1762878.73</v>
      </c>
      <c r="D31" s="47"/>
      <c r="E31" s="46">
        <f>SUM(E20:E30)</f>
        <v>1762878.73</v>
      </c>
      <c r="F31" s="47"/>
      <c r="G31" s="46">
        <f>SUM(G20:G30)</f>
        <v>1762878.73</v>
      </c>
      <c r="H31" s="48"/>
      <c r="K31" s="46">
        <f>SUM(K20:K30)</f>
        <v>1762878.73</v>
      </c>
      <c r="L31" s="46">
        <f>SUM(L20:L30)</f>
        <v>0</v>
      </c>
      <c r="M31" s="48"/>
      <c r="O31" s="46">
        <f>SUM(O20:O30)</f>
        <v>0</v>
      </c>
    </row>
    <row r="32" spans="2:19" x14ac:dyDescent="0.25">
      <c r="C32" s="27"/>
      <c r="D32" s="32"/>
      <c r="E32" s="27"/>
      <c r="F32" s="32"/>
      <c r="G32" s="27"/>
      <c r="H32" s="27"/>
      <c r="K32" s="27"/>
      <c r="L32" s="27"/>
      <c r="M32" s="27"/>
      <c r="O32" s="27"/>
    </row>
    <row r="33" spans="2:18" s="44" customFormat="1" x14ac:dyDescent="0.25">
      <c r="B33" s="44" t="s">
        <v>235</v>
      </c>
      <c r="C33" s="48">
        <f>C17+C31</f>
        <v>7900893.0199999996</v>
      </c>
      <c r="D33" s="49"/>
      <c r="E33" s="48">
        <f>E17+E31</f>
        <v>7900893.0199999996</v>
      </c>
      <c r="F33" s="49"/>
      <c r="G33" s="48">
        <f>G17+G31</f>
        <v>7900893.0199999996</v>
      </c>
      <c r="H33" s="48"/>
      <c r="K33" s="48">
        <f>K17+K31</f>
        <v>1762878.73</v>
      </c>
      <c r="L33" s="48">
        <f>L17+L31</f>
        <v>6138014.29</v>
      </c>
      <c r="M33" s="48"/>
      <c r="N33" s="48"/>
      <c r="O33" s="48">
        <f>O17+O31</f>
        <v>7497153.3930765763</v>
      </c>
      <c r="R33" s="48">
        <f>+O33-L33</f>
        <v>1359139.1030765763</v>
      </c>
    </row>
    <row r="34" spans="2:18" x14ac:dyDescent="0.25">
      <c r="D34" s="32"/>
      <c r="F34" s="32"/>
      <c r="K34" s="43">
        <f>K33/G33</f>
        <v>0.22312398428095664</v>
      </c>
      <c r="L34" s="43">
        <f>L33/G33</f>
        <v>0.77687601571904341</v>
      </c>
      <c r="M34" s="43"/>
    </row>
    <row r="35" spans="2:18" x14ac:dyDescent="0.25">
      <c r="B35" s="44" t="s">
        <v>236</v>
      </c>
      <c r="D35" s="32"/>
      <c r="F35" s="32"/>
    </row>
    <row r="36" spans="2:18" x14ac:dyDescent="0.25">
      <c r="B36" s="2" t="s">
        <v>229</v>
      </c>
      <c r="C36" s="27">
        <f>'12-month P&amp;L'!P71</f>
        <v>158.79999999999998</v>
      </c>
      <c r="D36" s="32"/>
      <c r="E36" s="27">
        <f>C36+D36</f>
        <v>158.79999999999998</v>
      </c>
      <c r="F36" s="32"/>
      <c r="G36" s="27">
        <f>E36+F36</f>
        <v>158.79999999999998</v>
      </c>
      <c r="H36" s="27"/>
      <c r="I36" s="50">
        <f>[1]Allocators!$D$14</f>
        <v>0.7429984606894694</v>
      </c>
      <c r="J36" s="2" t="s">
        <v>237</v>
      </c>
      <c r="K36" s="27">
        <f>G36-L36</f>
        <v>40.811844442512253</v>
      </c>
      <c r="L36" s="27">
        <f>G36*I36</f>
        <v>117.98815555748773</v>
      </c>
      <c r="M36" s="27"/>
      <c r="O36" s="27">
        <f>L36+N36</f>
        <v>117.98815555748773</v>
      </c>
    </row>
    <row r="37" spans="2:18" x14ac:dyDescent="0.25">
      <c r="B37" s="2" t="s">
        <v>238</v>
      </c>
      <c r="C37" s="27">
        <f>'12-month P&amp;L'!P72</f>
        <v>2069.71</v>
      </c>
      <c r="D37" s="32"/>
      <c r="E37" s="27">
        <f t="shared" ref="E37:E100" si="11">C37+D37</f>
        <v>2069.71</v>
      </c>
      <c r="F37" s="32"/>
      <c r="G37" s="27">
        <f t="shared" ref="G37:G100" si="12">E37+F37</f>
        <v>2069.71</v>
      </c>
      <c r="H37" s="27"/>
      <c r="I37" s="50">
        <f>[1]Allocators!$D$14</f>
        <v>0.7429984606894694</v>
      </c>
      <c r="J37" s="2" t="s">
        <v>237</v>
      </c>
      <c r="K37" s="27">
        <f t="shared" ref="K37:K100" si="13">G37-L37</f>
        <v>531.91865592639829</v>
      </c>
      <c r="L37" s="27">
        <f t="shared" ref="L37:L100" si="14">G37*I37</f>
        <v>1537.7913440736017</v>
      </c>
      <c r="M37" s="27"/>
      <c r="O37" s="27">
        <f t="shared" ref="O37:O102" si="15">L37+N37</f>
        <v>1537.7913440736017</v>
      </c>
    </row>
    <row r="38" spans="2:18" x14ac:dyDescent="0.25">
      <c r="B38" s="2" t="s">
        <v>239</v>
      </c>
      <c r="C38" s="27">
        <f>'12-month P&amp;L'!P73</f>
        <v>6505.13</v>
      </c>
      <c r="D38" s="32"/>
      <c r="E38" s="27">
        <f t="shared" si="11"/>
        <v>6505.13</v>
      </c>
      <c r="F38" s="32"/>
      <c r="G38" s="27">
        <f t="shared" si="12"/>
        <v>6505.13</v>
      </c>
      <c r="H38" s="27"/>
      <c r="J38" s="2" t="s">
        <v>215</v>
      </c>
      <c r="K38" s="27">
        <f t="shared" si="13"/>
        <v>6505.13</v>
      </c>
      <c r="L38" s="27">
        <f t="shared" si="14"/>
        <v>0</v>
      </c>
      <c r="M38" s="27"/>
      <c r="O38" s="27">
        <f t="shared" si="15"/>
        <v>0</v>
      </c>
    </row>
    <row r="39" spans="2:18" x14ac:dyDescent="0.25">
      <c r="B39" s="2" t="s">
        <v>224</v>
      </c>
      <c r="C39" s="27">
        <f>'12-month P&amp;L'!P74+'12-month P&amp;L'!P75+'12-month P&amp;L'!P76</f>
        <v>34809.399999999994</v>
      </c>
      <c r="D39" s="32"/>
      <c r="E39" s="27">
        <f t="shared" si="11"/>
        <v>34809.399999999994</v>
      </c>
      <c r="F39" s="32"/>
      <c r="G39" s="27">
        <f t="shared" si="12"/>
        <v>34809.399999999994</v>
      </c>
      <c r="H39" s="27"/>
      <c r="I39" s="50">
        <f>[1]Allocators!$D$14</f>
        <v>0.7429984606894694</v>
      </c>
      <c r="J39" s="2" t="s">
        <v>237</v>
      </c>
      <c r="K39" s="27">
        <f t="shared" si="13"/>
        <v>8946.0693824759837</v>
      </c>
      <c r="L39" s="27">
        <f t="shared" si="14"/>
        <v>25863.33061752401</v>
      </c>
      <c r="M39" s="27"/>
      <c r="O39" s="27">
        <f t="shared" si="15"/>
        <v>25863.33061752401</v>
      </c>
    </row>
    <row r="40" spans="2:18" x14ac:dyDescent="0.25">
      <c r="B40" s="2" t="s">
        <v>240</v>
      </c>
      <c r="C40" s="27">
        <f>SUM('12-month P&amp;L'!P77:P89)</f>
        <v>442133.38</v>
      </c>
      <c r="D40" s="32"/>
      <c r="E40" s="27">
        <f t="shared" si="11"/>
        <v>442133.38</v>
      </c>
      <c r="F40" s="32">
        <f>'Pro Forma Adj'!E30</f>
        <v>34626.550027999794</v>
      </c>
      <c r="G40" s="27">
        <f t="shared" si="12"/>
        <v>476759.9300279998</v>
      </c>
      <c r="H40" s="27"/>
      <c r="I40" s="50">
        <f>[1]Allocators!$D$8</f>
        <v>0.87370000000000003</v>
      </c>
      <c r="J40" s="2" t="s">
        <v>241</v>
      </c>
      <c r="K40" s="27">
        <f t="shared" si="13"/>
        <v>60214.779162536375</v>
      </c>
      <c r="L40" s="27">
        <f t="shared" si="14"/>
        <v>416545.15086546342</v>
      </c>
      <c r="M40" s="27"/>
      <c r="O40" s="27">
        <f t="shared" si="15"/>
        <v>416545.15086546342</v>
      </c>
    </row>
    <row r="41" spans="2:18" x14ac:dyDescent="0.25">
      <c r="B41" s="2" t="s">
        <v>242</v>
      </c>
      <c r="C41" s="27">
        <f>SUM('12-month P&amp;L'!P90:P97)</f>
        <v>202112.35</v>
      </c>
      <c r="D41" s="32">
        <f>'Restating Adj'!E24</f>
        <v>-2660.35</v>
      </c>
      <c r="E41" s="27">
        <f t="shared" si="11"/>
        <v>199452</v>
      </c>
      <c r="F41" s="32"/>
      <c r="G41" s="27">
        <f t="shared" si="12"/>
        <v>199452</v>
      </c>
      <c r="H41" s="27"/>
      <c r="I41" s="50">
        <f>[1]Allocators!$D$8</f>
        <v>0.87370000000000003</v>
      </c>
      <c r="J41" s="2" t="s">
        <v>241</v>
      </c>
      <c r="K41" s="27">
        <f t="shared" si="13"/>
        <v>25190.787599999981</v>
      </c>
      <c r="L41" s="27">
        <f t="shared" si="14"/>
        <v>174261.21240000002</v>
      </c>
      <c r="M41" s="27"/>
      <c r="O41" s="27">
        <f t="shared" si="15"/>
        <v>174261.21240000002</v>
      </c>
    </row>
    <row r="42" spans="2:18" x14ac:dyDescent="0.25">
      <c r="B42" s="2" t="s">
        <v>243</v>
      </c>
      <c r="C42" s="27">
        <f>(SUM('12-month P&amp;L'!P98:P101))+(SUM('12-month P&amp;L'!P103:P112))</f>
        <v>384633.42999999993</v>
      </c>
      <c r="D42" s="32">
        <f>'Restating Adj'!E30</f>
        <v>-26248</v>
      </c>
      <c r="E42" s="27">
        <f t="shared" si="11"/>
        <v>358385.42999999993</v>
      </c>
      <c r="F42" s="32"/>
      <c r="G42" s="27">
        <f t="shared" si="12"/>
        <v>358385.42999999993</v>
      </c>
      <c r="H42" s="27"/>
      <c r="I42" s="50">
        <f>[1]Allocators!$D$8</f>
        <v>0.87370000000000003</v>
      </c>
      <c r="J42" s="2" t="s">
        <v>241</v>
      </c>
      <c r="K42" s="27">
        <f t="shared" si="13"/>
        <v>45264.079808999959</v>
      </c>
      <c r="L42" s="27">
        <f t="shared" si="14"/>
        <v>313121.35019099998</v>
      </c>
      <c r="M42" s="27"/>
      <c r="O42" s="27">
        <f t="shared" si="15"/>
        <v>313121.35019099998</v>
      </c>
    </row>
    <row r="43" spans="2:18" x14ac:dyDescent="0.25">
      <c r="B43" s="2" t="s">
        <v>244</v>
      </c>
      <c r="C43" s="27">
        <f>'12-month P&amp;L'!P102</f>
        <v>394944.56</v>
      </c>
      <c r="D43" s="32"/>
      <c r="E43" s="27">
        <f t="shared" si="11"/>
        <v>394944.56</v>
      </c>
      <c r="F43" s="32"/>
      <c r="G43" s="27">
        <f t="shared" si="12"/>
        <v>394944.56</v>
      </c>
      <c r="H43" s="27"/>
      <c r="I43" s="50">
        <f>[1]Allocators!$D$8</f>
        <v>0.87370000000000003</v>
      </c>
      <c r="J43" s="2" t="s">
        <v>241</v>
      </c>
      <c r="K43" s="27">
        <f t="shared" si="13"/>
        <v>49881.497927999997</v>
      </c>
      <c r="L43" s="27">
        <f t="shared" si="14"/>
        <v>345063.062072</v>
      </c>
      <c r="M43" s="27"/>
      <c r="O43" s="27">
        <f t="shared" si="15"/>
        <v>345063.062072</v>
      </c>
    </row>
    <row r="44" spans="2:18" x14ac:dyDescent="0.25">
      <c r="B44" s="2" t="s">
        <v>245</v>
      </c>
      <c r="C44" s="27">
        <f>'12-month P&amp;L'!P114+'12-month P&amp;L'!P115</f>
        <v>7410.1900000000005</v>
      </c>
      <c r="D44" s="32"/>
      <c r="E44" s="27">
        <f t="shared" si="11"/>
        <v>7410.1900000000005</v>
      </c>
      <c r="F44" s="32"/>
      <c r="G44" s="27">
        <f t="shared" si="12"/>
        <v>7410.1900000000005</v>
      </c>
      <c r="H44" s="27"/>
      <c r="I44" s="50">
        <f>[1]Allocators!$D$8</f>
        <v>0.87370000000000003</v>
      </c>
      <c r="J44" s="2" t="s">
        <v>241</v>
      </c>
      <c r="K44" s="27">
        <f t="shared" si="13"/>
        <v>935.90699700000005</v>
      </c>
      <c r="L44" s="27">
        <f t="shared" si="14"/>
        <v>6474.2830030000005</v>
      </c>
      <c r="M44" s="27"/>
      <c r="O44" s="27">
        <f t="shared" si="15"/>
        <v>6474.2830030000005</v>
      </c>
    </row>
    <row r="45" spans="2:18" x14ac:dyDescent="0.25">
      <c r="B45" s="2" t="s">
        <v>246</v>
      </c>
      <c r="C45" s="27">
        <f>SUM('12-month P&amp;L'!P116:P128)</f>
        <v>74770.319999999992</v>
      </c>
      <c r="D45" s="32"/>
      <c r="E45" s="27">
        <f t="shared" si="11"/>
        <v>74770.319999999992</v>
      </c>
      <c r="F45" s="32"/>
      <c r="G45" s="27">
        <f t="shared" si="12"/>
        <v>74770.319999999992</v>
      </c>
      <c r="H45" s="27"/>
      <c r="I45" s="50">
        <f>[1]Allocators!$D$8</f>
        <v>0.87370000000000003</v>
      </c>
      <c r="J45" s="2" t="s">
        <v>241</v>
      </c>
      <c r="K45" s="27">
        <f t="shared" si="13"/>
        <v>9443.4914159999971</v>
      </c>
      <c r="L45" s="27">
        <f t="shared" si="14"/>
        <v>65326.828583999995</v>
      </c>
      <c r="M45" s="27"/>
      <c r="O45" s="27">
        <f t="shared" si="15"/>
        <v>65326.828583999995</v>
      </c>
    </row>
    <row r="46" spans="2:18" x14ac:dyDescent="0.25">
      <c r="B46" s="2" t="s">
        <v>230</v>
      </c>
      <c r="C46" s="27">
        <f>'12-month P&amp;L'!P129+'12-month P&amp;L'!P130</f>
        <v>511.16999999999996</v>
      </c>
      <c r="D46" s="32"/>
      <c r="E46" s="27">
        <f t="shared" si="11"/>
        <v>511.16999999999996</v>
      </c>
      <c r="F46" s="32"/>
      <c r="G46" s="27">
        <f t="shared" si="12"/>
        <v>511.16999999999996</v>
      </c>
      <c r="H46" s="27"/>
      <c r="I46" s="50">
        <f>[1]Allocators!$D$8</f>
        <v>0.87370000000000003</v>
      </c>
      <c r="J46" s="2" t="s">
        <v>241</v>
      </c>
      <c r="K46" s="27">
        <f t="shared" si="13"/>
        <v>64.560770999999988</v>
      </c>
      <c r="L46" s="27">
        <f t="shared" si="14"/>
        <v>446.60922899999997</v>
      </c>
      <c r="M46" s="27"/>
      <c r="O46" s="27">
        <f t="shared" si="15"/>
        <v>446.60922899999997</v>
      </c>
    </row>
    <row r="47" spans="2:18" x14ac:dyDescent="0.25">
      <c r="B47" s="2" t="s">
        <v>247</v>
      </c>
      <c r="C47" s="27">
        <f>'12-month P&amp;L'!P131</f>
        <v>4370</v>
      </c>
      <c r="D47" s="32"/>
      <c r="E47" s="27">
        <f t="shared" si="11"/>
        <v>4370</v>
      </c>
      <c r="F47" s="32"/>
      <c r="G47" s="27">
        <f t="shared" si="12"/>
        <v>4370</v>
      </c>
      <c r="H47" s="27"/>
      <c r="I47" s="50">
        <f>[1]Allocators!$D$8</f>
        <v>0.87370000000000003</v>
      </c>
      <c r="J47" s="2" t="s">
        <v>241</v>
      </c>
      <c r="K47" s="27">
        <f t="shared" si="13"/>
        <v>551.93100000000004</v>
      </c>
      <c r="L47" s="27">
        <f t="shared" si="14"/>
        <v>3818.069</v>
      </c>
      <c r="M47" s="27"/>
      <c r="O47" s="27">
        <f t="shared" si="15"/>
        <v>3818.069</v>
      </c>
    </row>
    <row r="48" spans="2:18" x14ac:dyDescent="0.25">
      <c r="B48" s="2" t="s">
        <v>248</v>
      </c>
      <c r="C48" s="27">
        <f>SUM('12-month P&amp;L'!P132:P136)</f>
        <v>2572516.29</v>
      </c>
      <c r="D48" s="32">
        <f>'Restating Adj'!E10+'Restating Adj'!E12</f>
        <v>-236066.49162299998</v>
      </c>
      <c r="E48" s="27">
        <f t="shared" si="11"/>
        <v>2336449.7983770003</v>
      </c>
      <c r="F48" s="32">
        <f>'Pro Forma Adj'!E8+'Pro Forma Adj'!E10</f>
        <v>860565.64269148558</v>
      </c>
      <c r="G48" s="27">
        <f t="shared" si="12"/>
        <v>3197015.4410684858</v>
      </c>
      <c r="H48" s="27"/>
      <c r="I48" s="50">
        <f>[1]Allocators!$D$10</f>
        <v>0.87890000000000001</v>
      </c>
      <c r="J48" s="2" t="s">
        <v>249</v>
      </c>
      <c r="K48" s="27">
        <f t="shared" si="13"/>
        <v>387158.56991339382</v>
      </c>
      <c r="L48" s="27">
        <f t="shared" si="14"/>
        <v>2809856.871155092</v>
      </c>
      <c r="M48" s="27"/>
      <c r="O48" s="27">
        <f t="shared" si="15"/>
        <v>2809856.871155092</v>
      </c>
    </row>
    <row r="49" spans="2:15" x14ac:dyDescent="0.25">
      <c r="B49" s="2" t="s">
        <v>250</v>
      </c>
      <c r="C49" s="27">
        <f>'12-month P&amp;L'!P137</f>
        <v>-647.35</v>
      </c>
      <c r="D49" s="32"/>
      <c r="E49" s="27">
        <f t="shared" si="11"/>
        <v>-647.35</v>
      </c>
      <c r="F49" s="32"/>
      <c r="G49" s="27">
        <f t="shared" si="12"/>
        <v>-647.35</v>
      </c>
      <c r="H49" s="27"/>
      <c r="I49" s="50">
        <f>[1]Allocators!$D$10</f>
        <v>0.87890000000000001</v>
      </c>
      <c r="J49" s="2" t="s">
        <v>249</v>
      </c>
      <c r="K49" s="27">
        <f t="shared" si="13"/>
        <v>-78.394085000000018</v>
      </c>
      <c r="L49" s="27">
        <f t="shared" si="14"/>
        <v>-568.955915</v>
      </c>
      <c r="M49" s="27"/>
      <c r="O49" s="27">
        <f t="shared" si="15"/>
        <v>-568.955915</v>
      </c>
    </row>
    <row r="50" spans="2:15" x14ac:dyDescent="0.25">
      <c r="B50" s="2" t="s">
        <v>251</v>
      </c>
      <c r="C50" s="27">
        <f>SUM('12-month P&amp;L'!P138:P141)</f>
        <v>305893.52</v>
      </c>
      <c r="D50" s="32"/>
      <c r="E50" s="27">
        <f t="shared" si="11"/>
        <v>305893.52</v>
      </c>
      <c r="F50" s="32"/>
      <c r="G50" s="27">
        <f t="shared" si="12"/>
        <v>305893.52</v>
      </c>
      <c r="H50" s="27"/>
      <c r="I50" s="50">
        <f>[1]Allocators!$D$10</f>
        <v>0.87890000000000001</v>
      </c>
      <c r="J50" s="2" t="s">
        <v>249</v>
      </c>
      <c r="K50" s="27">
        <f t="shared" si="13"/>
        <v>37043.705271999992</v>
      </c>
      <c r="L50" s="27">
        <f t="shared" si="14"/>
        <v>268849.81472800003</v>
      </c>
      <c r="M50" s="27"/>
      <c r="O50" s="27">
        <f>L50+N50</f>
        <v>268849.81472800003</v>
      </c>
    </row>
    <row r="51" spans="2:15" x14ac:dyDescent="0.25">
      <c r="B51" s="2" t="s">
        <v>252</v>
      </c>
      <c r="C51" s="27">
        <f>'12-month P&amp;L'!P142+'12-month P&amp;L'!P143</f>
        <v>4170.1500000000005</v>
      </c>
      <c r="D51" s="32"/>
      <c r="E51" s="27">
        <f t="shared" si="11"/>
        <v>4170.1500000000005</v>
      </c>
      <c r="F51" s="32"/>
      <c r="G51" s="27">
        <f t="shared" si="12"/>
        <v>4170.1500000000005</v>
      </c>
      <c r="H51" s="27"/>
      <c r="I51" s="50">
        <f>[1]Allocators!$D$8</f>
        <v>0.87370000000000003</v>
      </c>
      <c r="J51" s="2" t="s">
        <v>241</v>
      </c>
      <c r="K51" s="27">
        <f t="shared" si="13"/>
        <v>526.68994500000008</v>
      </c>
      <c r="L51" s="27">
        <f t="shared" si="14"/>
        <v>3643.4600550000005</v>
      </c>
      <c r="M51" s="27"/>
      <c r="O51" s="27">
        <f t="shared" si="15"/>
        <v>3643.4600550000005</v>
      </c>
    </row>
    <row r="52" spans="2:15" x14ac:dyDescent="0.25">
      <c r="B52" s="2" t="s">
        <v>253</v>
      </c>
      <c r="C52" s="27">
        <f>'12-month P&amp;L'!P144</f>
        <v>1059.8</v>
      </c>
      <c r="D52" s="32"/>
      <c r="E52" s="27">
        <f t="shared" si="11"/>
        <v>1059.8</v>
      </c>
      <c r="F52" s="32"/>
      <c r="G52" s="27">
        <f t="shared" si="12"/>
        <v>1059.8</v>
      </c>
      <c r="H52" s="27"/>
      <c r="I52" s="50">
        <f>[1]Allocators!$D$8</f>
        <v>0.87370000000000003</v>
      </c>
      <c r="J52" s="2" t="s">
        <v>241</v>
      </c>
      <c r="K52" s="27">
        <f t="shared" si="13"/>
        <v>133.85273999999993</v>
      </c>
      <c r="L52" s="27">
        <f t="shared" si="14"/>
        <v>925.94726000000003</v>
      </c>
      <c r="M52" s="27"/>
      <c r="O52" s="27">
        <f t="shared" si="15"/>
        <v>925.94726000000003</v>
      </c>
    </row>
    <row r="53" spans="2:15" x14ac:dyDescent="0.25">
      <c r="B53" s="2" t="s">
        <v>254</v>
      </c>
      <c r="C53" s="27">
        <f>'12-month P&amp;L'!P150</f>
        <v>-2905</v>
      </c>
      <c r="D53" s="32"/>
      <c r="E53" s="27">
        <f t="shared" si="11"/>
        <v>-2905</v>
      </c>
      <c r="F53" s="32"/>
      <c r="G53" s="27">
        <f t="shared" si="12"/>
        <v>-2905</v>
      </c>
      <c r="H53" s="27"/>
      <c r="I53" s="50">
        <f>[1]Allocators!$D$14</f>
        <v>0.7429984606894694</v>
      </c>
      <c r="J53" s="2" t="s">
        <v>237</v>
      </c>
      <c r="K53" s="27">
        <f t="shared" si="13"/>
        <v>-746.58947169709154</v>
      </c>
      <c r="L53" s="27">
        <f t="shared" si="14"/>
        <v>-2158.4105283029085</v>
      </c>
      <c r="M53" s="27"/>
      <c r="O53" s="27">
        <f t="shared" si="15"/>
        <v>-2158.4105283029085</v>
      </c>
    </row>
    <row r="54" spans="2:15" x14ac:dyDescent="0.25">
      <c r="B54" s="2" t="s">
        <v>255</v>
      </c>
      <c r="C54" s="27">
        <f>'12-month P&amp;L'!P151</f>
        <v>4508.63</v>
      </c>
      <c r="D54" s="32"/>
      <c r="E54" s="27">
        <f t="shared" si="11"/>
        <v>4508.63</v>
      </c>
      <c r="F54" s="32"/>
      <c r="G54" s="27">
        <f t="shared" si="12"/>
        <v>4508.63</v>
      </c>
      <c r="H54" s="27"/>
      <c r="I54" s="50">
        <f>[1]Allocators!$D$12</f>
        <v>0.80933992066633509</v>
      </c>
      <c r="J54" s="2" t="s">
        <v>256</v>
      </c>
      <c r="K54" s="27">
        <f t="shared" si="13"/>
        <v>859.61575348614178</v>
      </c>
      <c r="L54" s="27">
        <f t="shared" si="14"/>
        <v>3649.0142465138583</v>
      </c>
      <c r="M54" s="27"/>
      <c r="O54" s="27">
        <f t="shared" si="15"/>
        <v>3649.0142465138583</v>
      </c>
    </row>
    <row r="55" spans="2:15" x14ac:dyDescent="0.25">
      <c r="B55" s="2" t="s">
        <v>257</v>
      </c>
      <c r="C55" s="27">
        <f>'12-month P&amp;L'!P152</f>
        <v>-1115</v>
      </c>
      <c r="D55" s="32"/>
      <c r="E55" s="27">
        <f t="shared" si="11"/>
        <v>-1115</v>
      </c>
      <c r="F55" s="32"/>
      <c r="G55" s="27">
        <f t="shared" si="12"/>
        <v>-1115</v>
      </c>
      <c r="H55" s="27"/>
      <c r="I55" s="50">
        <f>[1]Allocators!$D$12</f>
        <v>0.80933992066633509</v>
      </c>
      <c r="J55" s="2" t="s">
        <v>256</v>
      </c>
      <c r="K55" s="27">
        <f t="shared" si="13"/>
        <v>-212.58598845703636</v>
      </c>
      <c r="L55" s="27">
        <f t="shared" si="14"/>
        <v>-902.41401154296364</v>
      </c>
      <c r="M55" s="27"/>
      <c r="O55" s="27">
        <f t="shared" si="15"/>
        <v>-902.41401154296364</v>
      </c>
    </row>
    <row r="56" spans="2:15" x14ac:dyDescent="0.25">
      <c r="B56" s="2" t="s">
        <v>258</v>
      </c>
      <c r="C56" s="27">
        <f>'12-month P&amp;L'!P153</f>
        <v>171501.41999999998</v>
      </c>
      <c r="D56" s="32">
        <f>'Restating Adj'!E14</f>
        <v>1901.2378000000003</v>
      </c>
      <c r="E56" s="27">
        <f t="shared" si="11"/>
        <v>173402.65779999999</v>
      </c>
      <c r="F56" s="32">
        <f>'Pro Forma Adj'!E12</f>
        <v>5668.0209460000015</v>
      </c>
      <c r="G56" s="27">
        <f t="shared" si="12"/>
        <v>179070.67874599999</v>
      </c>
      <c r="H56" s="27"/>
      <c r="I56" s="50">
        <f>[1]Allocators!$D$10</f>
        <v>0.87890000000000001</v>
      </c>
      <c r="J56" s="2" t="s">
        <v>249</v>
      </c>
      <c r="K56" s="27">
        <f t="shared" si="13"/>
        <v>21685.459196140582</v>
      </c>
      <c r="L56" s="27">
        <f t="shared" si="14"/>
        <v>157385.21954985941</v>
      </c>
      <c r="M56" s="27"/>
      <c r="O56" s="27">
        <f t="shared" si="15"/>
        <v>157385.21954985941</v>
      </c>
    </row>
    <row r="57" spans="2:15" x14ac:dyDescent="0.25">
      <c r="B57" s="2" t="s">
        <v>259</v>
      </c>
      <c r="C57" s="27">
        <f>'12-month P&amp;L'!P154</f>
        <v>267669.09000000003</v>
      </c>
      <c r="D57" s="32">
        <f>'Restating Adj'!E16+'Restating Adj'!E18</f>
        <v>-86488.541999999987</v>
      </c>
      <c r="E57" s="27">
        <f t="shared" si="11"/>
        <v>181180.54800000004</v>
      </c>
      <c r="F57" s="32">
        <f>'Pro Forma Adj'!E14+'Pro Forma Adj'!E16</f>
        <v>68469.180010000011</v>
      </c>
      <c r="G57" s="27">
        <f t="shared" si="12"/>
        <v>249649.72801000005</v>
      </c>
      <c r="H57" s="27"/>
      <c r="I57" s="50">
        <f>[1]Allocators!$D$14</f>
        <v>0.7429984606894694</v>
      </c>
      <c r="J57" s="2" t="s">
        <v>237</v>
      </c>
      <c r="K57" s="27">
        <f t="shared" si="13"/>
        <v>64160.3643870253</v>
      </c>
      <c r="L57" s="27">
        <f t="shared" si="14"/>
        <v>185489.36362297475</v>
      </c>
      <c r="M57" s="27"/>
      <c r="O57" s="27">
        <f t="shared" si="15"/>
        <v>185489.36362297475</v>
      </c>
    </row>
    <row r="58" spans="2:15" x14ac:dyDescent="0.25">
      <c r="B58" s="2" t="s">
        <v>260</v>
      </c>
      <c r="C58" s="27">
        <f>'12-month P&amp;L'!P155</f>
        <v>62356.630000000005</v>
      </c>
      <c r="D58" s="32"/>
      <c r="E58" s="27">
        <f t="shared" si="11"/>
        <v>62356.630000000005</v>
      </c>
      <c r="F58" s="32"/>
      <c r="G58" s="27">
        <f t="shared" si="12"/>
        <v>62356.630000000005</v>
      </c>
      <c r="H58" s="27"/>
      <c r="I58" s="50">
        <f>[1]Allocators!$D$10</f>
        <v>0.87890000000000001</v>
      </c>
      <c r="J58" s="2" t="s">
        <v>249</v>
      </c>
      <c r="K58" s="27">
        <f t="shared" si="13"/>
        <v>7551.3878929999992</v>
      </c>
      <c r="L58" s="27">
        <f t="shared" si="14"/>
        <v>54805.242107000005</v>
      </c>
      <c r="M58" s="27"/>
      <c r="O58" s="27">
        <f t="shared" si="15"/>
        <v>54805.242107000005</v>
      </c>
    </row>
    <row r="59" spans="2:15" x14ac:dyDescent="0.25">
      <c r="B59" s="2" t="s">
        <v>261</v>
      </c>
      <c r="C59" s="27">
        <f>'12-month P&amp;L'!P156</f>
        <v>17721.47</v>
      </c>
      <c r="D59" s="32"/>
      <c r="E59" s="27">
        <f t="shared" si="11"/>
        <v>17721.47</v>
      </c>
      <c r="F59" s="32"/>
      <c r="G59" s="27">
        <f t="shared" si="12"/>
        <v>17721.47</v>
      </c>
      <c r="H59" s="27"/>
      <c r="I59" s="50">
        <f>[1]Allocators!$D$10</f>
        <v>0.87890000000000001</v>
      </c>
      <c r="J59" s="2" t="s">
        <v>249</v>
      </c>
      <c r="K59" s="27">
        <f t="shared" si="13"/>
        <v>2146.070017</v>
      </c>
      <c r="L59" s="27">
        <f t="shared" si="14"/>
        <v>15575.399983000001</v>
      </c>
      <c r="M59" s="27"/>
      <c r="O59" s="27">
        <f t="shared" si="15"/>
        <v>15575.399983000001</v>
      </c>
    </row>
    <row r="60" spans="2:15" x14ac:dyDescent="0.25">
      <c r="B60" s="2" t="s">
        <v>262</v>
      </c>
      <c r="C60" s="27">
        <f>'12-month P&amp;L'!P157</f>
        <v>54247.9</v>
      </c>
      <c r="D60" s="32"/>
      <c r="E60" s="27">
        <f t="shared" si="11"/>
        <v>54247.9</v>
      </c>
      <c r="F60" s="32"/>
      <c r="G60" s="27">
        <f t="shared" si="12"/>
        <v>54247.9</v>
      </c>
      <c r="H60" s="27"/>
      <c r="I60" s="50">
        <f>[1]Allocators!$D$14</f>
        <v>0.7429984606894694</v>
      </c>
      <c r="J60" s="2" t="s">
        <v>237</v>
      </c>
      <c r="K60" s="27">
        <f t="shared" si="13"/>
        <v>13941.793804363733</v>
      </c>
      <c r="L60" s="27">
        <f t="shared" si="14"/>
        <v>40306.106195636268</v>
      </c>
      <c r="M60" s="27"/>
      <c r="O60" s="27">
        <f t="shared" si="15"/>
        <v>40306.106195636268</v>
      </c>
    </row>
    <row r="61" spans="2:15" x14ac:dyDescent="0.25">
      <c r="B61" s="2" t="s">
        <v>263</v>
      </c>
      <c r="C61" s="27">
        <f>'12-month P&amp;L'!P158</f>
        <v>64255.34</v>
      </c>
      <c r="D61" s="32"/>
      <c r="E61" s="27">
        <f t="shared" si="11"/>
        <v>64255.34</v>
      </c>
      <c r="F61" s="32"/>
      <c r="G61" s="27">
        <f t="shared" si="12"/>
        <v>64255.34</v>
      </c>
      <c r="H61" s="27"/>
      <c r="J61" s="2" t="s">
        <v>215</v>
      </c>
      <c r="K61" s="27">
        <f t="shared" si="13"/>
        <v>64255.34</v>
      </c>
      <c r="L61" s="27">
        <f t="shared" si="14"/>
        <v>0</v>
      </c>
      <c r="M61" s="27"/>
      <c r="O61" s="27">
        <f t="shared" si="15"/>
        <v>0</v>
      </c>
    </row>
    <row r="62" spans="2:15" x14ac:dyDescent="0.25">
      <c r="B62" s="2" t="s">
        <v>264</v>
      </c>
      <c r="C62" s="27">
        <f>'12-month P&amp;L'!P159</f>
        <v>66743.600000000006</v>
      </c>
      <c r="D62" s="32">
        <f>'Restating Adj'!E26</f>
        <v>8792.3100000000013</v>
      </c>
      <c r="E62" s="27">
        <f t="shared" si="11"/>
        <v>75535.91</v>
      </c>
      <c r="F62" s="32"/>
      <c r="G62" s="27">
        <f t="shared" si="12"/>
        <v>75535.91</v>
      </c>
      <c r="H62" s="27"/>
      <c r="I62" s="50">
        <f>[1]Allocators!$D$14</f>
        <v>0.7429984606894694</v>
      </c>
      <c r="J62" s="2" t="s">
        <v>237</v>
      </c>
      <c r="K62" s="27">
        <f t="shared" si="13"/>
        <v>19412.845143221704</v>
      </c>
      <c r="L62" s="27">
        <f t="shared" si="14"/>
        <v>56123.064856778299</v>
      </c>
      <c r="M62" s="27"/>
      <c r="O62" s="27">
        <f t="shared" si="15"/>
        <v>56123.064856778299</v>
      </c>
    </row>
    <row r="63" spans="2:15" x14ac:dyDescent="0.25">
      <c r="B63" s="2" t="s">
        <v>265</v>
      </c>
      <c r="C63" s="27">
        <f>'12-month P&amp;L'!P160</f>
        <v>95714</v>
      </c>
      <c r="D63" s="32">
        <f>'Restating Adj'!E28</f>
        <v>35491.762000000002</v>
      </c>
      <c r="E63" s="27">
        <f t="shared" si="11"/>
        <v>131205.76199999999</v>
      </c>
      <c r="F63" s="32"/>
      <c r="G63" s="27">
        <f t="shared" si="12"/>
        <v>131205.76199999999</v>
      </c>
      <c r="H63" s="27"/>
      <c r="I63" s="50">
        <f>[1]Allocators!$D$14</f>
        <v>0.7429984606894694</v>
      </c>
      <c r="J63" s="2" t="s">
        <v>237</v>
      </c>
      <c r="K63" s="27">
        <f t="shared" si="13"/>
        <v>33720.082800411124</v>
      </c>
      <c r="L63" s="27">
        <f t="shared" si="14"/>
        <v>97485.679199588863</v>
      </c>
      <c r="M63" s="27"/>
      <c r="O63" s="27">
        <f t="shared" si="15"/>
        <v>97485.679199588863</v>
      </c>
    </row>
    <row r="64" spans="2:15" x14ac:dyDescent="0.25">
      <c r="B64" s="2" t="s">
        <v>266</v>
      </c>
      <c r="C64" s="27">
        <f>'12-month P&amp;L'!P161</f>
        <v>17199.050000000003</v>
      </c>
      <c r="D64" s="32"/>
      <c r="E64" s="27">
        <f t="shared" si="11"/>
        <v>17199.050000000003</v>
      </c>
      <c r="F64" s="32"/>
      <c r="G64" s="27">
        <f t="shared" si="12"/>
        <v>17199.050000000003</v>
      </c>
      <c r="H64" s="27"/>
      <c r="I64" s="50">
        <f>[1]Allocators!$D$14</f>
        <v>0.7429984606894694</v>
      </c>
      <c r="J64" s="2" t="s">
        <v>237</v>
      </c>
      <c r="K64" s="27">
        <f t="shared" si="13"/>
        <v>4420.1823246787826</v>
      </c>
      <c r="L64" s="27">
        <f t="shared" si="14"/>
        <v>12778.86767532122</v>
      </c>
      <c r="M64" s="27"/>
      <c r="O64" s="27">
        <f>L64+N64</f>
        <v>12778.86767532122</v>
      </c>
    </row>
    <row r="65" spans="2:15" x14ac:dyDescent="0.25">
      <c r="B65" s="2" t="s">
        <v>267</v>
      </c>
      <c r="C65" s="27">
        <f>'12-month P&amp;L'!P162</f>
        <v>1355.32</v>
      </c>
      <c r="D65" s="32"/>
      <c r="E65" s="27">
        <f t="shared" si="11"/>
        <v>1355.32</v>
      </c>
      <c r="F65" s="32"/>
      <c r="G65" s="27">
        <f t="shared" si="12"/>
        <v>1355.32</v>
      </c>
      <c r="H65" s="27"/>
      <c r="I65" s="50">
        <f>[1]Allocators!$D$14</f>
        <v>0.7429984606894694</v>
      </c>
      <c r="J65" s="2" t="s">
        <v>237</v>
      </c>
      <c r="K65" s="27">
        <f t="shared" si="13"/>
        <v>348.31932625834827</v>
      </c>
      <c r="L65" s="27">
        <f t="shared" si="14"/>
        <v>1007.0006737416517</v>
      </c>
      <c r="M65" s="27"/>
      <c r="O65" s="27">
        <f t="shared" si="15"/>
        <v>1007.0006737416517</v>
      </c>
    </row>
    <row r="66" spans="2:15" x14ac:dyDescent="0.25">
      <c r="B66" s="2" t="s">
        <v>989</v>
      </c>
      <c r="C66" s="27">
        <f>'12-month P&amp;L'!P163</f>
        <v>-40504.36</v>
      </c>
      <c r="D66" s="32">
        <f>'Restating Adj'!E34</f>
        <v>40504.36</v>
      </c>
      <c r="E66" s="27">
        <f t="shared" ref="E66" si="16">C66+D66</f>
        <v>0</v>
      </c>
      <c r="F66" s="32"/>
      <c r="G66" s="27">
        <f t="shared" ref="G66" si="17">E66+F66</f>
        <v>0</v>
      </c>
      <c r="H66" s="27"/>
      <c r="I66" s="50">
        <f>[1]Allocators!$D$14</f>
        <v>0.7429984606894694</v>
      </c>
      <c r="J66" s="2" t="s">
        <v>237</v>
      </c>
      <c r="K66" s="27">
        <f t="shared" ref="K66" si="18">G66-L66</f>
        <v>0</v>
      </c>
      <c r="L66" s="27">
        <f t="shared" ref="L66" si="19">G66*I66</f>
        <v>0</v>
      </c>
      <c r="M66" s="27"/>
      <c r="O66" s="27">
        <f t="shared" ref="O66" si="20">L66+N66</f>
        <v>0</v>
      </c>
    </row>
    <row r="67" spans="2:15" x14ac:dyDescent="0.25">
      <c r="B67" s="2" t="s">
        <v>268</v>
      </c>
      <c r="C67" s="27">
        <f>'12-month P&amp;L'!P164</f>
        <v>4522.8999999999996</v>
      </c>
      <c r="D67" s="32"/>
      <c r="E67" s="27">
        <f t="shared" si="11"/>
        <v>4522.8999999999996</v>
      </c>
      <c r="F67" s="32"/>
      <c r="G67" s="27">
        <f t="shared" si="12"/>
        <v>4522.8999999999996</v>
      </c>
      <c r="H67" s="27"/>
      <c r="I67" s="50">
        <f>[1]Allocators!$D$14</f>
        <v>0.7429984606894694</v>
      </c>
      <c r="J67" s="2" t="s">
        <v>237</v>
      </c>
      <c r="K67" s="27">
        <f t="shared" si="13"/>
        <v>1162.3922621475986</v>
      </c>
      <c r="L67" s="27">
        <f t="shared" si="14"/>
        <v>3360.5077378524011</v>
      </c>
      <c r="M67" s="27"/>
      <c r="O67" s="27">
        <f t="shared" si="15"/>
        <v>3360.5077378524011</v>
      </c>
    </row>
    <row r="68" spans="2:15" x14ac:dyDescent="0.25">
      <c r="B68" s="2" t="s">
        <v>269</v>
      </c>
      <c r="C68" s="27">
        <f>'12-month P&amp;L'!P165</f>
        <v>45797.69</v>
      </c>
      <c r="D68" s="32"/>
      <c r="E68" s="27">
        <f t="shared" si="11"/>
        <v>45797.69</v>
      </c>
      <c r="F68" s="32"/>
      <c r="G68" s="27">
        <f t="shared" si="12"/>
        <v>45797.69</v>
      </c>
      <c r="H68" s="27"/>
      <c r="J68" s="2" t="s">
        <v>215</v>
      </c>
      <c r="K68" s="27">
        <f t="shared" si="13"/>
        <v>45797.69</v>
      </c>
      <c r="L68" s="27">
        <f t="shared" si="14"/>
        <v>0</v>
      </c>
      <c r="M68" s="27"/>
      <c r="O68" s="27">
        <f t="shared" si="15"/>
        <v>0</v>
      </c>
    </row>
    <row r="69" spans="2:15" x14ac:dyDescent="0.25">
      <c r="B69" s="2" t="s">
        <v>270</v>
      </c>
      <c r="C69" s="27">
        <f>'12-month P&amp;L'!P166</f>
        <v>353332.41000000003</v>
      </c>
      <c r="D69" s="32">
        <f>'Restating Adj'!E8</f>
        <v>120456.16411904764</v>
      </c>
      <c r="E69" s="27">
        <f t="shared" si="11"/>
        <v>473788.57411904767</v>
      </c>
      <c r="F69" s="32"/>
      <c r="G69" s="27">
        <f t="shared" si="12"/>
        <v>473788.57411904767</v>
      </c>
      <c r="H69" s="27"/>
      <c r="I69" s="50" t="s">
        <v>1003</v>
      </c>
      <c r="J69" s="2" t="s">
        <v>1004</v>
      </c>
      <c r="K69" s="27">
        <f>'Reg Depr'!K328</f>
        <v>109875.14192571427</v>
      </c>
      <c r="L69" s="27">
        <f>'Reg Depr'!J328</f>
        <v>363913.4321933334</v>
      </c>
      <c r="M69" s="27"/>
      <c r="O69" s="27">
        <f t="shared" si="15"/>
        <v>363913.4321933334</v>
      </c>
    </row>
    <row r="70" spans="2:15" x14ac:dyDescent="0.25">
      <c r="B70" s="2" t="s">
        <v>271</v>
      </c>
      <c r="C70" s="27">
        <f>'12-month P&amp;L'!P167</f>
        <v>18256.21</v>
      </c>
      <c r="D70" s="32"/>
      <c r="E70" s="27">
        <f t="shared" si="11"/>
        <v>18256.21</v>
      </c>
      <c r="F70" s="32"/>
      <c r="G70" s="27">
        <f t="shared" si="12"/>
        <v>18256.21</v>
      </c>
      <c r="H70" s="27"/>
      <c r="I70" s="50">
        <f>[1]Allocators!$D$14</f>
        <v>0.7429984606894694</v>
      </c>
      <c r="J70" s="2" t="s">
        <v>237</v>
      </c>
      <c r="K70" s="27">
        <f t="shared" si="13"/>
        <v>4691.8740719763009</v>
      </c>
      <c r="L70" s="27">
        <f t="shared" si="14"/>
        <v>13564.335928023698</v>
      </c>
      <c r="M70" s="27"/>
      <c r="O70" s="27">
        <f t="shared" si="15"/>
        <v>13564.335928023698</v>
      </c>
    </row>
    <row r="71" spans="2:15" x14ac:dyDescent="0.25">
      <c r="B71" s="2" t="s">
        <v>272</v>
      </c>
      <c r="C71" s="27">
        <f>'12-month P&amp;L'!P168</f>
        <v>14371</v>
      </c>
      <c r="D71" s="32"/>
      <c r="E71" s="27">
        <f t="shared" si="11"/>
        <v>14371</v>
      </c>
      <c r="F71" s="32"/>
      <c r="G71" s="27">
        <f t="shared" si="12"/>
        <v>14371</v>
      </c>
      <c r="H71" s="27"/>
      <c r="I71" s="50">
        <f>[1]Allocators!$D$14</f>
        <v>0.7429984606894694</v>
      </c>
      <c r="J71" s="2" t="s">
        <v>237</v>
      </c>
      <c r="K71" s="27">
        <f t="shared" si="13"/>
        <v>3693.369121431635</v>
      </c>
      <c r="L71" s="27">
        <f t="shared" si="14"/>
        <v>10677.630878568365</v>
      </c>
      <c r="M71" s="27"/>
      <c r="O71" s="27">
        <f t="shared" si="15"/>
        <v>10677.630878568365</v>
      </c>
    </row>
    <row r="72" spans="2:15" x14ac:dyDescent="0.25">
      <c r="B72" s="2" t="s">
        <v>934</v>
      </c>
      <c r="C72" s="27"/>
      <c r="D72" s="32">
        <f>'Restating Adj'!E32</f>
        <v>26248</v>
      </c>
      <c r="E72" s="27">
        <f t="shared" ref="E72" si="21">C72+D72</f>
        <v>26248</v>
      </c>
      <c r="F72" s="32">
        <f>'Pro Forma Adj'!E22</f>
        <v>5436.565932643719</v>
      </c>
      <c r="G72" s="27">
        <f t="shared" ref="G72" si="22">E72+F72</f>
        <v>31684.56593264372</v>
      </c>
      <c r="H72" s="27"/>
      <c r="I72" s="50"/>
      <c r="J72" s="2" t="s">
        <v>215</v>
      </c>
      <c r="K72" s="27">
        <f t="shared" si="13"/>
        <v>0</v>
      </c>
      <c r="L72" s="27">
        <f>G72</f>
        <v>31684.56593264372</v>
      </c>
      <c r="M72" s="27"/>
      <c r="O72" s="27">
        <f t="shared" ref="O72" si="23">L72+N72</f>
        <v>31684.56593264372</v>
      </c>
    </row>
    <row r="73" spans="2:15" x14ac:dyDescent="0.25">
      <c r="B73" s="2" t="s">
        <v>273</v>
      </c>
      <c r="C73" s="27">
        <f>'12-month P&amp;L'!P169</f>
        <v>62844.61</v>
      </c>
      <c r="D73" s="32"/>
      <c r="E73" s="27">
        <f t="shared" si="11"/>
        <v>62844.61</v>
      </c>
      <c r="F73" s="32"/>
      <c r="G73" s="27">
        <f t="shared" si="12"/>
        <v>62844.61</v>
      </c>
      <c r="H73" s="27"/>
      <c r="I73" s="50">
        <f>[1]Allocators!$D$10</f>
        <v>0.87890000000000001</v>
      </c>
      <c r="J73" s="2" t="s">
        <v>249</v>
      </c>
      <c r="K73" s="27">
        <f t="shared" si="13"/>
        <v>7610.4822710000008</v>
      </c>
      <c r="L73" s="27">
        <f t="shared" si="14"/>
        <v>55234.127729</v>
      </c>
      <c r="M73" s="27"/>
      <c r="O73" s="27">
        <f t="shared" si="15"/>
        <v>55234.127729</v>
      </c>
    </row>
    <row r="74" spans="2:15" x14ac:dyDescent="0.25">
      <c r="B74" s="2" t="s">
        <v>274</v>
      </c>
      <c r="C74" s="27">
        <f>'12-month P&amp;L'!P170</f>
        <v>38370.29</v>
      </c>
      <c r="D74" s="32"/>
      <c r="E74" s="27">
        <f t="shared" si="11"/>
        <v>38370.29</v>
      </c>
      <c r="F74" s="32"/>
      <c r="G74" s="27">
        <f t="shared" si="12"/>
        <v>38370.29</v>
      </c>
      <c r="H74" s="27"/>
      <c r="I74" s="50">
        <f>[1]Allocators!$D$10</f>
        <v>0.87890000000000001</v>
      </c>
      <c r="J74" s="2" t="s">
        <v>249</v>
      </c>
      <c r="K74" s="27">
        <f t="shared" si="13"/>
        <v>4646.6421189999965</v>
      </c>
      <c r="L74" s="27">
        <f t="shared" si="14"/>
        <v>33723.647881000004</v>
      </c>
      <c r="M74" s="27"/>
      <c r="O74" s="27">
        <f t="shared" si="15"/>
        <v>33723.647881000004</v>
      </c>
    </row>
    <row r="75" spans="2:15" x14ac:dyDescent="0.25">
      <c r="B75" s="2" t="s">
        <v>275</v>
      </c>
      <c r="C75" s="27">
        <f>'12-month P&amp;L'!P171</f>
        <v>12082.779999999999</v>
      </c>
      <c r="D75" s="32"/>
      <c r="E75" s="27">
        <f t="shared" si="11"/>
        <v>12082.779999999999</v>
      </c>
      <c r="F75" s="32"/>
      <c r="G75" s="27">
        <f t="shared" si="12"/>
        <v>12082.779999999999</v>
      </c>
      <c r="H75" s="27"/>
      <c r="I75" s="50">
        <f>[1]Allocators!$D$10</f>
        <v>0.87890000000000001</v>
      </c>
      <c r="J75" s="2" t="s">
        <v>249</v>
      </c>
      <c r="K75" s="27">
        <f t="shared" si="13"/>
        <v>1463.2246579999992</v>
      </c>
      <c r="L75" s="27">
        <f t="shared" si="14"/>
        <v>10619.555342</v>
      </c>
      <c r="M75" s="27"/>
      <c r="O75" s="27">
        <f t="shared" si="15"/>
        <v>10619.555342</v>
      </c>
    </row>
    <row r="76" spans="2:15" x14ac:dyDescent="0.25">
      <c r="B76" s="2" t="s">
        <v>276</v>
      </c>
      <c r="C76" s="27">
        <f>'12-month P&amp;L'!P172</f>
        <v>2456.25</v>
      </c>
      <c r="D76" s="32"/>
      <c r="E76" s="27">
        <f t="shared" si="11"/>
        <v>2456.25</v>
      </c>
      <c r="F76" s="32"/>
      <c r="G76" s="27">
        <f t="shared" si="12"/>
        <v>2456.25</v>
      </c>
      <c r="H76" s="27"/>
      <c r="J76" s="2" t="s">
        <v>215</v>
      </c>
      <c r="K76" s="27">
        <f t="shared" si="13"/>
        <v>2456.25</v>
      </c>
      <c r="L76" s="27">
        <f t="shared" si="14"/>
        <v>0</v>
      </c>
      <c r="M76" s="27"/>
      <c r="O76" s="27">
        <f>L76+N76</f>
        <v>0</v>
      </c>
    </row>
    <row r="77" spans="2:15" x14ac:dyDescent="0.25">
      <c r="B77" s="2" t="s">
        <v>277</v>
      </c>
      <c r="C77" s="27">
        <f>'12-month P&amp;L'!P173</f>
        <v>62414.8</v>
      </c>
      <c r="D77" s="32"/>
      <c r="E77" s="27">
        <f t="shared" si="11"/>
        <v>62414.8</v>
      </c>
      <c r="F77" s="32"/>
      <c r="G77" s="27">
        <f t="shared" si="12"/>
        <v>62414.8</v>
      </c>
      <c r="H77" s="27"/>
      <c r="I77" s="50">
        <f>[1]Allocators!$D$14</f>
        <v>0.7429984606894694</v>
      </c>
      <c r="J77" s="2" t="s">
        <v>237</v>
      </c>
      <c r="K77" s="27">
        <f t="shared" si="13"/>
        <v>16040.699675758908</v>
      </c>
      <c r="L77" s="27">
        <f t="shared" si="14"/>
        <v>46374.100324241095</v>
      </c>
      <c r="M77" s="27"/>
      <c r="O77" s="27">
        <f t="shared" si="15"/>
        <v>46374.100324241095</v>
      </c>
    </row>
    <row r="78" spans="2:15" x14ac:dyDescent="0.25">
      <c r="B78" s="2" t="s">
        <v>278</v>
      </c>
      <c r="C78" s="27">
        <f>'12-month P&amp;L'!P174+'12-month P&amp;L'!P175</f>
        <v>293886.90999999997</v>
      </c>
      <c r="D78" s="32"/>
      <c r="E78" s="27">
        <f t="shared" si="11"/>
        <v>293886.90999999997</v>
      </c>
      <c r="F78" s="32">
        <f>'Pro Forma Adj'!E20</f>
        <v>70700.263710950559</v>
      </c>
      <c r="G78" s="27">
        <f t="shared" si="12"/>
        <v>364587.17371095053</v>
      </c>
      <c r="H78" s="27"/>
      <c r="I78" s="50">
        <f>[1]Allocators!$D$8</f>
        <v>0.87370000000000003</v>
      </c>
      <c r="J78" s="2" t="s">
        <v>241</v>
      </c>
      <c r="K78" s="27">
        <f t="shared" si="13"/>
        <v>46047.360039693012</v>
      </c>
      <c r="L78" s="27">
        <f t="shared" si="14"/>
        <v>318539.81367125752</v>
      </c>
      <c r="M78" s="27"/>
      <c r="O78" s="27">
        <f t="shared" si="15"/>
        <v>318539.81367125752</v>
      </c>
    </row>
    <row r="79" spans="2:15" x14ac:dyDescent="0.25">
      <c r="B79" s="2" t="s">
        <v>279</v>
      </c>
      <c r="C79" s="27">
        <f>'12-month P&amp;L'!P176</f>
        <v>253762.46999999994</v>
      </c>
      <c r="D79" s="32"/>
      <c r="E79" s="27">
        <f t="shared" si="11"/>
        <v>253762.46999999994</v>
      </c>
      <c r="F79" s="32"/>
      <c r="G79" s="27">
        <f t="shared" si="12"/>
        <v>253762.46999999994</v>
      </c>
      <c r="H79" s="27"/>
      <c r="I79" s="50">
        <f>[1]Allocators!$D$8</f>
        <v>0.87370000000000003</v>
      </c>
      <c r="J79" s="2" t="s">
        <v>241</v>
      </c>
      <c r="K79" s="27">
        <f t="shared" si="13"/>
        <v>32050.199960999977</v>
      </c>
      <c r="L79" s="27">
        <f t="shared" si="14"/>
        <v>221712.27003899997</v>
      </c>
      <c r="M79" s="27"/>
      <c r="O79" s="27">
        <f t="shared" si="15"/>
        <v>221712.27003899997</v>
      </c>
    </row>
    <row r="80" spans="2:15" x14ac:dyDescent="0.25">
      <c r="B80" s="2" t="s">
        <v>280</v>
      </c>
      <c r="C80" s="27">
        <f>'12-month P&amp;L'!P177</f>
        <v>25129.579999999998</v>
      </c>
      <c r="D80" s="32"/>
      <c r="E80" s="27">
        <f t="shared" si="11"/>
        <v>25129.579999999998</v>
      </c>
      <c r="F80" s="32"/>
      <c r="G80" s="27">
        <f t="shared" si="12"/>
        <v>25129.579999999998</v>
      </c>
      <c r="H80" s="27"/>
      <c r="I80" s="50">
        <f>[1]Allocators!$D$8</f>
        <v>0.87370000000000003</v>
      </c>
      <c r="J80" s="2" t="s">
        <v>241</v>
      </c>
      <c r="K80" s="27">
        <f t="shared" si="13"/>
        <v>3173.8659539999971</v>
      </c>
      <c r="L80" s="27">
        <f t="shared" si="14"/>
        <v>21955.714046000001</v>
      </c>
      <c r="M80" s="27"/>
      <c r="O80" s="27">
        <f t="shared" si="15"/>
        <v>21955.714046000001</v>
      </c>
    </row>
    <row r="81" spans="2:15" x14ac:dyDescent="0.25">
      <c r="B81" s="2" t="s">
        <v>281</v>
      </c>
      <c r="C81" s="27">
        <f>'12-month P&amp;L'!P178</f>
        <v>5329.4100000000035</v>
      </c>
      <c r="D81" s="32"/>
      <c r="E81" s="27">
        <f t="shared" si="11"/>
        <v>5329.4100000000035</v>
      </c>
      <c r="F81" s="32"/>
      <c r="G81" s="27">
        <f t="shared" si="12"/>
        <v>5329.4100000000035</v>
      </c>
      <c r="H81" s="27"/>
      <c r="J81" s="2" t="s">
        <v>215</v>
      </c>
      <c r="K81" s="27">
        <f t="shared" si="13"/>
        <v>5329.4100000000035</v>
      </c>
      <c r="L81" s="27">
        <f t="shared" si="14"/>
        <v>0</v>
      </c>
      <c r="M81" s="27"/>
      <c r="O81" s="27">
        <f t="shared" si="15"/>
        <v>0</v>
      </c>
    </row>
    <row r="82" spans="2:15" x14ac:dyDescent="0.25">
      <c r="B82" s="2" t="s">
        <v>282</v>
      </c>
      <c r="C82" s="27">
        <f>'12-month P&amp;L'!P179</f>
        <v>199305.43999999994</v>
      </c>
      <c r="D82" s="32"/>
      <c r="E82" s="27">
        <f t="shared" si="11"/>
        <v>199305.43999999994</v>
      </c>
      <c r="F82" s="32"/>
      <c r="G82" s="27">
        <f t="shared" si="12"/>
        <v>199305.43999999994</v>
      </c>
      <c r="H82" s="27"/>
      <c r="I82" s="50">
        <f>[1]Allocators!$D$8</f>
        <v>0.87370000000000003</v>
      </c>
      <c r="J82" s="2" t="s">
        <v>241</v>
      </c>
      <c r="K82" s="27">
        <f t="shared" si="13"/>
        <v>25172.277071999997</v>
      </c>
      <c r="L82" s="27">
        <f t="shared" si="14"/>
        <v>174133.16292799995</v>
      </c>
      <c r="M82" s="27"/>
      <c r="O82" s="27">
        <f>L82+N82</f>
        <v>174133.16292799995</v>
      </c>
    </row>
    <row r="83" spans="2:15" x14ac:dyDescent="0.25">
      <c r="B83" s="2" t="s">
        <v>283</v>
      </c>
      <c r="C83" s="27">
        <f>'12-month P&amp;L'!P180</f>
        <v>10375.09</v>
      </c>
      <c r="D83" s="32"/>
      <c r="E83" s="27">
        <f t="shared" si="11"/>
        <v>10375.09</v>
      </c>
      <c r="F83" s="32"/>
      <c r="G83" s="27">
        <f t="shared" si="12"/>
        <v>10375.09</v>
      </c>
      <c r="H83" s="27"/>
      <c r="I83" s="50">
        <f>[1]Allocators!$D$14</f>
        <v>0.7429984606894694</v>
      </c>
      <c r="J83" s="2" t="s">
        <v>237</v>
      </c>
      <c r="K83" s="27">
        <f t="shared" si="13"/>
        <v>2666.4141004852927</v>
      </c>
      <c r="L83" s="27">
        <f t="shared" si="14"/>
        <v>7708.6758995147075</v>
      </c>
      <c r="M83" s="27"/>
      <c r="O83" s="27">
        <f t="shared" si="15"/>
        <v>7708.6758995147075</v>
      </c>
    </row>
    <row r="84" spans="2:15" x14ac:dyDescent="0.25">
      <c r="B84" s="2" t="s">
        <v>284</v>
      </c>
      <c r="C84" s="27">
        <f>'12-month P&amp;L'!P181</f>
        <v>35173.159999999996</v>
      </c>
      <c r="D84" s="32">
        <f>'Restating Adj'!E20</f>
        <v>-24120</v>
      </c>
      <c r="E84" s="27">
        <f t="shared" si="11"/>
        <v>11053.159999999996</v>
      </c>
      <c r="F84" s="32"/>
      <c r="G84" s="27">
        <f t="shared" si="12"/>
        <v>11053.159999999996</v>
      </c>
      <c r="H84" s="27"/>
      <c r="I84" s="50">
        <f>[1]Allocators!$D$14</f>
        <v>0.7429984606894694</v>
      </c>
      <c r="J84" s="2" t="s">
        <v>237</v>
      </c>
      <c r="K84" s="27">
        <f t="shared" si="13"/>
        <v>2840.6791342455836</v>
      </c>
      <c r="L84" s="27">
        <f t="shared" si="14"/>
        <v>8212.4808657544127</v>
      </c>
      <c r="M84" s="27"/>
      <c r="O84" s="27">
        <f t="shared" si="15"/>
        <v>8212.4808657544127</v>
      </c>
    </row>
    <row r="85" spans="2:15" x14ac:dyDescent="0.25">
      <c r="B85" s="2" t="s">
        <v>285</v>
      </c>
      <c r="C85" s="27">
        <f>'12-month P&amp;L'!P182</f>
        <v>158342.39999999999</v>
      </c>
      <c r="D85" s="32">
        <f>'Restating Adj'!E22</f>
        <v>-2257.6400000000003</v>
      </c>
      <c r="E85" s="27">
        <f t="shared" si="11"/>
        <v>156084.75999999998</v>
      </c>
      <c r="F85" s="32">
        <f>'Pro Forma Adj'!E18</f>
        <v>11407.428480000002</v>
      </c>
      <c r="G85" s="27">
        <f t="shared" si="12"/>
        <v>167492.18847999998</v>
      </c>
      <c r="H85" s="27"/>
      <c r="I85" s="50">
        <f>[1]Allocators!$D$14</f>
        <v>0.7429984606894694</v>
      </c>
      <c r="J85" s="2" t="s">
        <v>237</v>
      </c>
      <c r="K85" s="27">
        <f t="shared" si="13"/>
        <v>43045.75026184952</v>
      </c>
      <c r="L85" s="27">
        <f t="shared" si="14"/>
        <v>124446.43821815046</v>
      </c>
      <c r="M85" s="27"/>
      <c r="O85" s="27">
        <f t="shared" si="15"/>
        <v>124446.43821815046</v>
      </c>
    </row>
    <row r="86" spans="2:15" x14ac:dyDescent="0.25">
      <c r="B86" s="2" t="s">
        <v>286</v>
      </c>
      <c r="C86" s="27">
        <f>'12-month P&amp;L'!P183</f>
        <v>14191.470000000001</v>
      </c>
      <c r="D86" s="32"/>
      <c r="E86" s="27">
        <f t="shared" si="11"/>
        <v>14191.470000000001</v>
      </c>
      <c r="F86" s="32"/>
      <c r="G86" s="27">
        <f t="shared" si="12"/>
        <v>14191.470000000001</v>
      </c>
      <c r="H86" s="27"/>
      <c r="I86" s="50">
        <f>[1]Allocators!$D$14</f>
        <v>0.7429984606894694</v>
      </c>
      <c r="J86" s="2" t="s">
        <v>237</v>
      </c>
      <c r="K86" s="27">
        <f t="shared" si="13"/>
        <v>3647.2296350792167</v>
      </c>
      <c r="L86" s="27">
        <f t="shared" si="14"/>
        <v>10544.240364920784</v>
      </c>
      <c r="M86" s="27"/>
      <c r="O86" s="27">
        <f t="shared" si="15"/>
        <v>10544.240364920784</v>
      </c>
    </row>
    <row r="87" spans="2:15" x14ac:dyDescent="0.25">
      <c r="B87" s="2" t="s">
        <v>287</v>
      </c>
      <c r="C87" s="27">
        <f>'12-month P&amp;L'!P184</f>
        <v>7869.82</v>
      </c>
      <c r="D87" s="32"/>
      <c r="E87" s="27">
        <f t="shared" si="11"/>
        <v>7869.82</v>
      </c>
      <c r="F87" s="32"/>
      <c r="G87" s="27">
        <f t="shared" si="12"/>
        <v>7869.82</v>
      </c>
      <c r="H87" s="27"/>
      <c r="I87" s="50">
        <f>[1]Allocators!$D$14</f>
        <v>0.7429984606894694</v>
      </c>
      <c r="J87" s="2" t="s">
        <v>237</v>
      </c>
      <c r="K87" s="27">
        <f t="shared" si="13"/>
        <v>2022.5558540967995</v>
      </c>
      <c r="L87" s="27">
        <f t="shared" si="14"/>
        <v>5847.2641459032002</v>
      </c>
      <c r="M87" s="27"/>
      <c r="O87" s="27">
        <f t="shared" si="15"/>
        <v>5847.2641459032002</v>
      </c>
    </row>
    <row r="88" spans="2:15" x14ac:dyDescent="0.25">
      <c r="B88" s="2" t="s">
        <v>288</v>
      </c>
      <c r="C88" s="27">
        <f>'12-month P&amp;L'!P185</f>
        <v>39.15</v>
      </c>
      <c r="D88" s="32"/>
      <c r="E88" s="27">
        <f t="shared" si="11"/>
        <v>39.15</v>
      </c>
      <c r="F88" s="32"/>
      <c r="G88" s="27">
        <f t="shared" si="12"/>
        <v>39.15</v>
      </c>
      <c r="H88" s="27"/>
      <c r="I88" s="50">
        <f>[1]Allocators!$D$14</f>
        <v>0.7429984606894694</v>
      </c>
      <c r="J88" s="2" t="s">
        <v>237</v>
      </c>
      <c r="K88" s="27">
        <f t="shared" si="13"/>
        <v>10.061610264007271</v>
      </c>
      <c r="L88" s="27">
        <f t="shared" si="14"/>
        <v>29.088389735992727</v>
      </c>
      <c r="M88" s="27"/>
      <c r="O88" s="27">
        <f t="shared" si="15"/>
        <v>29.088389735992727</v>
      </c>
    </row>
    <row r="89" spans="2:15" x14ac:dyDescent="0.25">
      <c r="B89" s="2" t="s">
        <v>289</v>
      </c>
      <c r="C89" s="27">
        <f>'12-month P&amp;L'!P186</f>
        <v>8866.4700000000012</v>
      </c>
      <c r="D89" s="32"/>
      <c r="E89" s="27">
        <f t="shared" si="11"/>
        <v>8866.4700000000012</v>
      </c>
      <c r="F89" s="32"/>
      <c r="G89" s="27">
        <f t="shared" si="12"/>
        <v>8866.4700000000012</v>
      </c>
      <c r="H89" s="27"/>
      <c r="I89" s="50">
        <f>[1]Allocators!$D$14</f>
        <v>0.7429984606894694</v>
      </c>
      <c r="J89" s="2" t="s">
        <v>237</v>
      </c>
      <c r="K89" s="27">
        <f t="shared" si="13"/>
        <v>2278.6964382506403</v>
      </c>
      <c r="L89" s="27">
        <f t="shared" si="14"/>
        <v>6587.7735617493609</v>
      </c>
      <c r="M89" s="27"/>
      <c r="O89" s="27">
        <f>L89+N89</f>
        <v>6587.7735617493609</v>
      </c>
    </row>
    <row r="90" spans="2:15" x14ac:dyDescent="0.25">
      <c r="B90" s="2" t="s">
        <v>290</v>
      </c>
      <c r="C90" s="27">
        <f>'12-month P&amp;L'!P187</f>
        <v>525.95000000000005</v>
      </c>
      <c r="D90" s="32"/>
      <c r="E90" s="27">
        <f t="shared" si="11"/>
        <v>525.95000000000005</v>
      </c>
      <c r="F90" s="32"/>
      <c r="G90" s="27">
        <f t="shared" si="12"/>
        <v>525.95000000000005</v>
      </c>
      <c r="H90" s="27"/>
      <c r="I90" s="50">
        <f>[1]Allocators!$D$14</f>
        <v>0.7429984606894694</v>
      </c>
      <c r="J90" s="2" t="s">
        <v>237</v>
      </c>
      <c r="K90" s="27">
        <f t="shared" si="13"/>
        <v>135.1699596003736</v>
      </c>
      <c r="L90" s="27">
        <f t="shared" si="14"/>
        <v>390.78004039962644</v>
      </c>
      <c r="M90" s="27"/>
      <c r="O90" s="27">
        <f t="shared" si="15"/>
        <v>390.78004039962644</v>
      </c>
    </row>
    <row r="91" spans="2:15" x14ac:dyDescent="0.25">
      <c r="B91" s="2" t="s">
        <v>291</v>
      </c>
      <c r="C91" s="27">
        <f>'12-month P&amp;L'!P188</f>
        <v>-1432.5300000000002</v>
      </c>
      <c r="D91" s="32"/>
      <c r="E91" s="27">
        <f t="shared" si="11"/>
        <v>-1432.5300000000002</v>
      </c>
      <c r="F91" s="32"/>
      <c r="G91" s="27">
        <f t="shared" si="12"/>
        <v>-1432.5300000000002</v>
      </c>
      <c r="H91" s="27"/>
      <c r="I91" s="50">
        <f>[1]Allocators!$D$14</f>
        <v>0.7429984606894694</v>
      </c>
      <c r="J91" s="2" t="s">
        <v>237</v>
      </c>
      <c r="K91" s="27">
        <f t="shared" si="13"/>
        <v>-368.16241510851455</v>
      </c>
      <c r="L91" s="27">
        <f t="shared" si="14"/>
        <v>-1064.3675848914856</v>
      </c>
      <c r="M91" s="27"/>
      <c r="O91" s="27">
        <f t="shared" si="15"/>
        <v>-1064.3675848914856</v>
      </c>
    </row>
    <row r="92" spans="2:15" x14ac:dyDescent="0.25">
      <c r="B92" s="2" t="s">
        <v>292</v>
      </c>
      <c r="C92" s="27">
        <f>'12-month P&amp;L'!P189</f>
        <v>4339.5200000000004</v>
      </c>
      <c r="D92" s="32"/>
      <c r="E92" s="27">
        <f t="shared" si="11"/>
        <v>4339.5200000000004</v>
      </c>
      <c r="F92" s="32"/>
      <c r="G92" s="27">
        <f t="shared" si="12"/>
        <v>4339.5200000000004</v>
      </c>
      <c r="H92" s="27"/>
      <c r="I92" s="50">
        <f>[1]Allocators!$D$14</f>
        <v>0.7429984606894694</v>
      </c>
      <c r="J92" s="2" t="s">
        <v>237</v>
      </c>
      <c r="K92" s="27">
        <f t="shared" si="13"/>
        <v>1115.2633198688341</v>
      </c>
      <c r="L92" s="27">
        <f t="shared" si="14"/>
        <v>3224.2566801311664</v>
      </c>
      <c r="M92" s="27"/>
      <c r="O92" s="27">
        <f t="shared" si="15"/>
        <v>3224.2566801311664</v>
      </c>
    </row>
    <row r="93" spans="2:15" x14ac:dyDescent="0.25">
      <c r="B93" s="2" t="s">
        <v>293</v>
      </c>
      <c r="C93" s="27">
        <f>'12-month P&amp;L'!P190</f>
        <v>80871.399999999994</v>
      </c>
      <c r="D93" s="32"/>
      <c r="E93" s="27">
        <f t="shared" si="11"/>
        <v>80871.399999999994</v>
      </c>
      <c r="F93" s="32">
        <f>'Pro Forma Adj'!E28</f>
        <v>8725.6883218931689</v>
      </c>
      <c r="G93" s="27">
        <f t="shared" si="12"/>
        <v>89597.088321893156</v>
      </c>
      <c r="H93" s="27"/>
      <c r="I93" s="50">
        <f>[1]Allocators!$D$12</f>
        <v>0.80933992066633509</v>
      </c>
      <c r="J93" s="2" t="s">
        <v>256</v>
      </c>
      <c r="K93" s="27">
        <f t="shared" si="13"/>
        <v>17082.587967517524</v>
      </c>
      <c r="L93" s="27">
        <f t="shared" si="14"/>
        <v>72514.500354375632</v>
      </c>
      <c r="M93" s="27"/>
      <c r="O93" s="27">
        <f t="shared" si="15"/>
        <v>72514.500354375632</v>
      </c>
    </row>
    <row r="94" spans="2:15" x14ac:dyDescent="0.25">
      <c r="B94" s="2" t="s">
        <v>991</v>
      </c>
      <c r="C94" s="27">
        <f>'12-month P&amp;L'!P191</f>
        <v>-24659.4</v>
      </c>
      <c r="D94" s="32">
        <f>'Restating Adj'!E36</f>
        <v>24659.4</v>
      </c>
      <c r="E94" s="27">
        <f t="shared" ref="E94" si="24">C94+D94</f>
        <v>0</v>
      </c>
      <c r="F94" s="32">
        <f>'Pro Forma Adj'!E29</f>
        <v>0</v>
      </c>
      <c r="G94" s="27">
        <f t="shared" ref="G94" si="25">E94+F94</f>
        <v>0</v>
      </c>
      <c r="H94" s="27"/>
      <c r="I94" s="50">
        <f>[1]Allocators!$D$12</f>
        <v>0.80933992066633509</v>
      </c>
      <c r="J94" s="2" t="s">
        <v>256</v>
      </c>
      <c r="K94" s="27">
        <f t="shared" ref="K94" si="26">G94-L94</f>
        <v>0</v>
      </c>
      <c r="L94" s="27">
        <f t="shared" ref="L94" si="27">G94*I94</f>
        <v>0</v>
      </c>
      <c r="M94" s="27"/>
      <c r="O94" s="27">
        <f t="shared" ref="O94" si="28">L94+N94</f>
        <v>0</v>
      </c>
    </row>
    <row r="95" spans="2:15" x14ac:dyDescent="0.25">
      <c r="B95" s="2" t="s">
        <v>294</v>
      </c>
      <c r="C95" s="27">
        <f>'12-month P&amp;L'!P192</f>
        <v>94506.08</v>
      </c>
      <c r="D95" s="32"/>
      <c r="E95" s="27">
        <f t="shared" si="11"/>
        <v>94506.08</v>
      </c>
      <c r="F95" s="32"/>
      <c r="G95" s="27">
        <f t="shared" si="12"/>
        <v>94506.08</v>
      </c>
      <c r="H95" s="27"/>
      <c r="I95" s="50">
        <f>[1]Allocators!$D$14</f>
        <v>0.7429984606894694</v>
      </c>
      <c r="J95" s="2" t="s">
        <v>237</v>
      </c>
      <c r="K95" s="27">
        <f t="shared" si="13"/>
        <v>24288.208034204144</v>
      </c>
      <c r="L95" s="27">
        <f t="shared" si="14"/>
        <v>70217.871965795857</v>
      </c>
      <c r="M95" s="27"/>
      <c r="O95" s="27">
        <f t="shared" si="15"/>
        <v>70217.871965795857</v>
      </c>
    </row>
    <row r="96" spans="2:15" x14ac:dyDescent="0.25">
      <c r="B96" s="2" t="s">
        <v>295</v>
      </c>
      <c r="C96" s="27">
        <f>'12-month P&amp;L'!P193</f>
        <v>4387.55</v>
      </c>
      <c r="D96" s="32"/>
      <c r="E96" s="27">
        <f t="shared" si="11"/>
        <v>4387.55</v>
      </c>
      <c r="F96" s="32"/>
      <c r="G96" s="27">
        <f t="shared" si="12"/>
        <v>4387.55</v>
      </c>
      <c r="H96" s="27"/>
      <c r="I96" s="50">
        <f>[1]Allocators!$D$14</f>
        <v>0.7429984606894694</v>
      </c>
      <c r="J96" s="2" t="s">
        <v>237</v>
      </c>
      <c r="K96" s="27">
        <f t="shared" si="13"/>
        <v>1127.6071038019186</v>
      </c>
      <c r="L96" s="27">
        <f t="shared" si="14"/>
        <v>3259.9428961980816</v>
      </c>
      <c r="M96" s="27"/>
      <c r="O96" s="27">
        <f t="shared" si="15"/>
        <v>3259.9428961980816</v>
      </c>
    </row>
    <row r="97" spans="2:15" x14ac:dyDescent="0.25">
      <c r="B97" s="2" t="s">
        <v>296</v>
      </c>
      <c r="C97" s="27">
        <f>'12-month P&amp;L'!P194</f>
        <v>276131.94</v>
      </c>
      <c r="D97" s="32"/>
      <c r="E97" s="27">
        <f t="shared" si="11"/>
        <v>276131.94</v>
      </c>
      <c r="F97" s="32"/>
      <c r="G97" s="27">
        <f t="shared" si="12"/>
        <v>276131.94</v>
      </c>
      <c r="H97" s="27"/>
      <c r="I97" s="50">
        <f>[1]Allocators!$D$10</f>
        <v>0.87890000000000001</v>
      </c>
      <c r="J97" s="2" t="s">
        <v>249</v>
      </c>
      <c r="K97" s="27">
        <f t="shared" si="13"/>
        <v>33439.577934000001</v>
      </c>
      <c r="L97" s="27">
        <f t="shared" si="14"/>
        <v>242692.362066</v>
      </c>
      <c r="M97" s="27"/>
      <c r="O97" s="27">
        <f t="shared" si="15"/>
        <v>242692.362066</v>
      </c>
    </row>
    <row r="98" spans="2:15" x14ac:dyDescent="0.25">
      <c r="B98" s="2" t="s">
        <v>297</v>
      </c>
      <c r="C98" s="27">
        <f>'12-month P&amp;L'!P195</f>
        <v>41447.389999999992</v>
      </c>
      <c r="D98" s="32"/>
      <c r="E98" s="27">
        <f t="shared" si="11"/>
        <v>41447.389999999992</v>
      </c>
      <c r="F98" s="32"/>
      <c r="G98" s="27">
        <f t="shared" si="12"/>
        <v>41447.389999999992</v>
      </c>
      <c r="H98" s="27"/>
      <c r="I98" s="50">
        <f>[1]Allocators!$D$10</f>
        <v>0.87890000000000001</v>
      </c>
      <c r="J98" s="2" t="s">
        <v>249</v>
      </c>
      <c r="K98" s="27">
        <f t="shared" si="13"/>
        <v>5019.2789290000001</v>
      </c>
      <c r="L98" s="27">
        <f t="shared" si="14"/>
        <v>36428.111070999992</v>
      </c>
      <c r="M98" s="27"/>
      <c r="O98" s="27">
        <f t="shared" si="15"/>
        <v>36428.111070999992</v>
      </c>
    </row>
    <row r="99" spans="2:15" x14ac:dyDescent="0.25">
      <c r="B99" s="2" t="s">
        <v>298</v>
      </c>
      <c r="C99" s="27">
        <f>'12-month P&amp;L'!P196</f>
        <v>25563.21</v>
      </c>
      <c r="D99" s="32"/>
      <c r="E99" s="27">
        <f t="shared" si="11"/>
        <v>25563.21</v>
      </c>
      <c r="F99" s="32"/>
      <c r="G99" s="27">
        <f t="shared" si="12"/>
        <v>25563.21</v>
      </c>
      <c r="H99" s="27"/>
      <c r="I99" s="50">
        <f>[1]Allocators!$D$14</f>
        <v>0.7429984606894694</v>
      </c>
      <c r="J99" s="2" t="s">
        <v>237</v>
      </c>
      <c r="K99" s="27">
        <f t="shared" si="13"/>
        <v>6569.7843197183502</v>
      </c>
      <c r="L99" s="27">
        <f t="shared" si="14"/>
        <v>18993.425680281649</v>
      </c>
      <c r="M99" s="27"/>
      <c r="O99" s="27">
        <f t="shared" si="15"/>
        <v>18993.425680281649</v>
      </c>
    </row>
    <row r="100" spans="2:15" x14ac:dyDescent="0.25">
      <c r="B100" s="2" t="s">
        <v>299</v>
      </c>
      <c r="C100" s="27">
        <f>'12-month P&amp;L'!P197</f>
        <v>146914.99000000002</v>
      </c>
      <c r="D100" s="32"/>
      <c r="E100" s="27">
        <f t="shared" si="11"/>
        <v>146914.99000000002</v>
      </c>
      <c r="F100" s="32"/>
      <c r="G100" s="27">
        <f t="shared" si="12"/>
        <v>146914.99000000002</v>
      </c>
      <c r="H100" s="27"/>
      <c r="J100" s="2" t="s">
        <v>215</v>
      </c>
      <c r="K100" s="27">
        <f t="shared" si="13"/>
        <v>146914.99000000002</v>
      </c>
      <c r="L100" s="27">
        <f t="shared" si="14"/>
        <v>0</v>
      </c>
      <c r="M100" s="27"/>
      <c r="O100" s="27">
        <f t="shared" si="15"/>
        <v>0</v>
      </c>
    </row>
    <row r="101" spans="2:15" x14ac:dyDescent="0.25">
      <c r="B101" s="2" t="s">
        <v>300</v>
      </c>
      <c r="C101" s="27">
        <f>'12-month P&amp;L'!P198</f>
        <v>0.71</v>
      </c>
      <c r="D101" s="32"/>
      <c r="E101" s="27">
        <f t="shared" ref="E101:E102" si="29">C101+D101</f>
        <v>0.71</v>
      </c>
      <c r="F101" s="32"/>
      <c r="G101" s="27">
        <f t="shared" ref="G101:G102" si="30">E101+F101</f>
        <v>0.71</v>
      </c>
      <c r="H101" s="27"/>
      <c r="J101" s="2" t="s">
        <v>215</v>
      </c>
      <c r="K101" s="27">
        <f t="shared" ref="K101:K102" si="31">G101-L101</f>
        <v>0.71</v>
      </c>
      <c r="L101" s="27">
        <f t="shared" ref="L101:L102" si="32">G101*I101</f>
        <v>0</v>
      </c>
      <c r="M101" s="27"/>
      <c r="O101" s="27">
        <f t="shared" si="15"/>
        <v>0</v>
      </c>
    </row>
    <row r="102" spans="2:15" x14ac:dyDescent="0.25">
      <c r="B102" s="2" t="s">
        <v>301</v>
      </c>
      <c r="C102" s="27">
        <f>'12-month P&amp;L'!P199</f>
        <v>36157.919999999998</v>
      </c>
      <c r="D102" s="32"/>
      <c r="E102" s="27">
        <f t="shared" si="29"/>
        <v>36157.919999999998</v>
      </c>
      <c r="F102" s="32"/>
      <c r="G102" s="27">
        <f t="shared" si="30"/>
        <v>36157.919999999998</v>
      </c>
      <c r="H102" s="27"/>
      <c r="J102" s="2" t="s">
        <v>215</v>
      </c>
      <c r="K102" s="27">
        <f t="shared" si="31"/>
        <v>36157.919999999998</v>
      </c>
      <c r="L102" s="27">
        <f t="shared" si="32"/>
        <v>0</v>
      </c>
      <c r="M102" s="27"/>
      <c r="O102" s="27">
        <f t="shared" si="15"/>
        <v>0</v>
      </c>
    </row>
    <row r="103" spans="2:15" s="44" customFormat="1" x14ac:dyDescent="0.25">
      <c r="B103" s="44" t="s">
        <v>302</v>
      </c>
      <c r="C103" s="51">
        <f>SUM(C36:C102)</f>
        <v>7527643.9800000014</v>
      </c>
      <c r="D103" s="52">
        <f>SUM(D36:D102)</f>
        <v>-119787.78970395241</v>
      </c>
      <c r="E103" s="51">
        <f>SUM(E36:E102)</f>
        <v>7407856.1902960492</v>
      </c>
      <c r="F103" s="51">
        <f>SUM(F36:F102)</f>
        <v>1065599.3401209728</v>
      </c>
      <c r="G103" s="51">
        <f>SUM(G36:G102)</f>
        <v>8473455.5304170214</v>
      </c>
      <c r="H103" s="48"/>
      <c r="K103" s="51">
        <f>SUM(K36:K102)</f>
        <v>1501102.8748558019</v>
      </c>
      <c r="L103" s="51">
        <f>SUM(L36:L102)</f>
        <v>6972352.6555612162</v>
      </c>
      <c r="M103" s="48"/>
      <c r="O103" s="51">
        <f t="shared" ref="O103" si="33">SUM(O36:O102)</f>
        <v>6972352.6555612162</v>
      </c>
    </row>
    <row r="105" spans="2:15" s="44" customFormat="1" ht="15.75" thickBot="1" x14ac:dyDescent="0.3">
      <c r="B105" s="44" t="s">
        <v>303</v>
      </c>
      <c r="C105" s="53">
        <f>C33-C103</f>
        <v>373249.03999999817</v>
      </c>
      <c r="D105" s="53">
        <f>D33-D103</f>
        <v>119787.78970395241</v>
      </c>
      <c r="E105" s="53">
        <f>E33-E103</f>
        <v>493036.82970395032</v>
      </c>
      <c r="F105" s="53">
        <f>F33-F103</f>
        <v>-1065599.3401209728</v>
      </c>
      <c r="G105" s="53">
        <f>G33-G103</f>
        <v>-572562.51041702181</v>
      </c>
      <c r="H105" s="48"/>
      <c r="K105" s="53">
        <f>K33-K103</f>
        <v>261775.85514419805</v>
      </c>
      <c r="L105" s="53">
        <f>L33-L103</f>
        <v>-834338.36556121614</v>
      </c>
      <c r="O105" s="53">
        <f>O33-O103</f>
        <v>524800.73751536012</v>
      </c>
    </row>
    <row r="106" spans="2:15" ht="15.75" thickTop="1" x14ac:dyDescent="0.25"/>
    <row r="107" spans="2:15" x14ac:dyDescent="0.25">
      <c r="B107" s="2" t="s">
        <v>304</v>
      </c>
      <c r="C107" s="43">
        <f>C103/C33</f>
        <v>0.95275862626475627</v>
      </c>
      <c r="E107" s="43">
        <f>E103/E33</f>
        <v>0.93759732875057322</v>
      </c>
      <c r="G107" s="43">
        <f>G103/G33</f>
        <v>1.072468075313469</v>
      </c>
      <c r="H107" s="43"/>
      <c r="K107" s="43">
        <f>K103/K33</f>
        <v>0.85150660071541162</v>
      </c>
      <c r="L107" s="43">
        <f>L103/L33</f>
        <v>1.135929687703809</v>
      </c>
      <c r="O107" s="43">
        <f>O103/O33</f>
        <v>0.93</v>
      </c>
    </row>
    <row r="109" spans="2:15" x14ac:dyDescent="0.25">
      <c r="B109" s="2" t="s">
        <v>938</v>
      </c>
      <c r="C109" s="27"/>
      <c r="E109" s="27"/>
      <c r="G109" s="27"/>
      <c r="H109" s="27"/>
      <c r="L109" s="27">
        <f>L103/0.93-L33</f>
        <v>1359139.1030765763</v>
      </c>
      <c r="O109" s="27"/>
    </row>
    <row r="110" spans="2:15" x14ac:dyDescent="0.25">
      <c r="L110" s="27"/>
      <c r="O110" s="27"/>
    </row>
    <row r="111" spans="2:15" x14ac:dyDescent="0.25">
      <c r="L111" s="224">
        <f>L109/L33</f>
        <v>0.22142977172452563</v>
      </c>
    </row>
    <row r="112" spans="2:15" x14ac:dyDescent="0.25">
      <c r="L112" s="50">
        <f>1+L111</f>
        <v>1.2214297717245257</v>
      </c>
    </row>
  </sheetData>
  <mergeCells count="1">
    <mergeCell ref="I7:J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1F2B2-51BD-48C9-8A79-C68F0297995F}">
  <dimension ref="B1:F25"/>
  <sheetViews>
    <sheetView workbookViewId="0">
      <selection activeCell="B4" sqref="B4"/>
    </sheetView>
  </sheetViews>
  <sheetFormatPr defaultRowHeight="15" x14ac:dyDescent="0.25"/>
  <cols>
    <col min="1" max="1" width="2.7109375" style="192" customWidth="1"/>
    <col min="2" max="2" width="58" style="192" bestFit="1" customWidth="1"/>
    <col min="3" max="3" width="12.7109375" style="192" bestFit="1" customWidth="1"/>
    <col min="4" max="4" width="14.7109375" style="192" bestFit="1" customWidth="1"/>
    <col min="5" max="5" width="15.42578125" style="192" bestFit="1" customWidth="1"/>
    <col min="6" max="6" width="10" style="192" bestFit="1" customWidth="1"/>
    <col min="7" max="16384" width="9.140625" style="192"/>
  </cols>
  <sheetData>
    <row r="1" spans="2:6" ht="18.75" x14ac:dyDescent="0.3">
      <c r="B1" s="203" t="s">
        <v>0</v>
      </c>
    </row>
    <row r="2" spans="2:6" ht="15.75" x14ac:dyDescent="0.25">
      <c r="B2" s="204" t="s">
        <v>887</v>
      </c>
    </row>
    <row r="3" spans="2:6" ht="15.75" x14ac:dyDescent="0.25">
      <c r="B3" s="205" t="s">
        <v>854</v>
      </c>
    </row>
    <row r="6" spans="2:6" x14ac:dyDescent="0.25">
      <c r="C6" s="191" t="s">
        <v>663</v>
      </c>
      <c r="D6" s="191" t="s">
        <v>888</v>
      </c>
      <c r="E6" s="191" t="s">
        <v>889</v>
      </c>
      <c r="F6" s="191" t="s">
        <v>369</v>
      </c>
    </row>
    <row r="7" spans="2:6" x14ac:dyDescent="0.25">
      <c r="B7" s="206" t="s">
        <v>855</v>
      </c>
      <c r="C7" s="127"/>
      <c r="D7" s="207"/>
      <c r="E7" s="127"/>
    </row>
    <row r="8" spans="2:6" x14ac:dyDescent="0.25">
      <c r="B8" s="208" t="s">
        <v>890</v>
      </c>
      <c r="C8" s="209">
        <v>55.75</v>
      </c>
      <c r="D8" s="210">
        <v>2</v>
      </c>
      <c r="E8" s="209">
        <v>111.5</v>
      </c>
    </row>
    <row r="9" spans="2:6" x14ac:dyDescent="0.25">
      <c r="B9" s="208" t="s">
        <v>891</v>
      </c>
      <c r="C9" s="209">
        <v>487</v>
      </c>
      <c r="D9" s="210">
        <v>1.5</v>
      </c>
      <c r="E9" s="209">
        <v>730.5</v>
      </c>
    </row>
    <row r="10" spans="2:6" x14ac:dyDescent="0.25">
      <c r="B10" s="208" t="s">
        <v>892</v>
      </c>
      <c r="C10" s="209">
        <v>4122.25</v>
      </c>
      <c r="D10" s="210">
        <v>1</v>
      </c>
      <c r="E10" s="209">
        <v>4122.25</v>
      </c>
      <c r="F10" s="211"/>
    </row>
    <row r="11" spans="2:6" x14ac:dyDescent="0.25">
      <c r="B11" s="208" t="s">
        <v>893</v>
      </c>
      <c r="C11" s="209">
        <v>14.25</v>
      </c>
      <c r="D11" s="210">
        <v>2</v>
      </c>
      <c r="E11" s="209">
        <v>28.5</v>
      </c>
    </row>
    <row r="12" spans="2:6" x14ac:dyDescent="0.25">
      <c r="B12" s="208" t="s">
        <v>894</v>
      </c>
      <c r="C12" s="209">
        <v>15</v>
      </c>
      <c r="D12" s="210">
        <v>1</v>
      </c>
      <c r="E12" s="209">
        <v>15</v>
      </c>
    </row>
    <row r="13" spans="2:6" x14ac:dyDescent="0.25">
      <c r="B13" s="206" t="s">
        <v>895</v>
      </c>
      <c r="C13" s="212">
        <f>SUM(C8:C12)</f>
        <v>4694.25</v>
      </c>
      <c r="D13" s="213"/>
      <c r="E13" s="212">
        <f>SUM(E8:E12)</f>
        <v>5007.75</v>
      </c>
      <c r="F13" s="211">
        <f>E13/(E13+E21)</f>
        <v>0.12114962411017231</v>
      </c>
    </row>
    <row r="14" spans="2:6" x14ac:dyDescent="0.25">
      <c r="C14" s="209"/>
      <c r="D14" s="210"/>
      <c r="E14" s="209"/>
    </row>
    <row r="15" spans="2:6" x14ac:dyDescent="0.25">
      <c r="B15" s="206" t="s">
        <v>211</v>
      </c>
      <c r="C15" s="209"/>
      <c r="D15" s="210"/>
      <c r="E15" s="209"/>
    </row>
    <row r="16" spans="2:6" x14ac:dyDescent="0.25">
      <c r="B16" s="192" t="s">
        <v>890</v>
      </c>
      <c r="C16" s="209">
        <v>633.75</v>
      </c>
      <c r="D16" s="210">
        <v>2</v>
      </c>
      <c r="E16" s="209">
        <v>1267.5</v>
      </c>
    </row>
    <row r="17" spans="2:6" x14ac:dyDescent="0.25">
      <c r="B17" s="192" t="s">
        <v>891</v>
      </c>
      <c r="C17" s="209">
        <v>5333</v>
      </c>
      <c r="D17" s="210">
        <v>1.5</v>
      </c>
      <c r="E17" s="209">
        <v>7999.5</v>
      </c>
    </row>
    <row r="18" spans="2:6" x14ac:dyDescent="0.25">
      <c r="B18" s="192" t="s">
        <v>892</v>
      </c>
      <c r="C18" s="209">
        <v>25600</v>
      </c>
      <c r="D18" s="210">
        <v>1</v>
      </c>
      <c r="E18" s="209">
        <v>25600</v>
      </c>
      <c r="F18" s="211"/>
    </row>
    <row r="19" spans="2:6" x14ac:dyDescent="0.25">
      <c r="B19" s="192" t="s">
        <v>893</v>
      </c>
      <c r="C19" s="209">
        <v>349.75</v>
      </c>
      <c r="D19" s="210">
        <v>2</v>
      </c>
      <c r="E19" s="209">
        <v>699.5</v>
      </c>
    </row>
    <row r="20" spans="2:6" x14ac:dyDescent="0.25">
      <c r="B20" s="192" t="s">
        <v>894</v>
      </c>
      <c r="C20" s="209">
        <v>761</v>
      </c>
      <c r="D20" s="210">
        <v>1</v>
      </c>
      <c r="E20" s="209">
        <v>761</v>
      </c>
    </row>
    <row r="21" spans="2:6" x14ac:dyDescent="0.25">
      <c r="B21" s="192" t="s">
        <v>896</v>
      </c>
      <c r="C21" s="212">
        <f>SUM(C16:C20)</f>
        <v>32677.5</v>
      </c>
      <c r="D21" s="210"/>
      <c r="E21" s="212">
        <f>SUM(E16:E20)</f>
        <v>36327.5</v>
      </c>
      <c r="F21" s="211">
        <f>E21/(E13+E21)</f>
        <v>0.87885037588982773</v>
      </c>
    </row>
    <row r="24" spans="2:6" x14ac:dyDescent="0.25">
      <c r="B24" s="202" t="s">
        <v>897</v>
      </c>
    </row>
    <row r="25" spans="2:6" x14ac:dyDescent="0.25">
      <c r="B25" s="202" t="s">
        <v>898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8016-B16C-4390-BEF7-1115031BF4D0}">
  <dimension ref="B1:T37"/>
  <sheetViews>
    <sheetView topLeftCell="A3" workbookViewId="0">
      <selection activeCell="E9" sqref="E9"/>
    </sheetView>
  </sheetViews>
  <sheetFormatPr defaultRowHeight="15" x14ac:dyDescent="0.25"/>
  <cols>
    <col min="1" max="1" width="2.42578125" style="2" customWidth="1"/>
    <col min="2" max="2" width="12.85546875" style="2" bestFit="1" customWidth="1"/>
    <col min="3" max="3" width="29.7109375" style="2" bestFit="1" customWidth="1"/>
    <col min="4" max="4" width="89.85546875" style="2" bestFit="1" customWidth="1"/>
    <col min="5" max="5" width="20.140625" style="42" bestFit="1" customWidth="1"/>
    <col min="6" max="16384" width="9.140625" style="2"/>
  </cols>
  <sheetData>
    <row r="1" spans="2:20" ht="18.75" x14ac:dyDescent="0.3">
      <c r="C1" s="44"/>
      <c r="D1" s="54" t="s">
        <v>0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2:20" ht="15.75" x14ac:dyDescent="0.25">
      <c r="C2" s="44"/>
      <c r="D2" s="55" t="s">
        <v>305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2:20" ht="15.75" x14ac:dyDescent="0.25">
      <c r="D3" s="56" t="s">
        <v>2</v>
      </c>
      <c r="E3" s="2"/>
    </row>
    <row r="6" spans="2:20" x14ac:dyDescent="0.25">
      <c r="B6" s="57" t="s">
        <v>306</v>
      </c>
      <c r="C6" s="57" t="s">
        <v>4</v>
      </c>
      <c r="D6" s="57" t="s">
        <v>307</v>
      </c>
      <c r="E6" s="58" t="s">
        <v>308</v>
      </c>
    </row>
    <row r="8" spans="2:20" x14ac:dyDescent="0.25">
      <c r="B8" s="2" t="s">
        <v>309</v>
      </c>
      <c r="C8" s="2" t="str">
        <f>'Results of Operations'!B69</f>
        <v>Depreciation</v>
      </c>
      <c r="D8" s="59" t="s">
        <v>310</v>
      </c>
      <c r="E8" s="42">
        <f>'Reg Depr'!L330</f>
        <v>120456.16411904764</v>
      </c>
    </row>
    <row r="10" spans="2:20" x14ac:dyDescent="0.25">
      <c r="B10" s="2" t="s">
        <v>311</v>
      </c>
      <c r="C10" s="2" t="str">
        <f>'Results of Operations'!B48</f>
        <v>Salaries/Wages</v>
      </c>
      <c r="D10" s="59" t="s">
        <v>959</v>
      </c>
      <c r="E10" s="42">
        <f>Payroll!P71</f>
        <v>-280713.90999999997</v>
      </c>
    </row>
    <row r="12" spans="2:20" x14ac:dyDescent="0.25">
      <c r="B12" s="2" t="s">
        <v>312</v>
      </c>
      <c r="C12" s="2" t="str">
        <f>'Results of Operations'!B48</f>
        <v>Salaries/Wages</v>
      </c>
      <c r="D12" s="59" t="s">
        <v>957</v>
      </c>
      <c r="E12" s="42">
        <f>Payroll!Q71</f>
        <v>44647.418377000002</v>
      </c>
    </row>
    <row r="14" spans="2:20" x14ac:dyDescent="0.25">
      <c r="B14" s="2" t="s">
        <v>313</v>
      </c>
      <c r="C14" s="2" t="str">
        <f>'Results of Operations'!B56</f>
        <v>Officers Wages</v>
      </c>
      <c r="D14" s="59" t="s">
        <v>958</v>
      </c>
      <c r="E14" s="42">
        <f>Payroll!Q89</f>
        <v>1901.2378000000003</v>
      </c>
    </row>
    <row r="16" spans="2:20" x14ac:dyDescent="0.25">
      <c r="B16" s="2" t="s">
        <v>314</v>
      </c>
      <c r="C16" s="2" t="str">
        <f>'Results of Operations'!B57</f>
        <v>Office Wages/ Salaries</v>
      </c>
      <c r="D16" s="59" t="s">
        <v>960</v>
      </c>
      <c r="E16" s="42">
        <f>Payroll!P84</f>
        <v>-95531.87</v>
      </c>
    </row>
    <row r="18" spans="2:7" x14ac:dyDescent="0.25">
      <c r="B18" s="2" t="s">
        <v>315</v>
      </c>
      <c r="C18" s="2" t="str">
        <f>'Results of Operations'!B57</f>
        <v>Office Wages/ Salaries</v>
      </c>
      <c r="D18" s="59" t="s">
        <v>961</v>
      </c>
      <c r="E18" s="42">
        <f>Payroll!Q84</f>
        <v>9043.3280000000013</v>
      </c>
    </row>
    <row r="20" spans="2:7" x14ac:dyDescent="0.25">
      <c r="B20" s="2" t="s">
        <v>316</v>
      </c>
      <c r="C20" s="2" t="str">
        <f>'Results of Operations'!B84</f>
        <v>Professional Fees</v>
      </c>
      <c r="D20" s="59" t="s">
        <v>962</v>
      </c>
      <c r="E20" s="42">
        <f>'Prof Fees'!G7</f>
        <v>-24120</v>
      </c>
    </row>
    <row r="22" spans="2:7" x14ac:dyDescent="0.25">
      <c r="B22" s="2" t="s">
        <v>317</v>
      </c>
      <c r="C22" s="2" t="str">
        <f>'Results of Operations'!B85</f>
        <v>Rent</v>
      </c>
      <c r="D22" s="59" t="s">
        <v>963</v>
      </c>
      <c r="E22" s="42">
        <f>Rents!E6</f>
        <v>-2257.6400000000003</v>
      </c>
    </row>
    <row r="23" spans="2:7" x14ac:dyDescent="0.25">
      <c r="D23" s="59"/>
    </row>
    <row r="24" spans="2:7" x14ac:dyDescent="0.25">
      <c r="B24" s="2" t="s">
        <v>318</v>
      </c>
      <c r="C24" s="59" t="str">
        <f>'Results of Operations'!B41</f>
        <v>Moorage</v>
      </c>
      <c r="D24" s="59" t="s">
        <v>964</v>
      </c>
      <c r="E24" s="42">
        <f>Moorage!E6</f>
        <v>-2660.35</v>
      </c>
    </row>
    <row r="25" spans="2:7" x14ac:dyDescent="0.25">
      <c r="D25" s="59"/>
    </row>
    <row r="26" spans="2:7" x14ac:dyDescent="0.25">
      <c r="B26" s="2" t="s">
        <v>319</v>
      </c>
      <c r="C26" s="2" t="str">
        <f>'Results of Operations'!B62</f>
        <v>Accountant</v>
      </c>
      <c r="D26" s="59" t="s">
        <v>965</v>
      </c>
      <c r="E26" s="42">
        <f>'MEI-Alloc'!F16</f>
        <v>8792.3100000000013</v>
      </c>
    </row>
    <row r="27" spans="2:7" x14ac:dyDescent="0.25">
      <c r="D27" s="59"/>
    </row>
    <row r="28" spans="2:7" x14ac:dyDescent="0.25">
      <c r="B28" s="2" t="s">
        <v>320</v>
      </c>
      <c r="C28" s="2" t="str">
        <f>'Results of Operations'!B63</f>
        <v>Attorney</v>
      </c>
      <c r="D28" s="59" t="s">
        <v>966</v>
      </c>
      <c r="E28" s="42">
        <f>'MEI-Alloc'!F31</f>
        <v>35491.762000000002</v>
      </c>
      <c r="G28" s="60"/>
    </row>
    <row r="30" spans="2:7" x14ac:dyDescent="0.25">
      <c r="B30" s="2" t="s">
        <v>321</v>
      </c>
      <c r="C30" s="2" t="str">
        <f>'Results of Operations'!B42</f>
        <v>Boat Maintenance &amp; Repair</v>
      </c>
      <c r="D30" s="59" t="s">
        <v>967</v>
      </c>
      <c r="E30" s="42">
        <f>'UTC Exp'!D11</f>
        <v>-26248</v>
      </c>
    </row>
    <row r="32" spans="2:7" x14ac:dyDescent="0.25">
      <c r="B32" s="2" t="s">
        <v>322</v>
      </c>
      <c r="C32" s="2" t="str">
        <f>'Results of Operations'!B72</f>
        <v>UTC Fees</v>
      </c>
      <c r="D32" s="59" t="s">
        <v>967</v>
      </c>
      <c r="E32" s="42">
        <f>'UTC Exp'!D12</f>
        <v>26248</v>
      </c>
    </row>
    <row r="34" spans="2:5" x14ac:dyDescent="0.25">
      <c r="B34" s="2" t="s">
        <v>323</v>
      </c>
      <c r="C34" s="2" t="str">
        <f>'Results of Operations'!B66</f>
        <v>Bank Loan Fees</v>
      </c>
      <c r="D34" s="2" t="s">
        <v>992</v>
      </c>
      <c r="E34" s="42">
        <v>40504.36</v>
      </c>
    </row>
    <row r="36" spans="2:5" x14ac:dyDescent="0.25">
      <c r="B36" s="2" t="s">
        <v>324</v>
      </c>
      <c r="C36" s="2" t="str">
        <f>'Results of Operations'!B94</f>
        <v>Taxes - Other</v>
      </c>
      <c r="D36" s="2" t="s">
        <v>992</v>
      </c>
      <c r="E36" s="42">
        <v>24659.4</v>
      </c>
    </row>
    <row r="37" spans="2:5" x14ac:dyDescent="0.25">
      <c r="D3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1624-4839-4959-9F3B-D249F4EBA6E1}">
  <dimension ref="B1:G32"/>
  <sheetViews>
    <sheetView workbookViewId="0">
      <selection activeCell="E8" sqref="E8"/>
    </sheetView>
  </sheetViews>
  <sheetFormatPr defaultRowHeight="15" x14ac:dyDescent="0.25"/>
  <cols>
    <col min="1" max="1" width="2.42578125" style="2" customWidth="1"/>
    <col min="2" max="2" width="13" style="2" bestFit="1" customWidth="1"/>
    <col min="3" max="3" width="28" style="2" bestFit="1" customWidth="1"/>
    <col min="4" max="4" width="88.42578125" style="2" bestFit="1" customWidth="1"/>
    <col min="5" max="5" width="20.140625" style="42" bestFit="1" customWidth="1"/>
    <col min="6" max="6" width="9.140625" style="2"/>
    <col min="7" max="7" width="13.28515625" style="2" bestFit="1" customWidth="1"/>
    <col min="8" max="16384" width="9.140625" style="2"/>
  </cols>
  <sheetData>
    <row r="1" spans="2:5" ht="18.75" x14ac:dyDescent="0.3">
      <c r="C1" s="44"/>
      <c r="D1" s="54" t="s">
        <v>0</v>
      </c>
      <c r="E1" s="44"/>
    </row>
    <row r="2" spans="2:5" ht="15.75" x14ac:dyDescent="0.25">
      <c r="C2" s="44"/>
      <c r="D2" s="55" t="s">
        <v>325</v>
      </c>
      <c r="E2" s="44"/>
    </row>
    <row r="3" spans="2:5" ht="15.75" x14ac:dyDescent="0.25">
      <c r="D3" s="56" t="s">
        <v>2</v>
      </c>
      <c r="E3" s="2"/>
    </row>
    <row r="6" spans="2:5" s="57" customFormat="1" x14ac:dyDescent="0.25">
      <c r="B6" s="57" t="s">
        <v>306</v>
      </c>
      <c r="C6" s="57" t="s">
        <v>4</v>
      </c>
      <c r="D6" s="57" t="s">
        <v>307</v>
      </c>
      <c r="E6" s="58" t="s">
        <v>308</v>
      </c>
    </row>
    <row r="8" spans="2:5" x14ac:dyDescent="0.25">
      <c r="B8" s="2" t="s">
        <v>326</v>
      </c>
      <c r="C8" s="2" t="str">
        <f>'Results of Operations'!B48</f>
        <v>Salaries/Wages</v>
      </c>
      <c r="D8" s="2" t="s">
        <v>969</v>
      </c>
      <c r="E8" s="42">
        <f>Payroll!S71</f>
        <v>144188.37611139001</v>
      </c>
    </row>
    <row r="10" spans="2:5" x14ac:dyDescent="0.25">
      <c r="B10" s="2" t="s">
        <v>327</v>
      </c>
      <c r="C10" s="2" t="str">
        <f>'Results of Operations'!B48</f>
        <v>Salaries/Wages</v>
      </c>
      <c r="D10" s="2" t="s">
        <v>968</v>
      </c>
      <c r="E10" s="42">
        <f>Payroll!T71</f>
        <v>716377.26658009563</v>
      </c>
    </row>
    <row r="12" spans="2:5" x14ac:dyDescent="0.25">
      <c r="B12" s="2" t="s">
        <v>329</v>
      </c>
      <c r="C12" s="2" t="str">
        <f>'Results of Operations'!B56</f>
        <v>Officers Wages</v>
      </c>
      <c r="D12" s="2" t="s">
        <v>970</v>
      </c>
      <c r="E12" s="42">
        <f>Payroll!S89</f>
        <v>5668.0209460000015</v>
      </c>
    </row>
    <row r="14" spans="2:5" x14ac:dyDescent="0.25">
      <c r="B14" s="2" t="s">
        <v>330</v>
      </c>
      <c r="C14" s="2" t="str">
        <f>'Results of Operations'!B57</f>
        <v>Office Wages/ Salaries</v>
      </c>
      <c r="D14" s="2" t="s">
        <v>971</v>
      </c>
      <c r="E14" s="42">
        <f>Payroll!S84</f>
        <v>24719.210010000003</v>
      </c>
    </row>
    <row r="16" spans="2:5" x14ac:dyDescent="0.25">
      <c r="B16" s="2" t="s">
        <v>331</v>
      </c>
      <c r="C16" s="2" t="str">
        <f>'Results of Operations'!B57</f>
        <v>Office Wages/ Salaries</v>
      </c>
      <c r="D16" s="2" t="s">
        <v>328</v>
      </c>
      <c r="E16" s="42">
        <f>Payroll!T84</f>
        <v>43749.97</v>
      </c>
    </row>
    <row r="18" spans="2:7" x14ac:dyDescent="0.25">
      <c r="B18" s="2" t="s">
        <v>332</v>
      </c>
      <c r="C18" s="2" t="str">
        <f>'Results of Operations'!B85</f>
        <v>Rent</v>
      </c>
      <c r="D18" s="2" t="s">
        <v>932</v>
      </c>
      <c r="E18" s="42">
        <f>Rents!E7</f>
        <v>11407.428480000002</v>
      </c>
    </row>
    <row r="20" spans="2:7" x14ac:dyDescent="0.25">
      <c r="B20" s="2" t="s">
        <v>333</v>
      </c>
      <c r="C20" s="2" t="str">
        <f>'Results of Operations'!B78</f>
        <v>Insurance - Vessel &amp; Vehicle</v>
      </c>
      <c r="D20" s="59" t="s">
        <v>933</v>
      </c>
      <c r="E20" s="61">
        <f>'Insurance ''22-''23'!E30</f>
        <v>70700.263710950559</v>
      </c>
    </row>
    <row r="22" spans="2:7" x14ac:dyDescent="0.25">
      <c r="B22" s="2" t="s">
        <v>334</v>
      </c>
      <c r="C22" s="2" t="str">
        <f>'Results of Operations'!B72</f>
        <v>UTC Fees</v>
      </c>
      <c r="D22" s="2" t="s">
        <v>953</v>
      </c>
      <c r="E22" s="42">
        <f>'UTC Exp'!D20</f>
        <v>5436.565932643719</v>
      </c>
      <c r="G22" s="27"/>
    </row>
    <row r="24" spans="2:7" x14ac:dyDescent="0.25">
      <c r="B24" s="2" t="s">
        <v>335</v>
      </c>
      <c r="C24" s="2" t="str">
        <f>'Results of Operations'!B62</f>
        <v>Accountant</v>
      </c>
      <c r="D24" s="2" t="s">
        <v>951</v>
      </c>
      <c r="E24" s="42">
        <f>'UTC Exp'!F26</f>
        <v>17500</v>
      </c>
    </row>
    <row r="25" spans="2:7" x14ac:dyDescent="0.25">
      <c r="G25" s="62"/>
    </row>
    <row r="26" spans="2:7" x14ac:dyDescent="0.25">
      <c r="B26" s="2" t="s">
        <v>336</v>
      </c>
      <c r="C26" s="2" t="str">
        <f>'Results of Operations'!B63</f>
        <v>Attorney</v>
      </c>
      <c r="D26" s="2" t="s">
        <v>950</v>
      </c>
      <c r="E26" s="42">
        <f>'UTC Exp'!F27</f>
        <v>12500</v>
      </c>
    </row>
    <row r="28" spans="2:7" x14ac:dyDescent="0.25">
      <c r="B28" s="2" t="s">
        <v>337</v>
      </c>
      <c r="C28" s="2" t="str">
        <f>'Results of Operations'!B93</f>
        <v>Taxes- B &amp; O</v>
      </c>
      <c r="D28" s="2" t="s">
        <v>952</v>
      </c>
      <c r="E28" s="42">
        <f>'B&amp;O Taxes'!D13</f>
        <v>8725.6883218931689</v>
      </c>
    </row>
    <row r="29" spans="2:7" x14ac:dyDescent="0.25">
      <c r="E29" s="63"/>
    </row>
    <row r="30" spans="2:7" x14ac:dyDescent="0.25">
      <c r="B30" s="2" t="s">
        <v>338</v>
      </c>
      <c r="C30" s="2" t="str">
        <f>'Results of Operations'!B40</f>
        <v>Boat Oil &amp; Fuel</v>
      </c>
      <c r="D30" s="2" t="s">
        <v>982</v>
      </c>
      <c r="E30" s="42">
        <f>Fuel!F27</f>
        <v>34626.550027999794</v>
      </c>
    </row>
    <row r="31" spans="2:7" x14ac:dyDescent="0.25">
      <c r="D31" s="64"/>
      <c r="E31" s="63"/>
    </row>
    <row r="32" spans="2:7" x14ac:dyDescent="0.25">
      <c r="B32" s="2" t="s">
        <v>339</v>
      </c>
      <c r="C32" s="2" t="str">
        <f>'Results of Operations'!B41</f>
        <v>Moorage</v>
      </c>
      <c r="D32" s="2" t="s">
        <v>987</v>
      </c>
      <c r="E32" s="42">
        <f>Moorage!E7</f>
        <v>1971.7866000000001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E6E8-9611-4C08-BEAF-56482DA718D9}">
  <sheetPr>
    <tabColor rgb="FF0066FF"/>
  </sheetPr>
  <dimension ref="H23:L23"/>
  <sheetViews>
    <sheetView workbookViewId="0"/>
  </sheetViews>
  <sheetFormatPr defaultRowHeight="11.25" x14ac:dyDescent="0.2"/>
  <cols>
    <col min="1" max="16384" width="9.140625" style="65"/>
  </cols>
  <sheetData>
    <row r="23" spans="8:12" ht="59.25" x14ac:dyDescent="0.75">
      <c r="H23" s="321" t="s">
        <v>341</v>
      </c>
      <c r="I23" s="321"/>
      <c r="J23" s="321"/>
      <c r="K23" s="321"/>
      <c r="L23" s="321"/>
    </row>
  </sheetData>
  <mergeCells count="1">
    <mergeCell ref="H23:L2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0E2F7-1A5E-41F3-BA0E-0D1ACAB2DE2F}">
  <dimension ref="A1:T349"/>
  <sheetViews>
    <sheetView topLeftCell="C307" workbookViewId="0">
      <selection activeCell="L333" sqref="L333"/>
    </sheetView>
  </sheetViews>
  <sheetFormatPr defaultRowHeight="11.25" x14ac:dyDescent="0.2"/>
  <cols>
    <col min="1" max="1" width="7.28515625" style="70" bestFit="1" customWidth="1"/>
    <col min="2" max="2" width="44" style="70" bestFit="1" customWidth="1"/>
    <col min="3" max="3" width="2.28515625" style="70" bestFit="1" customWidth="1"/>
    <col min="4" max="4" width="6.140625" style="70" customWidth="1"/>
    <col min="5" max="5" width="5.42578125" style="70" customWidth="1"/>
    <col min="6" max="7" width="8.140625" style="70" bestFit="1" customWidth="1"/>
    <col min="8" max="8" width="4.28515625" style="70" bestFit="1" customWidth="1"/>
    <col min="9" max="9" width="11.85546875" style="70" bestFit="1" customWidth="1"/>
    <col min="10" max="10" width="10.5703125" style="70" bestFit="1" customWidth="1"/>
    <col min="11" max="11" width="12.42578125" style="70" bestFit="1" customWidth="1"/>
    <col min="12" max="12" width="18.85546875" style="70" bestFit="1" customWidth="1"/>
    <col min="13" max="13" width="9.7109375" style="70" bestFit="1" customWidth="1"/>
    <col min="14" max="15" width="12.5703125" style="70" bestFit="1" customWidth="1"/>
    <col min="16" max="16" width="11.140625" style="70" bestFit="1" customWidth="1"/>
    <col min="17" max="20" width="7.5703125" style="70" bestFit="1" customWidth="1"/>
    <col min="21" max="16384" width="9.140625" style="70"/>
  </cols>
  <sheetData>
    <row r="1" spans="1:20" ht="18.75" x14ac:dyDescent="0.3">
      <c r="A1" s="2"/>
      <c r="B1" s="66" t="s">
        <v>342</v>
      </c>
      <c r="C1" s="67"/>
      <c r="D1" s="68"/>
      <c r="E1" s="68"/>
      <c r="F1" s="68"/>
      <c r="G1" s="68"/>
      <c r="H1" s="68"/>
      <c r="I1" s="68"/>
      <c r="J1" s="68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.75" x14ac:dyDescent="0.25">
      <c r="A2" s="2"/>
      <c r="B2" s="71" t="s">
        <v>343</v>
      </c>
      <c r="C2" s="67"/>
      <c r="D2" s="68"/>
      <c r="E2" s="68"/>
      <c r="F2" s="68"/>
      <c r="G2" s="68"/>
      <c r="H2" s="68"/>
      <c r="I2" s="68"/>
      <c r="J2" s="68"/>
      <c r="K2" s="72">
        <v>3</v>
      </c>
      <c r="L2" s="73" t="s">
        <v>344</v>
      </c>
      <c r="M2" s="69"/>
      <c r="N2" s="69"/>
      <c r="O2" s="69"/>
      <c r="P2" s="69"/>
      <c r="Q2" s="69"/>
      <c r="R2" s="69"/>
      <c r="S2" s="69"/>
      <c r="T2" s="69"/>
    </row>
    <row r="3" spans="1:20" ht="15.75" x14ac:dyDescent="0.25">
      <c r="A3" s="2"/>
      <c r="B3" s="74">
        <v>44834</v>
      </c>
      <c r="C3" s="75"/>
      <c r="D3" s="68"/>
      <c r="E3" s="68"/>
      <c r="F3" s="68"/>
      <c r="G3" s="68"/>
      <c r="H3" s="68"/>
      <c r="I3" s="68"/>
      <c r="J3" s="68"/>
      <c r="K3" s="72">
        <v>9</v>
      </c>
      <c r="L3" s="73" t="s">
        <v>345</v>
      </c>
      <c r="M3" s="69"/>
      <c r="N3" s="69"/>
      <c r="O3" s="69"/>
      <c r="P3" s="69"/>
      <c r="Q3" s="69"/>
      <c r="R3" s="73" t="s">
        <v>346</v>
      </c>
      <c r="S3" s="323" t="s">
        <v>347</v>
      </c>
      <c r="T3" s="323"/>
    </row>
    <row r="4" spans="1:20" ht="15" x14ac:dyDescent="0.25">
      <c r="A4" s="2"/>
      <c r="B4" s="69"/>
      <c r="C4" s="69"/>
      <c r="D4" s="76"/>
      <c r="E4" s="76"/>
      <c r="F4" s="69"/>
      <c r="G4" s="76"/>
      <c r="H4" s="69"/>
      <c r="I4" s="69"/>
      <c r="J4" s="69"/>
      <c r="K4" s="77">
        <v>2021</v>
      </c>
      <c r="L4" s="73" t="s">
        <v>348</v>
      </c>
      <c r="M4" s="69"/>
      <c r="N4" s="69"/>
      <c r="O4" s="69"/>
      <c r="P4" s="69"/>
      <c r="Q4" s="69"/>
      <c r="R4" s="73" t="s">
        <v>349</v>
      </c>
      <c r="S4" s="323" t="s">
        <v>350</v>
      </c>
      <c r="T4" s="323"/>
    </row>
    <row r="5" spans="1:20" ht="15" x14ac:dyDescent="0.25">
      <c r="A5" s="2"/>
      <c r="B5" s="69"/>
      <c r="C5" s="69"/>
      <c r="D5" s="76"/>
      <c r="E5" s="76"/>
      <c r="F5" s="69"/>
      <c r="G5" s="76"/>
      <c r="H5" s="69"/>
      <c r="I5" s="69"/>
      <c r="J5" s="69"/>
      <c r="K5" s="77">
        <v>2022</v>
      </c>
      <c r="L5" s="73" t="s">
        <v>351</v>
      </c>
      <c r="M5" s="69"/>
      <c r="N5" s="69"/>
      <c r="O5" s="69"/>
      <c r="P5" s="69"/>
      <c r="Q5" s="69"/>
      <c r="R5" s="73" t="s">
        <v>352</v>
      </c>
      <c r="S5" s="323" t="s">
        <v>353</v>
      </c>
      <c r="T5" s="323"/>
    </row>
    <row r="6" spans="1:20" ht="15" x14ac:dyDescent="0.25">
      <c r="A6" s="2"/>
      <c r="B6" s="69"/>
      <c r="C6" s="69"/>
      <c r="D6" s="76"/>
      <c r="E6" s="76"/>
      <c r="F6" s="69"/>
      <c r="G6" s="76"/>
      <c r="H6" s="69"/>
      <c r="I6" s="69"/>
      <c r="J6" s="69"/>
      <c r="K6" s="69"/>
      <c r="L6" s="69"/>
      <c r="M6" s="69"/>
      <c r="N6" s="69"/>
      <c r="O6" s="69"/>
      <c r="P6" s="69"/>
      <c r="Q6" s="69"/>
      <c r="R6" s="73" t="s">
        <v>354</v>
      </c>
      <c r="S6" s="323" t="s">
        <v>355</v>
      </c>
      <c r="T6" s="323"/>
    </row>
    <row r="7" spans="1:20" ht="15" x14ac:dyDescent="0.25">
      <c r="A7" s="2"/>
      <c r="B7" s="69"/>
      <c r="C7" s="69"/>
      <c r="D7" s="76"/>
      <c r="E7" s="76"/>
      <c r="F7" s="69"/>
      <c r="G7" s="76"/>
      <c r="H7" s="69"/>
      <c r="I7" s="69"/>
      <c r="J7" s="69"/>
      <c r="K7" s="69"/>
      <c r="L7" s="69"/>
      <c r="M7" s="69"/>
      <c r="N7" s="78" t="s">
        <v>356</v>
      </c>
      <c r="O7" s="78" t="s">
        <v>357</v>
      </c>
      <c r="P7" s="69"/>
      <c r="Q7" s="69"/>
      <c r="R7" s="69"/>
      <c r="S7" s="79"/>
      <c r="T7" s="79"/>
    </row>
    <row r="8" spans="1:20" ht="15" x14ac:dyDescent="0.25">
      <c r="A8" s="2"/>
      <c r="B8" s="80"/>
      <c r="C8" s="80"/>
      <c r="D8" s="67" t="s">
        <v>358</v>
      </c>
      <c r="E8" s="67"/>
      <c r="F8" s="78" t="s">
        <v>359</v>
      </c>
      <c r="G8" s="78"/>
      <c r="H8" s="80"/>
      <c r="I8" s="78" t="s">
        <v>360</v>
      </c>
      <c r="J8" s="80"/>
      <c r="K8" s="80"/>
      <c r="L8" s="80"/>
      <c r="M8" s="80"/>
      <c r="N8" s="78" t="s">
        <v>361</v>
      </c>
      <c r="O8" s="78" t="s">
        <v>361</v>
      </c>
      <c r="P8" s="80"/>
      <c r="Q8" s="69"/>
      <c r="R8" s="69"/>
      <c r="S8" s="69"/>
      <c r="T8" s="69"/>
    </row>
    <row r="9" spans="1:20" ht="15" x14ac:dyDescent="0.25">
      <c r="A9" s="44"/>
      <c r="B9" s="80"/>
      <c r="C9" s="80"/>
      <c r="D9" s="81" t="s">
        <v>362</v>
      </c>
      <c r="E9" s="78"/>
      <c r="F9" s="78" t="s">
        <v>363</v>
      </c>
      <c r="G9" s="78" t="s">
        <v>210</v>
      </c>
      <c r="H9" s="78" t="s">
        <v>364</v>
      </c>
      <c r="I9" s="78" t="s">
        <v>365</v>
      </c>
      <c r="J9" s="78" t="s">
        <v>366</v>
      </c>
      <c r="K9" s="78" t="s">
        <v>367</v>
      </c>
      <c r="L9" s="78" t="s">
        <v>368</v>
      </c>
      <c r="M9" s="78" t="s">
        <v>369</v>
      </c>
      <c r="N9" s="78" t="s">
        <v>270</v>
      </c>
      <c r="O9" s="78" t="s">
        <v>270</v>
      </c>
      <c r="P9" s="78" t="s">
        <v>370</v>
      </c>
      <c r="Q9" s="76"/>
      <c r="R9" s="76"/>
      <c r="S9" s="76"/>
      <c r="T9" s="69"/>
    </row>
    <row r="10" spans="1:20" ht="15" x14ac:dyDescent="0.25">
      <c r="A10" s="44" t="s">
        <v>371</v>
      </c>
      <c r="B10" s="78" t="s">
        <v>372</v>
      </c>
      <c r="C10" s="78"/>
      <c r="D10" s="78" t="s">
        <v>360</v>
      </c>
      <c r="E10" s="78" t="s">
        <v>373</v>
      </c>
      <c r="F10" s="78" t="s">
        <v>369</v>
      </c>
      <c r="G10" s="78"/>
      <c r="H10" s="78"/>
      <c r="I10" s="78" t="s">
        <v>374</v>
      </c>
      <c r="J10" s="78" t="s">
        <v>375</v>
      </c>
      <c r="K10" s="78" t="s">
        <v>270</v>
      </c>
      <c r="L10" s="78" t="s">
        <v>270</v>
      </c>
      <c r="M10" s="78" t="s">
        <v>376</v>
      </c>
      <c r="N10" s="82">
        <v>44470</v>
      </c>
      <c r="O10" s="83">
        <v>44834</v>
      </c>
      <c r="P10" s="78" t="s">
        <v>377</v>
      </c>
      <c r="Q10" s="76" t="s">
        <v>346</v>
      </c>
      <c r="R10" s="76" t="s">
        <v>378</v>
      </c>
      <c r="S10" s="76" t="s">
        <v>379</v>
      </c>
      <c r="T10" s="76" t="s">
        <v>354</v>
      </c>
    </row>
    <row r="11" spans="1:20" s="2" customFormat="1" ht="15" x14ac:dyDescent="0.25">
      <c r="B11" s="84"/>
      <c r="C11" s="84"/>
      <c r="D11" s="85"/>
      <c r="E11" s="76"/>
      <c r="F11" s="69"/>
      <c r="G11" s="76"/>
      <c r="H11" s="69"/>
      <c r="I11" s="86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87"/>
    </row>
    <row r="12" spans="1:20" s="2" customFormat="1" ht="15" x14ac:dyDescent="0.25">
      <c r="A12" s="2">
        <v>1</v>
      </c>
      <c r="B12" s="2" t="s">
        <v>380</v>
      </c>
      <c r="D12" s="88">
        <v>1995</v>
      </c>
      <c r="E12" s="88">
        <v>7</v>
      </c>
      <c r="F12" s="89"/>
      <c r="G12" s="88" t="s">
        <v>381</v>
      </c>
      <c r="H12" s="88">
        <v>7</v>
      </c>
      <c r="I12" s="2">
        <f>+D12+H12</f>
        <v>2002</v>
      </c>
      <c r="J12" s="42">
        <v>4863</v>
      </c>
      <c r="K12" s="42">
        <f>J12/H12/12</f>
        <v>57.892857142857139</v>
      </c>
      <c r="L12" s="42">
        <f>IF(S12&lt;=R12,0,J12/H12)</f>
        <v>0</v>
      </c>
      <c r="M12" s="90">
        <v>1</v>
      </c>
      <c r="N12" s="42">
        <f t="shared" ref="N12:N43" si="0">IF(Q12&gt;R12,0,IF(S12&lt;T12,J12,IF((AND((S12&gt;=T12),(S12&lt;=R12))),(J12-L12),IF((AND((T12&lt;=Q12),(R12&gt;=Q12))),0,IF(S12&gt;R12,((T12-Q12)*12)*K12,0)))))</f>
        <v>4863</v>
      </c>
      <c r="O12" s="42">
        <f t="shared" ref="O12:O43" si="1">N12+L12</f>
        <v>4863</v>
      </c>
      <c r="P12" s="42">
        <f t="shared" ref="P12:P43" si="2">+J12-O12</f>
        <v>0</v>
      </c>
      <c r="Q12" s="91">
        <f>$D12+(($E12-1)/12)</f>
        <v>1995.5</v>
      </c>
      <c r="R12" s="91">
        <f t="shared" ref="R12:R43" si="3">($K$5+1)-($K$2/12)</f>
        <v>2022.75</v>
      </c>
      <c r="S12" s="91">
        <f>$I12+(($E12-1)/12)</f>
        <v>2002.5</v>
      </c>
      <c r="T12" s="91">
        <f t="shared" ref="T12:T43" si="4">$K$4+($K$3/12)</f>
        <v>2021.75</v>
      </c>
    </row>
    <row r="13" spans="1:20" s="2" customFormat="1" ht="15" x14ac:dyDescent="0.25">
      <c r="A13" s="2">
        <v>2</v>
      </c>
      <c r="B13" s="2" t="s">
        <v>382</v>
      </c>
      <c r="D13" s="88">
        <v>2000</v>
      </c>
      <c r="E13" s="88">
        <v>11</v>
      </c>
      <c r="F13" s="92"/>
      <c r="G13" s="88" t="s">
        <v>381</v>
      </c>
      <c r="H13" s="88">
        <v>7</v>
      </c>
      <c r="I13" s="2">
        <f t="shared" ref="I13:I20" si="5">+D13+H13</f>
        <v>2007</v>
      </c>
      <c r="J13" s="42">
        <v>3883</v>
      </c>
      <c r="K13" s="42">
        <f t="shared" ref="K13:K43" si="6">J13/H13/12</f>
        <v>46.226190476190474</v>
      </c>
      <c r="L13" s="42">
        <f t="shared" ref="L13:L43" si="7">IF(S13&lt;=R13,0,J13/H13)</f>
        <v>0</v>
      </c>
      <c r="M13" s="90">
        <v>1</v>
      </c>
      <c r="N13" s="42">
        <f t="shared" si="0"/>
        <v>3883</v>
      </c>
      <c r="O13" s="42">
        <f t="shared" si="1"/>
        <v>3883</v>
      </c>
      <c r="P13" s="42">
        <f t="shared" si="2"/>
        <v>0</v>
      </c>
      <c r="Q13" s="91">
        <f t="shared" ref="Q13:Q20" si="8">$D13+(($E13-1)/12)</f>
        <v>2000.8333333333333</v>
      </c>
      <c r="R13" s="91">
        <f t="shared" si="3"/>
        <v>2022.75</v>
      </c>
      <c r="S13" s="91">
        <f t="shared" ref="S13:S20" si="9">$I13+(($E13-1)/12)</f>
        <v>2007.8333333333333</v>
      </c>
      <c r="T13" s="91">
        <f t="shared" si="4"/>
        <v>2021.75</v>
      </c>
    </row>
    <row r="14" spans="1:20" s="2" customFormat="1" ht="15" x14ac:dyDescent="0.25">
      <c r="A14" s="2">
        <v>3</v>
      </c>
      <c r="B14" s="2" t="s">
        <v>383</v>
      </c>
      <c r="D14" s="88">
        <v>2001</v>
      </c>
      <c r="E14" s="88">
        <v>2</v>
      </c>
      <c r="F14" s="92"/>
      <c r="G14" s="88" t="s">
        <v>381</v>
      </c>
      <c r="H14" s="88">
        <v>7</v>
      </c>
      <c r="I14" s="2">
        <f t="shared" si="5"/>
        <v>2008</v>
      </c>
      <c r="J14" s="42">
        <v>3122</v>
      </c>
      <c r="K14" s="42">
        <f t="shared" si="6"/>
        <v>37.166666666666664</v>
      </c>
      <c r="L14" s="42">
        <f t="shared" si="7"/>
        <v>0</v>
      </c>
      <c r="M14" s="90">
        <v>1</v>
      </c>
      <c r="N14" s="42">
        <f t="shared" si="0"/>
        <v>3122</v>
      </c>
      <c r="O14" s="42">
        <f t="shared" si="1"/>
        <v>3122</v>
      </c>
      <c r="P14" s="42">
        <f t="shared" si="2"/>
        <v>0</v>
      </c>
      <c r="Q14" s="91">
        <f t="shared" si="8"/>
        <v>2001.0833333333333</v>
      </c>
      <c r="R14" s="91">
        <f t="shared" si="3"/>
        <v>2022.75</v>
      </c>
      <c r="S14" s="91">
        <f t="shared" si="9"/>
        <v>2008.0833333333333</v>
      </c>
      <c r="T14" s="91">
        <f t="shared" si="4"/>
        <v>2021.75</v>
      </c>
    </row>
    <row r="15" spans="1:20" s="2" customFormat="1" ht="15" x14ac:dyDescent="0.25">
      <c r="A15" s="2">
        <v>4</v>
      </c>
      <c r="B15" s="2" t="s">
        <v>384</v>
      </c>
      <c r="D15" s="88">
        <v>2002</v>
      </c>
      <c r="E15" s="88">
        <v>3</v>
      </c>
      <c r="F15" s="92"/>
      <c r="G15" s="88" t="s">
        <v>381</v>
      </c>
      <c r="H15" s="88">
        <v>5</v>
      </c>
      <c r="I15" s="2">
        <f t="shared" si="5"/>
        <v>2007</v>
      </c>
      <c r="J15" s="42">
        <v>1188</v>
      </c>
      <c r="K15" s="42">
        <f t="shared" si="6"/>
        <v>19.8</v>
      </c>
      <c r="L15" s="42">
        <f t="shared" si="7"/>
        <v>0</v>
      </c>
      <c r="M15" s="90">
        <v>1</v>
      </c>
      <c r="N15" s="42">
        <f t="shared" si="0"/>
        <v>1188</v>
      </c>
      <c r="O15" s="42">
        <f t="shared" si="1"/>
        <v>1188</v>
      </c>
      <c r="P15" s="42">
        <f t="shared" si="2"/>
        <v>0</v>
      </c>
      <c r="Q15" s="91">
        <f t="shared" si="8"/>
        <v>2002.1666666666667</v>
      </c>
      <c r="R15" s="91">
        <f t="shared" si="3"/>
        <v>2022.75</v>
      </c>
      <c r="S15" s="91">
        <f t="shared" si="9"/>
        <v>2007.1666666666667</v>
      </c>
      <c r="T15" s="91">
        <f t="shared" si="4"/>
        <v>2021.75</v>
      </c>
    </row>
    <row r="16" spans="1:20" s="2" customFormat="1" ht="15" x14ac:dyDescent="0.25">
      <c r="A16" s="2">
        <v>5</v>
      </c>
      <c r="B16" s="2" t="s">
        <v>380</v>
      </c>
      <c r="D16" s="88">
        <v>2004</v>
      </c>
      <c r="E16" s="88">
        <v>6</v>
      </c>
      <c r="F16" s="92"/>
      <c r="G16" s="88" t="s">
        <v>381</v>
      </c>
      <c r="H16" s="88">
        <v>7</v>
      </c>
      <c r="I16" s="2">
        <f t="shared" si="5"/>
        <v>2011</v>
      </c>
      <c r="J16" s="42">
        <v>2651</v>
      </c>
      <c r="K16" s="42">
        <f t="shared" si="6"/>
        <v>31.55952380952381</v>
      </c>
      <c r="L16" s="42">
        <f t="shared" si="7"/>
        <v>0</v>
      </c>
      <c r="M16" s="90">
        <v>1</v>
      </c>
      <c r="N16" s="42">
        <f t="shared" si="0"/>
        <v>2651</v>
      </c>
      <c r="O16" s="42">
        <f t="shared" si="1"/>
        <v>2651</v>
      </c>
      <c r="P16" s="42">
        <f t="shared" si="2"/>
        <v>0</v>
      </c>
      <c r="Q16" s="91">
        <f t="shared" si="8"/>
        <v>2004.4166666666667</v>
      </c>
      <c r="R16" s="91">
        <f t="shared" si="3"/>
        <v>2022.75</v>
      </c>
      <c r="S16" s="91">
        <f t="shared" si="9"/>
        <v>2011.4166666666667</v>
      </c>
      <c r="T16" s="91">
        <f t="shared" si="4"/>
        <v>2021.75</v>
      </c>
    </row>
    <row r="17" spans="1:20" s="2" customFormat="1" ht="15" x14ac:dyDescent="0.25">
      <c r="A17" s="2">
        <v>6</v>
      </c>
      <c r="B17" s="2" t="s">
        <v>385</v>
      </c>
      <c r="D17" s="88">
        <v>2007</v>
      </c>
      <c r="E17" s="88">
        <v>3</v>
      </c>
      <c r="F17" s="92"/>
      <c r="G17" s="88" t="s">
        <v>381</v>
      </c>
      <c r="H17" s="88">
        <v>7</v>
      </c>
      <c r="I17" s="2">
        <f t="shared" si="5"/>
        <v>2014</v>
      </c>
      <c r="J17" s="42">
        <v>24165</v>
      </c>
      <c r="K17" s="42">
        <f t="shared" si="6"/>
        <v>287.67857142857144</v>
      </c>
      <c r="L17" s="42">
        <f t="shared" si="7"/>
        <v>0</v>
      </c>
      <c r="M17" s="90">
        <v>1</v>
      </c>
      <c r="N17" s="42">
        <f t="shared" si="0"/>
        <v>24165</v>
      </c>
      <c r="O17" s="42">
        <f t="shared" si="1"/>
        <v>24165</v>
      </c>
      <c r="P17" s="42">
        <f t="shared" si="2"/>
        <v>0</v>
      </c>
      <c r="Q17" s="91">
        <f t="shared" si="8"/>
        <v>2007.1666666666667</v>
      </c>
      <c r="R17" s="91">
        <f t="shared" si="3"/>
        <v>2022.75</v>
      </c>
      <c r="S17" s="91">
        <f t="shared" si="9"/>
        <v>2014.1666666666667</v>
      </c>
      <c r="T17" s="91">
        <f t="shared" si="4"/>
        <v>2021.75</v>
      </c>
    </row>
    <row r="18" spans="1:20" s="2" customFormat="1" ht="15" x14ac:dyDescent="0.25">
      <c r="A18" s="2">
        <v>7</v>
      </c>
      <c r="B18" s="2" t="s">
        <v>385</v>
      </c>
      <c r="D18" s="88">
        <v>2006</v>
      </c>
      <c r="E18" s="88">
        <v>6</v>
      </c>
      <c r="F18" s="92"/>
      <c r="G18" s="88" t="s">
        <v>381</v>
      </c>
      <c r="H18" s="88">
        <v>3</v>
      </c>
      <c r="I18" s="2">
        <f t="shared" si="5"/>
        <v>2009</v>
      </c>
      <c r="J18" s="42">
        <v>46600</v>
      </c>
      <c r="K18" s="42">
        <f t="shared" si="6"/>
        <v>1294.4444444444446</v>
      </c>
      <c r="L18" s="42">
        <f t="shared" si="7"/>
        <v>0</v>
      </c>
      <c r="M18" s="90">
        <v>1</v>
      </c>
      <c r="N18" s="42">
        <f t="shared" si="0"/>
        <v>46600</v>
      </c>
      <c r="O18" s="42">
        <f t="shared" si="1"/>
        <v>46600</v>
      </c>
      <c r="P18" s="42">
        <f t="shared" si="2"/>
        <v>0</v>
      </c>
      <c r="Q18" s="91">
        <f t="shared" si="8"/>
        <v>2006.4166666666667</v>
      </c>
      <c r="R18" s="91">
        <f t="shared" si="3"/>
        <v>2022.75</v>
      </c>
      <c r="S18" s="91">
        <f t="shared" si="9"/>
        <v>2009.4166666666667</v>
      </c>
      <c r="T18" s="91">
        <f t="shared" si="4"/>
        <v>2021.75</v>
      </c>
    </row>
    <row r="19" spans="1:20" s="2" customFormat="1" ht="15" x14ac:dyDescent="0.25">
      <c r="A19" s="2">
        <v>8</v>
      </c>
      <c r="B19" s="2" t="s">
        <v>386</v>
      </c>
      <c r="D19" s="88">
        <v>2007</v>
      </c>
      <c r="E19" s="88">
        <v>6</v>
      </c>
      <c r="F19" s="92"/>
      <c r="G19" s="88" t="s">
        <v>381</v>
      </c>
      <c r="H19" s="88">
        <v>5</v>
      </c>
      <c r="I19" s="2">
        <f t="shared" si="5"/>
        <v>2012</v>
      </c>
      <c r="J19" s="42">
        <v>2900</v>
      </c>
      <c r="K19" s="42">
        <f t="shared" si="6"/>
        <v>48.333333333333336</v>
      </c>
      <c r="L19" s="42">
        <f t="shared" si="7"/>
        <v>0</v>
      </c>
      <c r="M19" s="90">
        <v>1</v>
      </c>
      <c r="N19" s="42">
        <f t="shared" si="0"/>
        <v>2900</v>
      </c>
      <c r="O19" s="42">
        <f t="shared" si="1"/>
        <v>2900</v>
      </c>
      <c r="P19" s="42">
        <f t="shared" si="2"/>
        <v>0</v>
      </c>
      <c r="Q19" s="91">
        <f t="shared" si="8"/>
        <v>2007.4166666666667</v>
      </c>
      <c r="R19" s="91">
        <f t="shared" si="3"/>
        <v>2022.75</v>
      </c>
      <c r="S19" s="91">
        <f t="shared" si="9"/>
        <v>2012.4166666666667</v>
      </c>
      <c r="T19" s="91">
        <f t="shared" si="4"/>
        <v>2021.75</v>
      </c>
    </row>
    <row r="20" spans="1:20" s="2" customFormat="1" ht="15" x14ac:dyDescent="0.25">
      <c r="A20" s="2">
        <v>9</v>
      </c>
      <c r="B20" s="2" t="s">
        <v>387</v>
      </c>
      <c r="D20" s="88">
        <v>2007</v>
      </c>
      <c r="E20" s="88">
        <v>6</v>
      </c>
      <c r="F20" s="92"/>
      <c r="G20" s="88" t="s">
        <v>381</v>
      </c>
      <c r="H20" s="88">
        <v>5</v>
      </c>
      <c r="I20" s="2">
        <f t="shared" si="5"/>
        <v>2012</v>
      </c>
      <c r="J20" s="42">
        <v>3000</v>
      </c>
      <c r="K20" s="42">
        <f t="shared" si="6"/>
        <v>50</v>
      </c>
      <c r="L20" s="42">
        <f t="shared" si="7"/>
        <v>0</v>
      </c>
      <c r="M20" s="90">
        <v>1</v>
      </c>
      <c r="N20" s="42">
        <f t="shared" si="0"/>
        <v>3000</v>
      </c>
      <c r="O20" s="42">
        <f t="shared" si="1"/>
        <v>3000</v>
      </c>
      <c r="P20" s="42">
        <f t="shared" si="2"/>
        <v>0</v>
      </c>
      <c r="Q20" s="91">
        <f t="shared" si="8"/>
        <v>2007.4166666666667</v>
      </c>
      <c r="R20" s="91">
        <f t="shared" si="3"/>
        <v>2022.75</v>
      </c>
      <c r="S20" s="91">
        <f t="shared" si="9"/>
        <v>2012.4166666666667</v>
      </c>
      <c r="T20" s="91">
        <f t="shared" si="4"/>
        <v>2021.75</v>
      </c>
    </row>
    <row r="21" spans="1:20" s="2" customFormat="1" ht="15" x14ac:dyDescent="0.25">
      <c r="A21" s="2">
        <v>100</v>
      </c>
      <c r="B21" s="2" t="s">
        <v>388</v>
      </c>
      <c r="D21" s="88">
        <v>2009</v>
      </c>
      <c r="E21" s="88">
        <v>8</v>
      </c>
      <c r="F21" s="92"/>
      <c r="G21" s="88" t="s">
        <v>381</v>
      </c>
      <c r="H21" s="88">
        <v>3</v>
      </c>
      <c r="I21" s="2">
        <f>+D21+H21</f>
        <v>2012</v>
      </c>
      <c r="J21" s="42">
        <v>2363</v>
      </c>
      <c r="K21" s="42">
        <f t="shared" si="6"/>
        <v>65.638888888888886</v>
      </c>
      <c r="L21" s="42">
        <f t="shared" si="7"/>
        <v>0</v>
      </c>
      <c r="M21" s="90">
        <v>1</v>
      </c>
      <c r="N21" s="42">
        <f t="shared" si="0"/>
        <v>2363</v>
      </c>
      <c r="O21" s="42">
        <f t="shared" si="1"/>
        <v>2363</v>
      </c>
      <c r="P21" s="42">
        <f t="shared" si="2"/>
        <v>0</v>
      </c>
      <c r="Q21" s="91">
        <f>$D21+(($E21-1)/12)</f>
        <v>2009.5833333333333</v>
      </c>
      <c r="R21" s="91">
        <f t="shared" si="3"/>
        <v>2022.75</v>
      </c>
      <c r="S21" s="91">
        <f>$I21+(($E21-1)/12)</f>
        <v>2012.5833333333333</v>
      </c>
      <c r="T21" s="91">
        <f t="shared" si="4"/>
        <v>2021.75</v>
      </c>
    </row>
    <row r="22" spans="1:20" s="2" customFormat="1" ht="15" x14ac:dyDescent="0.25">
      <c r="A22" s="2">
        <v>101</v>
      </c>
      <c r="B22" s="2" t="s">
        <v>389</v>
      </c>
      <c r="D22" s="88">
        <v>2009</v>
      </c>
      <c r="E22" s="88">
        <v>11</v>
      </c>
      <c r="F22" s="92"/>
      <c r="G22" s="88" t="s">
        <v>381</v>
      </c>
      <c r="H22" s="88">
        <v>3</v>
      </c>
      <c r="I22" s="2">
        <f>+D22+H22</f>
        <v>2012</v>
      </c>
      <c r="J22" s="42">
        <v>1422</v>
      </c>
      <c r="K22" s="42">
        <f t="shared" si="6"/>
        <v>39.5</v>
      </c>
      <c r="L22" s="42">
        <f t="shared" si="7"/>
        <v>0</v>
      </c>
      <c r="M22" s="90">
        <v>1</v>
      </c>
      <c r="N22" s="42">
        <f t="shared" si="0"/>
        <v>1422</v>
      </c>
      <c r="O22" s="42">
        <f t="shared" si="1"/>
        <v>1422</v>
      </c>
      <c r="P22" s="42">
        <f t="shared" si="2"/>
        <v>0</v>
      </c>
      <c r="Q22" s="91">
        <f>$D22+(($E22-1)/12)</f>
        <v>2009.8333333333333</v>
      </c>
      <c r="R22" s="91">
        <f t="shared" si="3"/>
        <v>2022.75</v>
      </c>
      <c r="S22" s="91">
        <f>$I22+(($E22-1)/12)</f>
        <v>2012.8333333333333</v>
      </c>
      <c r="T22" s="91">
        <f t="shared" si="4"/>
        <v>2021.75</v>
      </c>
    </row>
    <row r="23" spans="1:20" s="2" customFormat="1" ht="15" x14ac:dyDescent="0.25">
      <c r="A23" s="2">
        <v>170</v>
      </c>
      <c r="B23" s="2" t="s">
        <v>390</v>
      </c>
      <c r="D23" s="88">
        <v>2012</v>
      </c>
      <c r="E23" s="88">
        <v>7</v>
      </c>
      <c r="F23" s="92"/>
      <c r="G23" s="88" t="s">
        <v>381</v>
      </c>
      <c r="H23" s="88">
        <v>3</v>
      </c>
      <c r="I23" s="2">
        <f>+D23+H23</f>
        <v>2015</v>
      </c>
      <c r="J23" s="42">
        <v>1111</v>
      </c>
      <c r="K23" s="42">
        <f t="shared" si="6"/>
        <v>30.861111111111111</v>
      </c>
      <c r="L23" s="42">
        <f t="shared" si="7"/>
        <v>0</v>
      </c>
      <c r="M23" s="90">
        <v>1</v>
      </c>
      <c r="N23" s="42">
        <f t="shared" si="0"/>
        <v>1111</v>
      </c>
      <c r="O23" s="42">
        <f t="shared" si="1"/>
        <v>1111</v>
      </c>
      <c r="P23" s="42">
        <f t="shared" si="2"/>
        <v>0</v>
      </c>
      <c r="Q23" s="91">
        <f>$D23+(($E23-1)/12)</f>
        <v>2012.5</v>
      </c>
      <c r="R23" s="91">
        <f t="shared" si="3"/>
        <v>2022.75</v>
      </c>
      <c r="S23" s="91">
        <f>$I23+(($E23-1)/12)</f>
        <v>2015.5</v>
      </c>
      <c r="T23" s="91">
        <f t="shared" si="4"/>
        <v>2021.75</v>
      </c>
    </row>
    <row r="24" spans="1:20" s="2" customFormat="1" ht="15" x14ac:dyDescent="0.25">
      <c r="A24" s="2">
        <v>221</v>
      </c>
      <c r="B24" s="2" t="s">
        <v>391</v>
      </c>
      <c r="D24" s="88">
        <v>2014</v>
      </c>
      <c r="E24" s="88">
        <v>12</v>
      </c>
      <c r="F24" s="92"/>
      <c r="G24" s="88" t="s">
        <v>381</v>
      </c>
      <c r="H24" s="88">
        <v>7</v>
      </c>
      <c r="I24" s="2">
        <f>+D24+H24</f>
        <v>2021</v>
      </c>
      <c r="J24" s="42">
        <v>3000</v>
      </c>
      <c r="K24" s="42">
        <f t="shared" si="6"/>
        <v>35.714285714285715</v>
      </c>
      <c r="L24" s="42">
        <f t="shared" si="7"/>
        <v>0</v>
      </c>
      <c r="M24" s="90">
        <v>1</v>
      </c>
      <c r="N24" s="42">
        <f t="shared" si="0"/>
        <v>3000</v>
      </c>
      <c r="O24" s="42">
        <f t="shared" si="1"/>
        <v>3000</v>
      </c>
      <c r="P24" s="42">
        <f t="shared" si="2"/>
        <v>0</v>
      </c>
      <c r="Q24" s="91">
        <f>$D24+(($E24-1)/12)</f>
        <v>2014.9166666666667</v>
      </c>
      <c r="R24" s="91">
        <f t="shared" si="3"/>
        <v>2022.75</v>
      </c>
      <c r="S24" s="91">
        <f>$I24+(($E24-1)/12)</f>
        <v>2021.9166666666667</v>
      </c>
      <c r="T24" s="91">
        <f t="shared" si="4"/>
        <v>2021.75</v>
      </c>
    </row>
    <row r="25" spans="1:20" s="2" customFormat="1" ht="15" x14ac:dyDescent="0.25">
      <c r="A25" s="2">
        <v>242</v>
      </c>
      <c r="B25" s="2" t="s">
        <v>392</v>
      </c>
      <c r="D25" s="88">
        <v>2016</v>
      </c>
      <c r="E25" s="88">
        <v>4</v>
      </c>
      <c r="F25" s="92"/>
      <c r="G25" s="88" t="s">
        <v>381</v>
      </c>
      <c r="H25" s="88">
        <v>5</v>
      </c>
      <c r="I25" s="2">
        <f>+D25+H25</f>
        <v>2021</v>
      </c>
      <c r="J25" s="42">
        <v>1358</v>
      </c>
      <c r="K25" s="42">
        <f t="shared" si="6"/>
        <v>22.633333333333336</v>
      </c>
      <c r="L25" s="42">
        <f t="shared" si="7"/>
        <v>0</v>
      </c>
      <c r="M25" s="90">
        <v>1</v>
      </c>
      <c r="N25" s="42">
        <f t="shared" si="0"/>
        <v>1358</v>
      </c>
      <c r="O25" s="42">
        <f t="shared" si="1"/>
        <v>1358</v>
      </c>
      <c r="P25" s="42">
        <f t="shared" si="2"/>
        <v>0</v>
      </c>
      <c r="Q25" s="91">
        <f>$D25+(($E25-1)/12)</f>
        <v>2016.25</v>
      </c>
      <c r="R25" s="91">
        <f t="shared" si="3"/>
        <v>2022.75</v>
      </c>
      <c r="S25" s="91">
        <f>$I25+(($E25-1)/12)</f>
        <v>2021.25</v>
      </c>
      <c r="T25" s="91">
        <f t="shared" si="4"/>
        <v>2021.75</v>
      </c>
    </row>
    <row r="26" spans="1:20" s="2" customFormat="1" ht="15" x14ac:dyDescent="0.25">
      <c r="A26" s="2">
        <v>244</v>
      </c>
      <c r="B26" s="2" t="s">
        <v>393</v>
      </c>
      <c r="D26" s="88">
        <v>2016</v>
      </c>
      <c r="E26" s="88">
        <v>4</v>
      </c>
      <c r="F26" s="92"/>
      <c r="G26" s="88" t="s">
        <v>381</v>
      </c>
      <c r="H26" s="88">
        <v>5</v>
      </c>
      <c r="I26" s="2">
        <f t="shared" ref="I26:I28" si="10">+D26+H26</f>
        <v>2021</v>
      </c>
      <c r="J26" s="42">
        <v>11914</v>
      </c>
      <c r="K26" s="42">
        <f t="shared" si="6"/>
        <v>198.56666666666669</v>
      </c>
      <c r="L26" s="42">
        <f t="shared" si="7"/>
        <v>0</v>
      </c>
      <c r="M26" s="90">
        <v>1</v>
      </c>
      <c r="N26" s="42">
        <f t="shared" si="0"/>
        <v>11914</v>
      </c>
      <c r="O26" s="42">
        <f t="shared" si="1"/>
        <v>11914</v>
      </c>
      <c r="P26" s="42">
        <f t="shared" si="2"/>
        <v>0</v>
      </c>
      <c r="Q26" s="91">
        <f t="shared" ref="Q26:Q28" si="11">$D26+(($E26-1)/12)</f>
        <v>2016.25</v>
      </c>
      <c r="R26" s="91">
        <f t="shared" si="3"/>
        <v>2022.75</v>
      </c>
      <c r="S26" s="91">
        <f t="shared" ref="S26:S28" si="12">$I26+(($E26-1)/12)</f>
        <v>2021.25</v>
      </c>
      <c r="T26" s="91">
        <f t="shared" si="4"/>
        <v>2021.75</v>
      </c>
    </row>
    <row r="27" spans="1:20" s="2" customFormat="1" ht="15" x14ac:dyDescent="0.25">
      <c r="A27" s="2">
        <v>243</v>
      </c>
      <c r="B27" s="2" t="s">
        <v>392</v>
      </c>
      <c r="D27" s="88">
        <v>2016</v>
      </c>
      <c r="E27" s="88">
        <v>6</v>
      </c>
      <c r="F27" s="92"/>
      <c r="G27" s="88" t="s">
        <v>381</v>
      </c>
      <c r="H27" s="88">
        <v>5</v>
      </c>
      <c r="I27" s="2">
        <f t="shared" si="10"/>
        <v>2021</v>
      </c>
      <c r="J27" s="42">
        <v>1990</v>
      </c>
      <c r="K27" s="42">
        <f t="shared" si="6"/>
        <v>33.166666666666664</v>
      </c>
      <c r="L27" s="42">
        <f t="shared" si="7"/>
        <v>0</v>
      </c>
      <c r="M27" s="90">
        <v>1</v>
      </c>
      <c r="N27" s="42">
        <f t="shared" si="0"/>
        <v>1990</v>
      </c>
      <c r="O27" s="42">
        <f t="shared" si="1"/>
        <v>1990</v>
      </c>
      <c r="P27" s="42">
        <f t="shared" si="2"/>
        <v>0</v>
      </c>
      <c r="Q27" s="91">
        <f t="shared" si="11"/>
        <v>2016.4166666666667</v>
      </c>
      <c r="R27" s="91">
        <f t="shared" si="3"/>
        <v>2022.75</v>
      </c>
      <c r="S27" s="91">
        <f t="shared" si="12"/>
        <v>2021.4166666666667</v>
      </c>
      <c r="T27" s="91">
        <f t="shared" si="4"/>
        <v>2021.75</v>
      </c>
    </row>
    <row r="28" spans="1:20" s="2" customFormat="1" ht="15" x14ac:dyDescent="0.25">
      <c r="A28" s="2">
        <v>247</v>
      </c>
      <c r="B28" s="2" t="s">
        <v>394</v>
      </c>
      <c r="D28" s="88">
        <v>2016</v>
      </c>
      <c r="E28" s="88">
        <v>6</v>
      </c>
      <c r="F28" s="92"/>
      <c r="G28" s="88" t="s">
        <v>381</v>
      </c>
      <c r="H28" s="88">
        <v>7</v>
      </c>
      <c r="I28" s="2">
        <f t="shared" si="10"/>
        <v>2023</v>
      </c>
      <c r="J28" s="42">
        <v>5732</v>
      </c>
      <c r="K28" s="42">
        <f t="shared" si="6"/>
        <v>68.238095238095241</v>
      </c>
      <c r="L28" s="42">
        <f t="shared" si="7"/>
        <v>818.85714285714289</v>
      </c>
      <c r="M28" s="90">
        <v>1</v>
      </c>
      <c r="N28" s="42">
        <f t="shared" si="0"/>
        <v>4367.2380952380336</v>
      </c>
      <c r="O28" s="42">
        <f t="shared" si="1"/>
        <v>5186.0952380951767</v>
      </c>
      <c r="P28" s="42">
        <f t="shared" si="2"/>
        <v>545.90476190482332</v>
      </c>
      <c r="Q28" s="91">
        <f t="shared" si="11"/>
        <v>2016.4166666666667</v>
      </c>
      <c r="R28" s="91">
        <f t="shared" si="3"/>
        <v>2022.75</v>
      </c>
      <c r="S28" s="91">
        <f t="shared" si="12"/>
        <v>2023.4166666666667</v>
      </c>
      <c r="T28" s="91">
        <f t="shared" si="4"/>
        <v>2021.75</v>
      </c>
    </row>
    <row r="29" spans="1:20" s="2" customFormat="1" ht="15" x14ac:dyDescent="0.25">
      <c r="A29" s="2">
        <v>257</v>
      </c>
      <c r="B29" s="2" t="s">
        <v>395</v>
      </c>
      <c r="D29" s="88">
        <v>2017</v>
      </c>
      <c r="E29" s="88">
        <v>4</v>
      </c>
      <c r="F29" s="92"/>
      <c r="G29" s="88" t="s">
        <v>381</v>
      </c>
      <c r="H29" s="88">
        <v>3</v>
      </c>
      <c r="I29" s="2">
        <f>+D29+H29</f>
        <v>2020</v>
      </c>
      <c r="J29" s="42">
        <v>3061</v>
      </c>
      <c r="K29" s="42">
        <f t="shared" si="6"/>
        <v>85.027777777777786</v>
      </c>
      <c r="L29" s="42">
        <f t="shared" si="7"/>
        <v>0</v>
      </c>
      <c r="M29" s="93">
        <v>1</v>
      </c>
      <c r="N29" s="42">
        <f t="shared" si="0"/>
        <v>3061</v>
      </c>
      <c r="O29" s="42">
        <f t="shared" si="1"/>
        <v>3061</v>
      </c>
      <c r="P29" s="42">
        <f t="shared" si="2"/>
        <v>0</v>
      </c>
      <c r="Q29" s="91">
        <f>$D29+(($E29-1)/12)</f>
        <v>2017.25</v>
      </c>
      <c r="R29" s="91">
        <f t="shared" si="3"/>
        <v>2022.75</v>
      </c>
      <c r="S29" s="91">
        <f>$I29+(($E29-1)/12)</f>
        <v>2020.25</v>
      </c>
      <c r="T29" s="91">
        <f t="shared" si="4"/>
        <v>2021.75</v>
      </c>
    </row>
    <row r="30" spans="1:20" s="2" customFormat="1" ht="15" x14ac:dyDescent="0.25">
      <c r="A30" s="2">
        <v>258</v>
      </c>
      <c r="B30" s="2" t="s">
        <v>396</v>
      </c>
      <c r="D30" s="88">
        <v>2017</v>
      </c>
      <c r="E30" s="88">
        <v>1</v>
      </c>
      <c r="F30" s="92"/>
      <c r="G30" s="88" t="s">
        <v>381</v>
      </c>
      <c r="H30" s="88">
        <v>7</v>
      </c>
      <c r="I30" s="2">
        <f t="shared" ref="I30:I43" si="13">+D30+H30</f>
        <v>2024</v>
      </c>
      <c r="J30" s="42">
        <v>4035</v>
      </c>
      <c r="K30" s="42">
        <f t="shared" si="6"/>
        <v>48.035714285714285</v>
      </c>
      <c r="L30" s="42">
        <f t="shared" si="7"/>
        <v>576.42857142857144</v>
      </c>
      <c r="M30" s="93">
        <v>1</v>
      </c>
      <c r="N30" s="42">
        <f t="shared" si="0"/>
        <v>2738.0357142857142</v>
      </c>
      <c r="O30" s="42">
        <f t="shared" si="1"/>
        <v>3314.4642857142858</v>
      </c>
      <c r="P30" s="42">
        <f t="shared" si="2"/>
        <v>720.53571428571422</v>
      </c>
      <c r="Q30" s="91">
        <f t="shared" ref="Q30:Q43" si="14">$D30+(($E30-1)/12)</f>
        <v>2017</v>
      </c>
      <c r="R30" s="91">
        <f t="shared" si="3"/>
        <v>2022.75</v>
      </c>
      <c r="S30" s="91">
        <f t="shared" ref="S30:S43" si="15">$I30+(($E30-1)/12)</f>
        <v>2024</v>
      </c>
      <c r="T30" s="91">
        <f t="shared" si="4"/>
        <v>2021.75</v>
      </c>
    </row>
    <row r="31" spans="1:20" s="2" customFormat="1" ht="15" x14ac:dyDescent="0.25">
      <c r="A31" s="2">
        <v>253</v>
      </c>
      <c r="B31" s="2" t="s">
        <v>397</v>
      </c>
      <c r="D31" s="88">
        <v>2017</v>
      </c>
      <c r="E31" s="88">
        <v>1</v>
      </c>
      <c r="F31" s="92"/>
      <c r="G31" s="88" t="s">
        <v>381</v>
      </c>
      <c r="H31" s="88">
        <v>7</v>
      </c>
      <c r="I31" s="2">
        <f t="shared" si="13"/>
        <v>2024</v>
      </c>
      <c r="J31" s="42">
        <v>4103</v>
      </c>
      <c r="K31" s="42">
        <f t="shared" si="6"/>
        <v>48.845238095238095</v>
      </c>
      <c r="L31" s="42">
        <f t="shared" si="7"/>
        <v>586.14285714285711</v>
      </c>
      <c r="M31" s="93">
        <v>1</v>
      </c>
      <c r="N31" s="42">
        <f t="shared" si="0"/>
        <v>2784.1785714285716</v>
      </c>
      <c r="O31" s="42">
        <f t="shared" si="1"/>
        <v>3370.3214285714284</v>
      </c>
      <c r="P31" s="42">
        <f t="shared" si="2"/>
        <v>732.67857142857156</v>
      </c>
      <c r="Q31" s="91">
        <f t="shared" si="14"/>
        <v>2017</v>
      </c>
      <c r="R31" s="91">
        <f t="shared" si="3"/>
        <v>2022.75</v>
      </c>
      <c r="S31" s="91">
        <f t="shared" si="15"/>
        <v>2024</v>
      </c>
      <c r="T31" s="91">
        <f t="shared" si="4"/>
        <v>2021.75</v>
      </c>
    </row>
    <row r="32" spans="1:20" s="2" customFormat="1" ht="15" x14ac:dyDescent="0.25">
      <c r="A32" s="2">
        <v>259</v>
      </c>
      <c r="B32" s="2" t="s">
        <v>398</v>
      </c>
      <c r="D32" s="88">
        <v>2017</v>
      </c>
      <c r="E32" s="88">
        <v>3</v>
      </c>
      <c r="F32" s="92"/>
      <c r="G32" s="88" t="s">
        <v>381</v>
      </c>
      <c r="H32" s="88">
        <v>7</v>
      </c>
      <c r="I32" s="2">
        <f t="shared" si="13"/>
        <v>2024</v>
      </c>
      <c r="J32" s="42">
        <v>1319</v>
      </c>
      <c r="K32" s="42">
        <f t="shared" si="6"/>
        <v>15.702380952380951</v>
      </c>
      <c r="L32" s="42">
        <f t="shared" si="7"/>
        <v>188.42857142857142</v>
      </c>
      <c r="M32" s="93">
        <v>1</v>
      </c>
      <c r="N32" s="42">
        <f t="shared" si="0"/>
        <v>863.63095238093797</v>
      </c>
      <c r="O32" s="42">
        <f t="shared" si="1"/>
        <v>1052.0595238095093</v>
      </c>
      <c r="P32" s="42">
        <f t="shared" si="2"/>
        <v>266.9404761904907</v>
      </c>
      <c r="Q32" s="91">
        <f t="shared" si="14"/>
        <v>2017.1666666666667</v>
      </c>
      <c r="R32" s="91">
        <f t="shared" si="3"/>
        <v>2022.75</v>
      </c>
      <c r="S32" s="91">
        <f t="shared" si="15"/>
        <v>2024.1666666666667</v>
      </c>
      <c r="T32" s="91">
        <f t="shared" si="4"/>
        <v>2021.75</v>
      </c>
    </row>
    <row r="33" spans="1:20" s="2" customFormat="1" ht="15" x14ac:dyDescent="0.25">
      <c r="A33" s="2">
        <v>266</v>
      </c>
      <c r="B33" s="2" t="s">
        <v>394</v>
      </c>
      <c r="D33" s="88">
        <v>2018</v>
      </c>
      <c r="E33" s="88">
        <v>1</v>
      </c>
      <c r="F33" s="92"/>
      <c r="G33" s="88" t="s">
        <v>381</v>
      </c>
      <c r="H33" s="88">
        <v>7</v>
      </c>
      <c r="I33" s="2">
        <f t="shared" si="13"/>
        <v>2025</v>
      </c>
      <c r="J33" s="42">
        <v>1509</v>
      </c>
      <c r="K33" s="42">
        <f t="shared" si="6"/>
        <v>17.964285714285715</v>
      </c>
      <c r="L33" s="42">
        <f t="shared" si="7"/>
        <v>215.57142857142858</v>
      </c>
      <c r="M33" s="93">
        <v>1</v>
      </c>
      <c r="N33" s="42">
        <f t="shared" si="0"/>
        <v>808.39285714285722</v>
      </c>
      <c r="O33" s="42">
        <f t="shared" si="1"/>
        <v>1023.9642857142858</v>
      </c>
      <c r="P33" s="42">
        <f t="shared" si="2"/>
        <v>485.03571428571422</v>
      </c>
      <c r="Q33" s="91">
        <f t="shared" si="14"/>
        <v>2018</v>
      </c>
      <c r="R33" s="91">
        <f t="shared" si="3"/>
        <v>2022.75</v>
      </c>
      <c r="S33" s="91">
        <f t="shared" si="15"/>
        <v>2025</v>
      </c>
      <c r="T33" s="91">
        <f t="shared" si="4"/>
        <v>2021.75</v>
      </c>
    </row>
    <row r="34" spans="1:20" s="2" customFormat="1" ht="15" x14ac:dyDescent="0.25">
      <c r="A34" s="2">
        <v>268</v>
      </c>
      <c r="B34" s="2" t="s">
        <v>399</v>
      </c>
      <c r="D34" s="88">
        <v>2018</v>
      </c>
      <c r="E34" s="88">
        <v>2</v>
      </c>
      <c r="F34" s="92"/>
      <c r="G34" s="88" t="s">
        <v>381</v>
      </c>
      <c r="H34" s="88">
        <v>3</v>
      </c>
      <c r="I34" s="2">
        <f t="shared" si="13"/>
        <v>2021</v>
      </c>
      <c r="J34" s="42">
        <v>3795</v>
      </c>
      <c r="K34" s="42">
        <f t="shared" si="6"/>
        <v>105.41666666666667</v>
      </c>
      <c r="L34" s="42">
        <f t="shared" si="7"/>
        <v>0</v>
      </c>
      <c r="M34" s="93">
        <v>1</v>
      </c>
      <c r="N34" s="42">
        <f t="shared" si="0"/>
        <v>3795</v>
      </c>
      <c r="O34" s="42">
        <f t="shared" si="1"/>
        <v>3795</v>
      </c>
      <c r="P34" s="42">
        <f t="shared" si="2"/>
        <v>0</v>
      </c>
      <c r="Q34" s="91">
        <f t="shared" si="14"/>
        <v>2018.0833333333333</v>
      </c>
      <c r="R34" s="91">
        <f t="shared" si="3"/>
        <v>2022.75</v>
      </c>
      <c r="S34" s="91">
        <f t="shared" si="15"/>
        <v>2021.0833333333333</v>
      </c>
      <c r="T34" s="91">
        <f t="shared" si="4"/>
        <v>2021.75</v>
      </c>
    </row>
    <row r="35" spans="1:20" s="2" customFormat="1" ht="15" x14ac:dyDescent="0.25">
      <c r="A35" s="2">
        <v>265</v>
      </c>
      <c r="B35" s="2" t="s">
        <v>400</v>
      </c>
      <c r="D35" s="88">
        <v>2018</v>
      </c>
      <c r="E35" s="88">
        <v>3</v>
      </c>
      <c r="F35" s="92"/>
      <c r="G35" s="88" t="s">
        <v>381</v>
      </c>
      <c r="H35" s="88">
        <v>5</v>
      </c>
      <c r="I35" s="2">
        <f t="shared" si="13"/>
        <v>2023</v>
      </c>
      <c r="J35" s="42">
        <v>3907</v>
      </c>
      <c r="K35" s="42">
        <f t="shared" si="6"/>
        <v>65.11666666666666</v>
      </c>
      <c r="L35" s="42">
        <f t="shared" si="7"/>
        <v>781.4</v>
      </c>
      <c r="M35" s="93">
        <v>1</v>
      </c>
      <c r="N35" s="42">
        <f t="shared" si="0"/>
        <v>2800.0166666666073</v>
      </c>
      <c r="O35" s="42">
        <f t="shared" si="1"/>
        <v>3581.4166666666074</v>
      </c>
      <c r="P35" s="42">
        <f t="shared" si="2"/>
        <v>325.5833333333926</v>
      </c>
      <c r="Q35" s="91">
        <f t="shared" si="14"/>
        <v>2018.1666666666667</v>
      </c>
      <c r="R35" s="91">
        <f t="shared" si="3"/>
        <v>2022.75</v>
      </c>
      <c r="S35" s="91">
        <f t="shared" si="15"/>
        <v>2023.1666666666667</v>
      </c>
      <c r="T35" s="91">
        <f t="shared" si="4"/>
        <v>2021.75</v>
      </c>
    </row>
    <row r="36" spans="1:20" s="2" customFormat="1" ht="15" x14ac:dyDescent="0.25">
      <c r="A36" s="2">
        <v>269</v>
      </c>
      <c r="B36" s="2" t="s">
        <v>401</v>
      </c>
      <c r="D36" s="88">
        <v>2018</v>
      </c>
      <c r="E36" s="88">
        <v>5</v>
      </c>
      <c r="F36" s="92"/>
      <c r="G36" s="88" t="s">
        <v>381</v>
      </c>
      <c r="H36" s="88">
        <v>3</v>
      </c>
      <c r="I36" s="2">
        <f t="shared" si="13"/>
        <v>2021</v>
      </c>
      <c r="J36" s="42">
        <v>4034</v>
      </c>
      <c r="K36" s="42">
        <f t="shared" si="6"/>
        <v>112.05555555555556</v>
      </c>
      <c r="L36" s="42">
        <f t="shared" si="7"/>
        <v>0</v>
      </c>
      <c r="M36" s="93">
        <v>1</v>
      </c>
      <c r="N36" s="42">
        <f t="shared" si="0"/>
        <v>4034</v>
      </c>
      <c r="O36" s="42">
        <f t="shared" si="1"/>
        <v>4034</v>
      </c>
      <c r="P36" s="42">
        <f t="shared" si="2"/>
        <v>0</v>
      </c>
      <c r="Q36" s="91">
        <f t="shared" si="14"/>
        <v>2018.3333333333333</v>
      </c>
      <c r="R36" s="91">
        <f t="shared" si="3"/>
        <v>2022.75</v>
      </c>
      <c r="S36" s="91">
        <f t="shared" si="15"/>
        <v>2021.3333333333333</v>
      </c>
      <c r="T36" s="91">
        <f t="shared" si="4"/>
        <v>2021.75</v>
      </c>
    </row>
    <row r="37" spans="1:20" s="2" customFormat="1" ht="15" x14ac:dyDescent="0.25">
      <c r="A37" s="2">
        <v>277</v>
      </c>
      <c r="B37" s="2" t="s">
        <v>394</v>
      </c>
      <c r="D37" s="88">
        <v>2018</v>
      </c>
      <c r="E37" s="88">
        <v>12</v>
      </c>
      <c r="F37" s="92"/>
      <c r="G37" s="88" t="s">
        <v>381</v>
      </c>
      <c r="H37" s="88">
        <v>7</v>
      </c>
      <c r="I37" s="2">
        <f t="shared" si="13"/>
        <v>2025</v>
      </c>
      <c r="J37" s="42">
        <v>1283</v>
      </c>
      <c r="K37" s="42">
        <f t="shared" si="6"/>
        <v>15.273809523809524</v>
      </c>
      <c r="L37" s="42">
        <f t="shared" si="7"/>
        <v>183.28571428571428</v>
      </c>
      <c r="M37" s="93">
        <v>1</v>
      </c>
      <c r="N37" s="42">
        <f t="shared" si="0"/>
        <v>519.30952380950987</v>
      </c>
      <c r="O37" s="42">
        <f t="shared" si="1"/>
        <v>702.5952380952242</v>
      </c>
      <c r="P37" s="42">
        <f t="shared" si="2"/>
        <v>580.4047619047758</v>
      </c>
      <c r="Q37" s="91">
        <f t="shared" si="14"/>
        <v>2018.9166666666667</v>
      </c>
      <c r="R37" s="91">
        <f t="shared" si="3"/>
        <v>2022.75</v>
      </c>
      <c r="S37" s="91">
        <f t="shared" si="15"/>
        <v>2025.9166666666667</v>
      </c>
      <c r="T37" s="91">
        <f t="shared" si="4"/>
        <v>2021.75</v>
      </c>
    </row>
    <row r="38" spans="1:20" s="2" customFormat="1" ht="15" x14ac:dyDescent="0.25">
      <c r="A38" s="2">
        <v>294</v>
      </c>
      <c r="B38" s="2" t="s">
        <v>394</v>
      </c>
      <c r="D38" s="88">
        <v>2020</v>
      </c>
      <c r="E38" s="88">
        <v>10</v>
      </c>
      <c r="F38" s="92"/>
      <c r="G38" s="88" t="s">
        <v>381</v>
      </c>
      <c r="H38" s="88">
        <v>7</v>
      </c>
      <c r="I38" s="2">
        <f t="shared" si="13"/>
        <v>2027</v>
      </c>
      <c r="J38" s="42">
        <v>3967</v>
      </c>
      <c r="K38" s="42">
        <f t="shared" si="6"/>
        <v>47.226190476190474</v>
      </c>
      <c r="L38" s="42">
        <f t="shared" si="7"/>
        <v>566.71428571428567</v>
      </c>
      <c r="M38" s="93">
        <v>1</v>
      </c>
      <c r="N38" s="42">
        <f t="shared" si="0"/>
        <v>566.71428571428567</v>
      </c>
      <c r="O38" s="42">
        <f t="shared" si="1"/>
        <v>1133.4285714285713</v>
      </c>
      <c r="P38" s="42">
        <f t="shared" si="2"/>
        <v>2833.5714285714284</v>
      </c>
      <c r="Q38" s="91">
        <f t="shared" si="14"/>
        <v>2020.75</v>
      </c>
      <c r="R38" s="91">
        <f t="shared" si="3"/>
        <v>2022.75</v>
      </c>
      <c r="S38" s="91">
        <f t="shared" si="15"/>
        <v>2027.75</v>
      </c>
      <c r="T38" s="91">
        <f t="shared" si="4"/>
        <v>2021.75</v>
      </c>
    </row>
    <row r="39" spans="1:20" s="2" customFormat="1" ht="15" x14ac:dyDescent="0.25">
      <c r="A39" s="2">
        <v>291</v>
      </c>
      <c r="B39" s="2" t="s">
        <v>393</v>
      </c>
      <c r="D39" s="88">
        <v>2020</v>
      </c>
      <c r="E39" s="88">
        <v>12</v>
      </c>
      <c r="F39" s="92"/>
      <c r="G39" s="88" t="s">
        <v>381</v>
      </c>
      <c r="H39" s="88">
        <v>5</v>
      </c>
      <c r="I39" s="2">
        <f t="shared" si="13"/>
        <v>2025</v>
      </c>
      <c r="J39" s="42">
        <v>3064</v>
      </c>
      <c r="K39" s="42">
        <f t="shared" si="6"/>
        <v>51.066666666666663</v>
      </c>
      <c r="L39" s="42">
        <f t="shared" si="7"/>
        <v>612.79999999999995</v>
      </c>
      <c r="M39" s="93">
        <v>1</v>
      </c>
      <c r="N39" s="42">
        <f t="shared" si="0"/>
        <v>510.66666666662019</v>
      </c>
      <c r="O39" s="42">
        <f t="shared" si="1"/>
        <v>1123.4666666666201</v>
      </c>
      <c r="P39" s="42">
        <f t="shared" si="2"/>
        <v>1940.5333333333799</v>
      </c>
      <c r="Q39" s="91">
        <f t="shared" si="14"/>
        <v>2020.9166666666667</v>
      </c>
      <c r="R39" s="91">
        <f t="shared" si="3"/>
        <v>2022.75</v>
      </c>
      <c r="S39" s="91">
        <f t="shared" si="15"/>
        <v>2025.9166666666667</v>
      </c>
      <c r="T39" s="91">
        <f t="shared" si="4"/>
        <v>2021.75</v>
      </c>
    </row>
    <row r="40" spans="1:20" s="2" customFormat="1" ht="15" x14ac:dyDescent="0.25">
      <c r="A40" s="2">
        <v>292</v>
      </c>
      <c r="B40" s="2" t="s">
        <v>402</v>
      </c>
      <c r="D40" s="88">
        <v>2020</v>
      </c>
      <c r="E40" s="88">
        <v>12</v>
      </c>
      <c r="F40" s="92"/>
      <c r="G40" s="88" t="s">
        <v>381</v>
      </c>
      <c r="H40" s="88">
        <v>3</v>
      </c>
      <c r="I40" s="2">
        <f t="shared" si="13"/>
        <v>2023</v>
      </c>
      <c r="J40" s="42">
        <v>1116</v>
      </c>
      <c r="K40" s="42">
        <f t="shared" si="6"/>
        <v>31</v>
      </c>
      <c r="L40" s="42">
        <f t="shared" si="7"/>
        <v>372</v>
      </c>
      <c r="M40" s="93">
        <v>1</v>
      </c>
      <c r="N40" s="42">
        <f t="shared" si="0"/>
        <v>309.99999999997181</v>
      </c>
      <c r="O40" s="42">
        <f t="shared" si="1"/>
        <v>681.99999999997181</v>
      </c>
      <c r="P40" s="42">
        <f t="shared" si="2"/>
        <v>434.00000000002819</v>
      </c>
      <c r="Q40" s="91">
        <f t="shared" si="14"/>
        <v>2020.9166666666667</v>
      </c>
      <c r="R40" s="91">
        <f t="shared" si="3"/>
        <v>2022.75</v>
      </c>
      <c r="S40" s="91">
        <f t="shared" si="15"/>
        <v>2023.9166666666667</v>
      </c>
      <c r="T40" s="91">
        <f t="shared" si="4"/>
        <v>2021.75</v>
      </c>
    </row>
    <row r="41" spans="1:20" s="2" customFormat="1" ht="15" x14ac:dyDescent="0.25">
      <c r="A41" s="2">
        <v>298</v>
      </c>
      <c r="B41" s="2" t="s">
        <v>403</v>
      </c>
      <c r="D41" s="88">
        <v>2021</v>
      </c>
      <c r="E41" s="88">
        <v>3</v>
      </c>
      <c r="F41" s="92"/>
      <c r="G41" s="88" t="s">
        <v>381</v>
      </c>
      <c r="H41" s="88">
        <v>5</v>
      </c>
      <c r="I41" s="2">
        <f t="shared" si="13"/>
        <v>2026</v>
      </c>
      <c r="J41" s="42">
        <v>31468</v>
      </c>
      <c r="K41" s="42">
        <f t="shared" si="6"/>
        <v>524.4666666666667</v>
      </c>
      <c r="L41" s="42">
        <f t="shared" si="7"/>
        <v>6293.6</v>
      </c>
      <c r="M41" s="93">
        <v>1</v>
      </c>
      <c r="N41" s="42">
        <f t="shared" si="0"/>
        <v>3671.2666666661898</v>
      </c>
      <c r="O41" s="42">
        <f t="shared" si="1"/>
        <v>9964.8666666661902</v>
      </c>
      <c r="P41" s="42">
        <f t="shared" si="2"/>
        <v>21503.133333333812</v>
      </c>
      <c r="Q41" s="91">
        <f t="shared" si="14"/>
        <v>2021.1666666666667</v>
      </c>
      <c r="R41" s="91">
        <f t="shared" si="3"/>
        <v>2022.75</v>
      </c>
      <c r="S41" s="91">
        <f t="shared" si="15"/>
        <v>2026.1666666666667</v>
      </c>
      <c r="T41" s="91">
        <f t="shared" si="4"/>
        <v>2021.75</v>
      </c>
    </row>
    <row r="42" spans="1:20" s="2" customFormat="1" ht="15" x14ac:dyDescent="0.25">
      <c r="A42" s="2">
        <v>305</v>
      </c>
      <c r="B42" s="2" t="s">
        <v>404</v>
      </c>
      <c r="D42" s="88">
        <v>2021</v>
      </c>
      <c r="E42" s="88">
        <v>11</v>
      </c>
      <c r="F42" s="92"/>
      <c r="G42" s="88" t="s">
        <v>381</v>
      </c>
      <c r="H42" s="88">
        <v>3</v>
      </c>
      <c r="I42" s="2">
        <f t="shared" si="13"/>
        <v>2024</v>
      </c>
      <c r="J42" s="42">
        <v>17666.75</v>
      </c>
      <c r="K42" s="42">
        <f t="shared" si="6"/>
        <v>490.7430555555556</v>
      </c>
      <c r="L42" s="42">
        <f t="shared" si="7"/>
        <v>5888.916666666667</v>
      </c>
      <c r="M42" s="93">
        <v>1</v>
      </c>
      <c r="N42" s="42">
        <f t="shared" si="0"/>
        <v>0</v>
      </c>
      <c r="O42" s="42">
        <f t="shared" si="1"/>
        <v>5888.916666666667</v>
      </c>
      <c r="P42" s="42">
        <f t="shared" si="2"/>
        <v>11777.833333333332</v>
      </c>
      <c r="Q42" s="91">
        <f t="shared" si="14"/>
        <v>2021.8333333333333</v>
      </c>
      <c r="R42" s="91">
        <f t="shared" si="3"/>
        <v>2022.75</v>
      </c>
      <c r="S42" s="91">
        <f t="shared" si="15"/>
        <v>2024.8333333333333</v>
      </c>
      <c r="T42" s="91">
        <f t="shared" si="4"/>
        <v>2021.75</v>
      </c>
    </row>
    <row r="43" spans="1:20" s="2" customFormat="1" ht="15" x14ac:dyDescent="0.25">
      <c r="B43" s="2" t="s">
        <v>404</v>
      </c>
      <c r="D43" s="88">
        <v>2022</v>
      </c>
      <c r="E43" s="88">
        <v>5</v>
      </c>
      <c r="F43" s="92"/>
      <c r="G43" s="88" t="s">
        <v>381</v>
      </c>
      <c r="H43" s="88">
        <v>3</v>
      </c>
      <c r="I43" s="2">
        <f t="shared" si="13"/>
        <v>2025</v>
      </c>
      <c r="J43" s="42">
        <v>28589</v>
      </c>
      <c r="K43" s="42">
        <f t="shared" si="6"/>
        <v>794.1388888888888</v>
      </c>
      <c r="L43" s="42">
        <f t="shared" si="7"/>
        <v>9529.6666666666661</v>
      </c>
      <c r="M43" s="93">
        <v>1</v>
      </c>
      <c r="N43" s="42">
        <f t="shared" si="0"/>
        <v>0</v>
      </c>
      <c r="O43" s="42">
        <f t="shared" si="1"/>
        <v>9529.6666666666661</v>
      </c>
      <c r="P43" s="42">
        <f t="shared" si="2"/>
        <v>19059.333333333336</v>
      </c>
      <c r="Q43" s="91">
        <f t="shared" si="14"/>
        <v>2022.3333333333333</v>
      </c>
      <c r="R43" s="91">
        <f t="shared" si="3"/>
        <v>2022.75</v>
      </c>
      <c r="S43" s="91">
        <f t="shared" si="15"/>
        <v>2025.3333333333333</v>
      </c>
      <c r="T43" s="91">
        <f t="shared" si="4"/>
        <v>2021.75</v>
      </c>
    </row>
    <row r="44" spans="1:20" s="94" customFormat="1" ht="15" x14ac:dyDescent="0.25">
      <c r="B44" s="94" t="s">
        <v>405</v>
      </c>
      <c r="D44" s="57"/>
      <c r="E44" s="57"/>
      <c r="F44" s="95"/>
      <c r="H44" s="57"/>
      <c r="J44" s="96">
        <f>SUM(J12:J43)</f>
        <v>234178.75</v>
      </c>
      <c r="K44" s="97"/>
      <c r="L44" s="96">
        <f>SUM(L12:L43)</f>
        <v>26613.811904761904</v>
      </c>
      <c r="M44" s="98"/>
      <c r="N44" s="96">
        <f t="shared" ref="N44:P44" si="16">SUM(N12:N43)</f>
        <v>146359.44999999928</v>
      </c>
      <c r="O44" s="96">
        <f t="shared" si="16"/>
        <v>172973.26190476122</v>
      </c>
      <c r="P44" s="96">
        <f t="shared" si="16"/>
        <v>61205.488095238798</v>
      </c>
      <c r="Q44" s="99"/>
      <c r="R44" s="99"/>
      <c r="S44" s="99"/>
      <c r="T44" s="99"/>
    </row>
    <row r="45" spans="1:20" s="2" customFormat="1" ht="15" x14ac:dyDescent="0.25">
      <c r="D45" s="88"/>
      <c r="E45" s="88"/>
      <c r="F45" s="92"/>
      <c r="H45" s="88"/>
      <c r="J45" s="42"/>
      <c r="K45" s="42"/>
      <c r="L45" s="42"/>
      <c r="M45" s="69"/>
      <c r="N45" s="42"/>
      <c r="O45" s="42"/>
      <c r="P45" s="42"/>
      <c r="Q45" s="91"/>
      <c r="R45" s="91"/>
      <c r="S45" s="91"/>
      <c r="T45" s="91"/>
    </row>
    <row r="46" spans="1:20" s="2" customFormat="1" ht="15" x14ac:dyDescent="0.25">
      <c r="A46" s="2">
        <v>19</v>
      </c>
      <c r="B46" s="2" t="s">
        <v>406</v>
      </c>
      <c r="C46" s="2" t="s">
        <v>407</v>
      </c>
      <c r="D46" s="88">
        <v>1996</v>
      </c>
      <c r="E46" s="88">
        <v>5</v>
      </c>
      <c r="F46" s="92"/>
      <c r="G46" s="88" t="s">
        <v>381</v>
      </c>
      <c r="H46" s="88">
        <v>20</v>
      </c>
      <c r="I46" s="2">
        <f t="shared" ref="I46:I88" si="17">+D46+H46</f>
        <v>2016</v>
      </c>
      <c r="J46" s="42">
        <v>200000</v>
      </c>
      <c r="K46" s="42">
        <f>J46/H46/12</f>
        <v>833.33333333333337</v>
      </c>
      <c r="L46" s="42">
        <f t="shared" ref="L46:L88" si="18">IF(S46&lt;=R46,0,J46/H46)</f>
        <v>0</v>
      </c>
      <c r="M46" s="93">
        <v>1</v>
      </c>
      <c r="N46" s="42">
        <f t="shared" ref="N46:N88" si="19">IF(Q46&gt;R46,0,IF(S46&lt;T46,J46,IF((AND((S46&gt;=T46),(S46&lt;=R46))),(J46-L46),IF((AND((T46&lt;=Q46),(R46&gt;=Q46))),0,IF(S46&gt;R46,((T46-Q46)*12)*K46,0)))))</f>
        <v>200000</v>
      </c>
      <c r="O46" s="42">
        <f t="shared" ref="O46:O88" si="20">N46+L46</f>
        <v>200000</v>
      </c>
      <c r="P46" s="42">
        <f t="shared" ref="P46:P88" si="21">+J46-O46</f>
        <v>0</v>
      </c>
      <c r="Q46" s="91">
        <f t="shared" ref="Q46:Q88" si="22">$D46+(($E46-1)/12)</f>
        <v>1996.3333333333333</v>
      </c>
      <c r="R46" s="91">
        <f t="shared" ref="R46:R88" si="23">($K$5+1)-($K$2/12)</f>
        <v>2022.75</v>
      </c>
      <c r="S46" s="91">
        <f t="shared" ref="S46:S88" si="24">$I46+(($E46-1)/12)</f>
        <v>2016.3333333333333</v>
      </c>
      <c r="T46" s="91">
        <f t="shared" ref="T46:T88" si="25">$K$4+($K$3/12)</f>
        <v>2021.75</v>
      </c>
    </row>
    <row r="47" spans="1:20" s="2" customFormat="1" ht="15" x14ac:dyDescent="0.25">
      <c r="A47" s="2">
        <v>20</v>
      </c>
      <c r="B47" s="2" t="s">
        <v>408</v>
      </c>
      <c r="C47" s="2" t="s">
        <v>407</v>
      </c>
      <c r="D47" s="88">
        <v>1996</v>
      </c>
      <c r="E47" s="88">
        <v>8</v>
      </c>
      <c r="F47" s="92"/>
      <c r="G47" s="88" t="s">
        <v>381</v>
      </c>
      <c r="H47" s="88">
        <v>7</v>
      </c>
      <c r="I47" s="2">
        <f t="shared" si="17"/>
        <v>2003</v>
      </c>
      <c r="J47" s="42">
        <v>16000</v>
      </c>
      <c r="K47" s="42">
        <f t="shared" ref="K47:K88" si="26">J47/H47/12</f>
        <v>190.47619047619048</v>
      </c>
      <c r="L47" s="42">
        <f t="shared" si="18"/>
        <v>0</v>
      </c>
      <c r="M47" s="93">
        <v>1</v>
      </c>
      <c r="N47" s="42">
        <f t="shared" si="19"/>
        <v>16000</v>
      </c>
      <c r="O47" s="42">
        <f t="shared" si="20"/>
        <v>16000</v>
      </c>
      <c r="P47" s="42">
        <f t="shared" si="21"/>
        <v>0</v>
      </c>
      <c r="Q47" s="91">
        <f t="shared" si="22"/>
        <v>1996.5833333333333</v>
      </c>
      <c r="R47" s="91">
        <f t="shared" si="23"/>
        <v>2022.75</v>
      </c>
      <c r="S47" s="91">
        <f t="shared" si="24"/>
        <v>2003.5833333333333</v>
      </c>
      <c r="T47" s="91">
        <f t="shared" si="25"/>
        <v>2021.75</v>
      </c>
    </row>
    <row r="48" spans="1:20" s="2" customFormat="1" ht="15" x14ac:dyDescent="0.25">
      <c r="A48" s="2">
        <v>63</v>
      </c>
      <c r="B48" s="2" t="s">
        <v>409</v>
      </c>
      <c r="C48" s="2" t="s">
        <v>407</v>
      </c>
      <c r="D48" s="88">
        <v>2008</v>
      </c>
      <c r="E48" s="88">
        <v>7</v>
      </c>
      <c r="F48" s="92"/>
      <c r="G48" s="88" t="s">
        <v>381</v>
      </c>
      <c r="H48" s="88">
        <v>7</v>
      </c>
      <c r="I48" s="2">
        <f t="shared" si="17"/>
        <v>2015</v>
      </c>
      <c r="J48" s="42">
        <v>16622</v>
      </c>
      <c r="K48" s="42">
        <f t="shared" si="26"/>
        <v>197.88095238095238</v>
      </c>
      <c r="L48" s="42">
        <f t="shared" si="18"/>
        <v>0</v>
      </c>
      <c r="M48" s="93">
        <v>1</v>
      </c>
      <c r="N48" s="42">
        <f t="shared" si="19"/>
        <v>16622</v>
      </c>
      <c r="O48" s="42">
        <f t="shared" si="20"/>
        <v>16622</v>
      </c>
      <c r="P48" s="42">
        <f t="shared" si="21"/>
        <v>0</v>
      </c>
      <c r="Q48" s="91">
        <f t="shared" si="22"/>
        <v>2008.5</v>
      </c>
      <c r="R48" s="91">
        <f t="shared" si="23"/>
        <v>2022.75</v>
      </c>
      <c r="S48" s="91">
        <f t="shared" si="24"/>
        <v>2015.5</v>
      </c>
      <c r="T48" s="91">
        <f t="shared" si="25"/>
        <v>2021.75</v>
      </c>
    </row>
    <row r="49" spans="1:20" s="2" customFormat="1" ht="15" x14ac:dyDescent="0.25">
      <c r="A49" s="2">
        <v>93</v>
      </c>
      <c r="B49" s="2" t="s">
        <v>409</v>
      </c>
      <c r="C49" s="2" t="s">
        <v>407</v>
      </c>
      <c r="D49" s="88">
        <v>2009</v>
      </c>
      <c r="E49" s="88">
        <v>3</v>
      </c>
      <c r="F49" s="92"/>
      <c r="G49" s="88" t="s">
        <v>381</v>
      </c>
      <c r="H49" s="88">
        <v>7</v>
      </c>
      <c r="I49" s="2">
        <f t="shared" si="17"/>
        <v>2016</v>
      </c>
      <c r="J49" s="42">
        <v>5956</v>
      </c>
      <c r="K49" s="42">
        <f t="shared" si="26"/>
        <v>70.904761904761912</v>
      </c>
      <c r="L49" s="42">
        <f t="shared" si="18"/>
        <v>0</v>
      </c>
      <c r="M49" s="93">
        <v>1</v>
      </c>
      <c r="N49" s="42">
        <f t="shared" si="19"/>
        <v>5956</v>
      </c>
      <c r="O49" s="42">
        <f t="shared" si="20"/>
        <v>5956</v>
      </c>
      <c r="P49" s="42">
        <f t="shared" si="21"/>
        <v>0</v>
      </c>
      <c r="Q49" s="91">
        <f t="shared" si="22"/>
        <v>2009.1666666666667</v>
      </c>
      <c r="R49" s="91">
        <f t="shared" si="23"/>
        <v>2022.75</v>
      </c>
      <c r="S49" s="91">
        <f t="shared" si="24"/>
        <v>2016.1666666666667</v>
      </c>
      <c r="T49" s="91">
        <f t="shared" si="25"/>
        <v>2021.75</v>
      </c>
    </row>
    <row r="50" spans="1:20" s="2" customFormat="1" ht="15" x14ac:dyDescent="0.25">
      <c r="A50" s="2">
        <v>107</v>
      </c>
      <c r="B50" s="2" t="s">
        <v>410</v>
      </c>
      <c r="C50" s="2" t="s">
        <v>407</v>
      </c>
      <c r="D50" s="88">
        <v>2010</v>
      </c>
      <c r="E50" s="88">
        <v>3</v>
      </c>
      <c r="F50" s="92"/>
      <c r="G50" s="88" t="s">
        <v>381</v>
      </c>
      <c r="H50" s="88">
        <v>7</v>
      </c>
      <c r="I50" s="2">
        <f t="shared" si="17"/>
        <v>2017</v>
      </c>
      <c r="J50" s="42">
        <v>7716</v>
      </c>
      <c r="K50" s="42">
        <f t="shared" si="26"/>
        <v>91.857142857142847</v>
      </c>
      <c r="L50" s="42">
        <f t="shared" si="18"/>
        <v>0</v>
      </c>
      <c r="M50" s="93">
        <v>1</v>
      </c>
      <c r="N50" s="42">
        <f t="shared" si="19"/>
        <v>7716</v>
      </c>
      <c r="O50" s="42">
        <f t="shared" si="20"/>
        <v>7716</v>
      </c>
      <c r="P50" s="42">
        <f t="shared" si="21"/>
        <v>0</v>
      </c>
      <c r="Q50" s="91">
        <f t="shared" si="22"/>
        <v>2010.1666666666667</v>
      </c>
      <c r="R50" s="91">
        <f t="shared" si="23"/>
        <v>2022.75</v>
      </c>
      <c r="S50" s="91">
        <f t="shared" si="24"/>
        <v>2017.1666666666667</v>
      </c>
      <c r="T50" s="91">
        <f t="shared" si="25"/>
        <v>2021.75</v>
      </c>
    </row>
    <row r="51" spans="1:20" s="2" customFormat="1" ht="15" x14ac:dyDescent="0.25">
      <c r="A51" s="2">
        <v>109</v>
      </c>
      <c r="B51" s="2" t="s">
        <v>411</v>
      </c>
      <c r="C51" s="2" t="s">
        <v>407</v>
      </c>
      <c r="D51" s="88">
        <v>2010</v>
      </c>
      <c r="E51" s="88">
        <v>5</v>
      </c>
      <c r="F51" s="92"/>
      <c r="G51" s="88" t="s">
        <v>381</v>
      </c>
      <c r="H51" s="88">
        <v>7</v>
      </c>
      <c r="I51" s="2">
        <f t="shared" si="17"/>
        <v>2017</v>
      </c>
      <c r="J51" s="42">
        <v>5530</v>
      </c>
      <c r="K51" s="42">
        <f t="shared" si="26"/>
        <v>65.833333333333329</v>
      </c>
      <c r="L51" s="42">
        <f t="shared" si="18"/>
        <v>0</v>
      </c>
      <c r="M51" s="93">
        <v>1</v>
      </c>
      <c r="N51" s="42">
        <f t="shared" si="19"/>
        <v>5530</v>
      </c>
      <c r="O51" s="42">
        <f t="shared" si="20"/>
        <v>5530</v>
      </c>
      <c r="P51" s="42">
        <f t="shared" si="21"/>
        <v>0</v>
      </c>
      <c r="Q51" s="91">
        <f t="shared" si="22"/>
        <v>2010.3333333333333</v>
      </c>
      <c r="R51" s="91">
        <f t="shared" si="23"/>
        <v>2022.75</v>
      </c>
      <c r="S51" s="91">
        <f t="shared" si="24"/>
        <v>2017.3333333333333</v>
      </c>
      <c r="T51" s="91">
        <f t="shared" si="25"/>
        <v>2021.75</v>
      </c>
    </row>
    <row r="52" spans="1:20" s="2" customFormat="1" ht="15" x14ac:dyDescent="0.25">
      <c r="A52" s="2">
        <v>135</v>
      </c>
      <c r="B52" s="2" t="s">
        <v>412</v>
      </c>
      <c r="C52" s="2" t="s">
        <v>407</v>
      </c>
      <c r="D52" s="88">
        <v>2011</v>
      </c>
      <c r="E52" s="88">
        <v>3</v>
      </c>
      <c r="F52" s="92"/>
      <c r="G52" s="88" t="s">
        <v>381</v>
      </c>
      <c r="H52" s="88">
        <v>10</v>
      </c>
      <c r="I52" s="2">
        <f t="shared" si="17"/>
        <v>2021</v>
      </c>
      <c r="J52" s="42">
        <v>1488</v>
      </c>
      <c r="K52" s="42">
        <f t="shared" si="26"/>
        <v>12.4</v>
      </c>
      <c r="L52" s="42">
        <f t="shared" si="18"/>
        <v>0</v>
      </c>
      <c r="M52" s="93">
        <v>1</v>
      </c>
      <c r="N52" s="42">
        <f t="shared" si="19"/>
        <v>1488</v>
      </c>
      <c r="O52" s="42">
        <f t="shared" si="20"/>
        <v>1488</v>
      </c>
      <c r="P52" s="42">
        <f t="shared" si="21"/>
        <v>0</v>
      </c>
      <c r="Q52" s="91">
        <f t="shared" si="22"/>
        <v>2011.1666666666667</v>
      </c>
      <c r="R52" s="91">
        <f t="shared" si="23"/>
        <v>2022.75</v>
      </c>
      <c r="S52" s="91">
        <f t="shared" si="24"/>
        <v>2021.1666666666667</v>
      </c>
      <c r="T52" s="91">
        <f t="shared" si="25"/>
        <v>2021.75</v>
      </c>
    </row>
    <row r="53" spans="1:20" s="2" customFormat="1" ht="15" x14ac:dyDescent="0.25">
      <c r="A53" s="2">
        <v>136</v>
      </c>
      <c r="B53" s="2" t="s">
        <v>412</v>
      </c>
      <c r="C53" s="2" t="s">
        <v>407</v>
      </c>
      <c r="D53" s="88">
        <v>2011</v>
      </c>
      <c r="E53" s="88">
        <v>4</v>
      </c>
      <c r="F53" s="92"/>
      <c r="G53" s="88" t="s">
        <v>381</v>
      </c>
      <c r="H53" s="88">
        <v>10</v>
      </c>
      <c r="I53" s="2">
        <f t="shared" si="17"/>
        <v>2021</v>
      </c>
      <c r="J53" s="42">
        <v>690</v>
      </c>
      <c r="K53" s="42">
        <f t="shared" si="26"/>
        <v>5.75</v>
      </c>
      <c r="L53" s="42">
        <f t="shared" si="18"/>
        <v>0</v>
      </c>
      <c r="M53" s="93">
        <v>1</v>
      </c>
      <c r="N53" s="42">
        <f t="shared" si="19"/>
        <v>690</v>
      </c>
      <c r="O53" s="42">
        <f t="shared" si="20"/>
        <v>690</v>
      </c>
      <c r="P53" s="42">
        <f t="shared" si="21"/>
        <v>0</v>
      </c>
      <c r="Q53" s="91">
        <f t="shared" si="22"/>
        <v>2011.25</v>
      </c>
      <c r="R53" s="91">
        <f t="shared" si="23"/>
        <v>2022.75</v>
      </c>
      <c r="S53" s="91">
        <f t="shared" si="24"/>
        <v>2021.25</v>
      </c>
      <c r="T53" s="91">
        <f t="shared" si="25"/>
        <v>2021.75</v>
      </c>
    </row>
    <row r="54" spans="1:20" s="2" customFormat="1" ht="15" x14ac:dyDescent="0.25">
      <c r="A54" s="2">
        <v>138</v>
      </c>
      <c r="B54" s="2" t="s">
        <v>412</v>
      </c>
      <c r="C54" s="2" t="s">
        <v>407</v>
      </c>
      <c r="D54" s="88">
        <v>2011</v>
      </c>
      <c r="E54" s="88">
        <v>4</v>
      </c>
      <c r="F54" s="92"/>
      <c r="G54" s="88" t="s">
        <v>381</v>
      </c>
      <c r="H54" s="88">
        <v>10</v>
      </c>
      <c r="I54" s="2">
        <f t="shared" si="17"/>
        <v>2021</v>
      </c>
      <c r="J54" s="42">
        <v>633</v>
      </c>
      <c r="K54" s="42">
        <f t="shared" si="26"/>
        <v>5.2749999999999995</v>
      </c>
      <c r="L54" s="42">
        <f t="shared" si="18"/>
        <v>0</v>
      </c>
      <c r="M54" s="93">
        <v>1</v>
      </c>
      <c r="N54" s="42">
        <f t="shared" si="19"/>
        <v>633</v>
      </c>
      <c r="O54" s="42">
        <f t="shared" si="20"/>
        <v>633</v>
      </c>
      <c r="P54" s="42">
        <f t="shared" si="21"/>
        <v>0</v>
      </c>
      <c r="Q54" s="91">
        <f t="shared" si="22"/>
        <v>2011.25</v>
      </c>
      <c r="R54" s="91">
        <f t="shared" si="23"/>
        <v>2022.75</v>
      </c>
      <c r="S54" s="91">
        <f t="shared" si="24"/>
        <v>2021.25</v>
      </c>
      <c r="T54" s="91">
        <f t="shared" si="25"/>
        <v>2021.75</v>
      </c>
    </row>
    <row r="55" spans="1:20" s="2" customFormat="1" ht="15" x14ac:dyDescent="0.25">
      <c r="A55" s="2">
        <v>159</v>
      </c>
      <c r="B55" s="2" t="s">
        <v>413</v>
      </c>
      <c r="C55" s="2" t="s">
        <v>407</v>
      </c>
      <c r="D55" s="88">
        <v>2012</v>
      </c>
      <c r="E55" s="88">
        <v>12</v>
      </c>
      <c r="F55" s="92"/>
      <c r="G55" s="88" t="s">
        <v>381</v>
      </c>
      <c r="H55" s="88">
        <v>7</v>
      </c>
      <c r="I55" s="2">
        <f t="shared" si="17"/>
        <v>2019</v>
      </c>
      <c r="J55" s="42">
        <v>13788</v>
      </c>
      <c r="K55" s="42">
        <f t="shared" si="26"/>
        <v>164.14285714285714</v>
      </c>
      <c r="L55" s="42">
        <f t="shared" si="18"/>
        <v>0</v>
      </c>
      <c r="M55" s="93">
        <v>1</v>
      </c>
      <c r="N55" s="42">
        <f t="shared" si="19"/>
        <v>13788</v>
      </c>
      <c r="O55" s="42">
        <f t="shared" si="20"/>
        <v>13788</v>
      </c>
      <c r="P55" s="42">
        <f t="shared" si="21"/>
        <v>0</v>
      </c>
      <c r="Q55" s="91">
        <f t="shared" si="22"/>
        <v>2012.9166666666667</v>
      </c>
      <c r="R55" s="91">
        <f t="shared" si="23"/>
        <v>2022.75</v>
      </c>
      <c r="S55" s="91">
        <f t="shared" si="24"/>
        <v>2019.9166666666667</v>
      </c>
      <c r="T55" s="91">
        <f t="shared" si="25"/>
        <v>2021.75</v>
      </c>
    </row>
    <row r="56" spans="1:20" s="2" customFormat="1" ht="15" x14ac:dyDescent="0.25">
      <c r="A56" s="2">
        <v>175</v>
      </c>
      <c r="B56" s="2" t="s">
        <v>414</v>
      </c>
      <c r="C56" s="2" t="s">
        <v>407</v>
      </c>
      <c r="D56" s="88">
        <v>2013</v>
      </c>
      <c r="E56" s="88">
        <v>5</v>
      </c>
      <c r="F56" s="92"/>
      <c r="G56" s="88" t="s">
        <v>381</v>
      </c>
      <c r="H56" s="88">
        <v>10</v>
      </c>
      <c r="I56" s="2">
        <f t="shared" si="17"/>
        <v>2023</v>
      </c>
      <c r="J56" s="42">
        <v>10582.08</v>
      </c>
      <c r="K56" s="42">
        <f t="shared" si="26"/>
        <v>88.184000000000012</v>
      </c>
      <c r="L56" s="42">
        <f t="shared" si="18"/>
        <v>1058.2080000000001</v>
      </c>
      <c r="M56" s="93">
        <v>1</v>
      </c>
      <c r="N56" s="42">
        <f t="shared" si="19"/>
        <v>8906.5840000000808</v>
      </c>
      <c r="O56" s="42">
        <f t="shared" si="20"/>
        <v>9964.7920000000813</v>
      </c>
      <c r="P56" s="42">
        <f t="shared" si="21"/>
        <v>617.28799999991861</v>
      </c>
      <c r="Q56" s="91">
        <f t="shared" si="22"/>
        <v>2013.3333333333333</v>
      </c>
      <c r="R56" s="91">
        <f t="shared" si="23"/>
        <v>2022.75</v>
      </c>
      <c r="S56" s="91">
        <f t="shared" si="24"/>
        <v>2023.3333333333333</v>
      </c>
      <c r="T56" s="91">
        <f t="shared" si="25"/>
        <v>2021.75</v>
      </c>
    </row>
    <row r="57" spans="1:20" s="2" customFormat="1" ht="15" x14ac:dyDescent="0.25">
      <c r="A57" s="2">
        <v>185</v>
      </c>
      <c r="B57" s="2" t="s">
        <v>415</v>
      </c>
      <c r="C57" s="2" t="s">
        <v>407</v>
      </c>
      <c r="D57" s="88">
        <v>2013</v>
      </c>
      <c r="E57" s="88">
        <v>6</v>
      </c>
      <c r="F57" s="92"/>
      <c r="G57" s="88" t="s">
        <v>381</v>
      </c>
      <c r="H57" s="88">
        <v>20</v>
      </c>
      <c r="I57" s="2">
        <f t="shared" si="17"/>
        <v>2033</v>
      </c>
      <c r="J57" s="42">
        <v>579940</v>
      </c>
      <c r="K57" s="42">
        <f t="shared" si="26"/>
        <v>2416.4166666666665</v>
      </c>
      <c r="L57" s="42">
        <f t="shared" si="18"/>
        <v>28997</v>
      </c>
      <c r="M57" s="93">
        <v>1</v>
      </c>
      <c r="N57" s="42">
        <f t="shared" si="19"/>
        <v>241641.66666666445</v>
      </c>
      <c r="O57" s="42">
        <f t="shared" si="20"/>
        <v>270638.66666666442</v>
      </c>
      <c r="P57" s="42">
        <f t="shared" si="21"/>
        <v>309301.33333333558</v>
      </c>
      <c r="Q57" s="91">
        <f t="shared" si="22"/>
        <v>2013.4166666666667</v>
      </c>
      <c r="R57" s="91">
        <f t="shared" si="23"/>
        <v>2022.75</v>
      </c>
      <c r="S57" s="91">
        <f t="shared" si="24"/>
        <v>2033.4166666666667</v>
      </c>
      <c r="T57" s="91">
        <f t="shared" si="25"/>
        <v>2021.75</v>
      </c>
    </row>
    <row r="58" spans="1:20" s="2" customFormat="1" ht="15" x14ac:dyDescent="0.25">
      <c r="A58" s="2">
        <v>186</v>
      </c>
      <c r="B58" s="2" t="s">
        <v>416</v>
      </c>
      <c r="C58" s="2" t="s">
        <v>407</v>
      </c>
      <c r="D58" s="88">
        <v>2013</v>
      </c>
      <c r="E58" s="88">
        <v>6</v>
      </c>
      <c r="F58" s="92"/>
      <c r="G58" s="88" t="s">
        <v>381</v>
      </c>
      <c r="H58" s="88">
        <v>20</v>
      </c>
      <c r="I58" s="2">
        <f t="shared" si="17"/>
        <v>2033</v>
      </c>
      <c r="J58" s="42">
        <v>37410.6</v>
      </c>
      <c r="K58" s="42">
        <f t="shared" si="26"/>
        <v>155.8775</v>
      </c>
      <c r="L58" s="42">
        <f t="shared" si="18"/>
        <v>1870.53</v>
      </c>
      <c r="M58" s="93">
        <v>1</v>
      </c>
      <c r="N58" s="42">
        <f t="shared" si="19"/>
        <v>15587.749999999858</v>
      </c>
      <c r="O58" s="42">
        <f t="shared" si="20"/>
        <v>17458.279999999857</v>
      </c>
      <c r="P58" s="42">
        <f t="shared" si="21"/>
        <v>19952.320000000142</v>
      </c>
      <c r="Q58" s="91">
        <f t="shared" si="22"/>
        <v>2013.4166666666667</v>
      </c>
      <c r="R58" s="91">
        <f t="shared" si="23"/>
        <v>2022.75</v>
      </c>
      <c r="S58" s="91">
        <f t="shared" si="24"/>
        <v>2033.4166666666667</v>
      </c>
      <c r="T58" s="91">
        <f t="shared" si="25"/>
        <v>2021.75</v>
      </c>
    </row>
    <row r="59" spans="1:20" s="2" customFormat="1" ht="15" x14ac:dyDescent="0.25">
      <c r="A59" s="2">
        <v>187</v>
      </c>
      <c r="B59" s="2" t="s">
        <v>417</v>
      </c>
      <c r="C59" s="2" t="s">
        <v>407</v>
      </c>
      <c r="D59" s="88">
        <v>2013</v>
      </c>
      <c r="E59" s="88">
        <v>6</v>
      </c>
      <c r="F59" s="92"/>
      <c r="G59" s="88" t="s">
        <v>381</v>
      </c>
      <c r="H59" s="88">
        <v>20</v>
      </c>
      <c r="I59" s="2">
        <f t="shared" si="17"/>
        <v>2033</v>
      </c>
      <c r="J59" s="42">
        <v>520.42999999999995</v>
      </c>
      <c r="K59" s="42">
        <f t="shared" si="26"/>
        <v>2.1684583333333332</v>
      </c>
      <c r="L59" s="42">
        <f t="shared" si="18"/>
        <v>26.021499999999996</v>
      </c>
      <c r="M59" s="93">
        <v>1</v>
      </c>
      <c r="N59" s="42">
        <f t="shared" si="19"/>
        <v>216.84583333333134</v>
      </c>
      <c r="O59" s="42">
        <f t="shared" si="20"/>
        <v>242.86733333333135</v>
      </c>
      <c r="P59" s="42">
        <f t="shared" si="21"/>
        <v>277.56266666666863</v>
      </c>
      <c r="Q59" s="91">
        <f t="shared" si="22"/>
        <v>2013.4166666666667</v>
      </c>
      <c r="R59" s="91">
        <f t="shared" si="23"/>
        <v>2022.75</v>
      </c>
      <c r="S59" s="91">
        <f t="shared" si="24"/>
        <v>2033.4166666666667</v>
      </c>
      <c r="T59" s="91">
        <f t="shared" si="25"/>
        <v>2021.75</v>
      </c>
    </row>
    <row r="60" spans="1:20" s="2" customFormat="1" ht="15" x14ac:dyDescent="0.25">
      <c r="A60" s="2">
        <v>188</v>
      </c>
      <c r="B60" s="2" t="s">
        <v>418</v>
      </c>
      <c r="C60" s="2" t="s">
        <v>407</v>
      </c>
      <c r="D60" s="88">
        <v>2013</v>
      </c>
      <c r="E60" s="88">
        <v>6</v>
      </c>
      <c r="F60" s="92"/>
      <c r="G60" s="88" t="s">
        <v>381</v>
      </c>
      <c r="H60" s="88">
        <v>20</v>
      </c>
      <c r="I60" s="2">
        <f t="shared" si="17"/>
        <v>2033</v>
      </c>
      <c r="J60" s="42">
        <v>22129.78</v>
      </c>
      <c r="K60" s="42">
        <f t="shared" si="26"/>
        <v>92.207416666666674</v>
      </c>
      <c r="L60" s="42">
        <f t="shared" si="18"/>
        <v>1106.489</v>
      </c>
      <c r="M60" s="93">
        <v>1</v>
      </c>
      <c r="N60" s="42">
        <f t="shared" si="19"/>
        <v>9220.7416666665831</v>
      </c>
      <c r="O60" s="42">
        <f t="shared" si="20"/>
        <v>10327.230666666583</v>
      </c>
      <c r="P60" s="42">
        <f t="shared" si="21"/>
        <v>11802.549333333416</v>
      </c>
      <c r="Q60" s="91">
        <f t="shared" si="22"/>
        <v>2013.4166666666667</v>
      </c>
      <c r="R60" s="91">
        <f t="shared" si="23"/>
        <v>2022.75</v>
      </c>
      <c r="S60" s="91">
        <f t="shared" si="24"/>
        <v>2033.4166666666667</v>
      </c>
      <c r="T60" s="91">
        <f t="shared" si="25"/>
        <v>2021.75</v>
      </c>
    </row>
    <row r="61" spans="1:20" s="2" customFormat="1" ht="15" x14ac:dyDescent="0.25">
      <c r="A61" s="2">
        <v>189</v>
      </c>
      <c r="B61" s="2" t="s">
        <v>419</v>
      </c>
      <c r="C61" s="2" t="s">
        <v>407</v>
      </c>
      <c r="D61" s="88">
        <v>2013</v>
      </c>
      <c r="E61" s="88">
        <v>6</v>
      </c>
      <c r="F61" s="92"/>
      <c r="G61" s="88" t="s">
        <v>381</v>
      </c>
      <c r="H61" s="88">
        <v>20</v>
      </c>
      <c r="I61" s="2">
        <f t="shared" si="17"/>
        <v>2033</v>
      </c>
      <c r="J61" s="42">
        <v>17020.43</v>
      </c>
      <c r="K61" s="42">
        <f t="shared" si="26"/>
        <v>70.918458333333334</v>
      </c>
      <c r="L61" s="42">
        <f t="shared" si="18"/>
        <v>851.02150000000006</v>
      </c>
      <c r="M61" s="93">
        <v>1</v>
      </c>
      <c r="N61" s="42">
        <f t="shared" si="19"/>
        <v>7091.8458333332692</v>
      </c>
      <c r="O61" s="42">
        <f t="shared" si="20"/>
        <v>7942.867333333269</v>
      </c>
      <c r="P61" s="42">
        <f t="shared" si="21"/>
        <v>9077.5626666667304</v>
      </c>
      <c r="Q61" s="91">
        <f t="shared" si="22"/>
        <v>2013.4166666666667</v>
      </c>
      <c r="R61" s="91">
        <f t="shared" si="23"/>
        <v>2022.75</v>
      </c>
      <c r="S61" s="91">
        <f t="shared" si="24"/>
        <v>2033.4166666666667</v>
      </c>
      <c r="T61" s="91">
        <f t="shared" si="25"/>
        <v>2021.75</v>
      </c>
    </row>
    <row r="62" spans="1:20" s="2" customFormat="1" ht="15" x14ac:dyDescent="0.25">
      <c r="A62" s="2">
        <v>190</v>
      </c>
      <c r="B62" s="2" t="s">
        <v>420</v>
      </c>
      <c r="C62" s="2" t="s">
        <v>407</v>
      </c>
      <c r="D62" s="88">
        <v>2013</v>
      </c>
      <c r="E62" s="88">
        <v>6</v>
      </c>
      <c r="F62" s="92"/>
      <c r="G62" s="88" t="s">
        <v>381</v>
      </c>
      <c r="H62" s="88">
        <v>20</v>
      </c>
      <c r="I62" s="2">
        <f t="shared" si="17"/>
        <v>2033</v>
      </c>
      <c r="J62" s="42">
        <v>909.91</v>
      </c>
      <c r="K62" s="42">
        <f t="shared" si="26"/>
        <v>3.7912916666666665</v>
      </c>
      <c r="L62" s="42">
        <f t="shared" si="18"/>
        <v>45.4955</v>
      </c>
      <c r="M62" s="93">
        <v>1</v>
      </c>
      <c r="N62" s="42">
        <f t="shared" si="19"/>
        <v>379.1291666666632</v>
      </c>
      <c r="O62" s="42">
        <f t="shared" si="20"/>
        <v>424.62466666666319</v>
      </c>
      <c r="P62" s="42">
        <f t="shared" si="21"/>
        <v>485.28533333333678</v>
      </c>
      <c r="Q62" s="91">
        <f t="shared" si="22"/>
        <v>2013.4166666666667</v>
      </c>
      <c r="R62" s="91">
        <f t="shared" si="23"/>
        <v>2022.75</v>
      </c>
      <c r="S62" s="91">
        <f t="shared" si="24"/>
        <v>2033.4166666666667</v>
      </c>
      <c r="T62" s="91">
        <f t="shared" si="25"/>
        <v>2021.75</v>
      </c>
    </row>
    <row r="63" spans="1:20" s="2" customFormat="1" ht="15" x14ac:dyDescent="0.25">
      <c r="A63" s="2">
        <v>191</v>
      </c>
      <c r="B63" s="2" t="s">
        <v>421</v>
      </c>
      <c r="C63" s="2" t="s">
        <v>407</v>
      </c>
      <c r="D63" s="88">
        <v>2013</v>
      </c>
      <c r="E63" s="88">
        <v>6</v>
      </c>
      <c r="F63" s="92"/>
      <c r="G63" s="88" t="s">
        <v>381</v>
      </c>
      <c r="H63" s="88">
        <v>20</v>
      </c>
      <c r="I63" s="2">
        <f t="shared" si="17"/>
        <v>2033</v>
      </c>
      <c r="J63" s="42">
        <v>4046.84</v>
      </c>
      <c r="K63" s="42">
        <f t="shared" si="26"/>
        <v>16.861833333333333</v>
      </c>
      <c r="L63" s="42">
        <f t="shared" si="18"/>
        <v>202.34200000000001</v>
      </c>
      <c r="M63" s="93">
        <v>1</v>
      </c>
      <c r="N63" s="42">
        <f t="shared" si="19"/>
        <v>1686.1833333333179</v>
      </c>
      <c r="O63" s="42">
        <f t="shared" si="20"/>
        <v>1888.525333333318</v>
      </c>
      <c r="P63" s="42">
        <f t="shared" si="21"/>
        <v>2158.3146666666821</v>
      </c>
      <c r="Q63" s="91">
        <f t="shared" si="22"/>
        <v>2013.4166666666667</v>
      </c>
      <c r="R63" s="91">
        <f t="shared" si="23"/>
        <v>2022.75</v>
      </c>
      <c r="S63" s="91">
        <f t="shared" si="24"/>
        <v>2033.4166666666667</v>
      </c>
      <c r="T63" s="91">
        <f t="shared" si="25"/>
        <v>2021.75</v>
      </c>
    </row>
    <row r="64" spans="1:20" s="2" customFormat="1" ht="15" x14ac:dyDescent="0.25">
      <c r="A64" s="2">
        <v>192</v>
      </c>
      <c r="B64" s="2" t="s">
        <v>422</v>
      </c>
      <c r="C64" s="2" t="s">
        <v>407</v>
      </c>
      <c r="D64" s="88">
        <v>2013</v>
      </c>
      <c r="E64" s="88">
        <v>6</v>
      </c>
      <c r="F64" s="92"/>
      <c r="G64" s="88" t="s">
        <v>381</v>
      </c>
      <c r="H64" s="88">
        <v>20</v>
      </c>
      <c r="I64" s="2">
        <f t="shared" si="17"/>
        <v>2033</v>
      </c>
      <c r="J64" s="42">
        <v>1823.09</v>
      </c>
      <c r="K64" s="42">
        <f t="shared" si="26"/>
        <v>7.5962083333333332</v>
      </c>
      <c r="L64" s="42">
        <f t="shared" si="18"/>
        <v>91.154499999999999</v>
      </c>
      <c r="M64" s="93">
        <v>1</v>
      </c>
      <c r="N64" s="42">
        <f t="shared" si="19"/>
        <v>759.62083333332646</v>
      </c>
      <c r="O64" s="42">
        <f t="shared" si="20"/>
        <v>850.77533333332644</v>
      </c>
      <c r="P64" s="42">
        <f t="shared" si="21"/>
        <v>972.31466666667347</v>
      </c>
      <c r="Q64" s="91">
        <f t="shared" si="22"/>
        <v>2013.4166666666667</v>
      </c>
      <c r="R64" s="91">
        <f t="shared" si="23"/>
        <v>2022.75</v>
      </c>
      <c r="S64" s="91">
        <f t="shared" si="24"/>
        <v>2033.4166666666667</v>
      </c>
      <c r="T64" s="91">
        <f t="shared" si="25"/>
        <v>2021.75</v>
      </c>
    </row>
    <row r="65" spans="1:20" s="2" customFormat="1" ht="15" x14ac:dyDescent="0.25">
      <c r="A65" s="2">
        <v>193</v>
      </c>
      <c r="B65" s="2" t="s">
        <v>423</v>
      </c>
      <c r="C65" s="2" t="s">
        <v>407</v>
      </c>
      <c r="D65" s="88">
        <v>2013</v>
      </c>
      <c r="E65" s="88">
        <v>6</v>
      </c>
      <c r="F65" s="92"/>
      <c r="G65" s="88" t="s">
        <v>381</v>
      </c>
      <c r="H65" s="88">
        <v>20</v>
      </c>
      <c r="I65" s="2">
        <f t="shared" si="17"/>
        <v>2033</v>
      </c>
      <c r="J65" s="42">
        <v>16668.29</v>
      </c>
      <c r="K65" s="42">
        <f t="shared" si="26"/>
        <v>69.451208333333341</v>
      </c>
      <c r="L65" s="42">
        <f t="shared" si="18"/>
        <v>833.41450000000009</v>
      </c>
      <c r="M65" s="93">
        <v>1</v>
      </c>
      <c r="N65" s="42">
        <f t="shared" si="19"/>
        <v>6945.1208333332706</v>
      </c>
      <c r="O65" s="42">
        <f t="shared" si="20"/>
        <v>7778.5353333332705</v>
      </c>
      <c r="P65" s="42">
        <f t="shared" si="21"/>
        <v>8889.7546666667295</v>
      </c>
      <c r="Q65" s="91">
        <f t="shared" si="22"/>
        <v>2013.4166666666667</v>
      </c>
      <c r="R65" s="91">
        <f t="shared" si="23"/>
        <v>2022.75</v>
      </c>
      <c r="S65" s="91">
        <f t="shared" si="24"/>
        <v>2033.4166666666667</v>
      </c>
      <c r="T65" s="91">
        <f t="shared" si="25"/>
        <v>2021.75</v>
      </c>
    </row>
    <row r="66" spans="1:20" s="2" customFormat="1" ht="15" x14ac:dyDescent="0.25">
      <c r="A66" s="2">
        <v>194</v>
      </c>
      <c r="B66" s="2" t="s">
        <v>424</v>
      </c>
      <c r="C66" s="2" t="s">
        <v>407</v>
      </c>
      <c r="D66" s="88">
        <v>2013</v>
      </c>
      <c r="E66" s="88">
        <v>6</v>
      </c>
      <c r="F66" s="92"/>
      <c r="G66" s="88" t="s">
        <v>381</v>
      </c>
      <c r="H66" s="88">
        <v>20</v>
      </c>
      <c r="I66" s="2">
        <f t="shared" si="17"/>
        <v>2033</v>
      </c>
      <c r="J66" s="42">
        <v>1045.79</v>
      </c>
      <c r="K66" s="42">
        <f t="shared" si="26"/>
        <v>4.3574583333333328</v>
      </c>
      <c r="L66" s="42">
        <f t="shared" si="18"/>
        <v>52.289499999999997</v>
      </c>
      <c r="M66" s="93">
        <v>1</v>
      </c>
      <c r="N66" s="42">
        <f t="shared" si="19"/>
        <v>435.7458333333293</v>
      </c>
      <c r="O66" s="42">
        <f t="shared" si="20"/>
        <v>488.03533333332928</v>
      </c>
      <c r="P66" s="42">
        <f t="shared" si="21"/>
        <v>557.75466666667069</v>
      </c>
      <c r="Q66" s="91">
        <f t="shared" si="22"/>
        <v>2013.4166666666667</v>
      </c>
      <c r="R66" s="91">
        <f t="shared" si="23"/>
        <v>2022.75</v>
      </c>
      <c r="S66" s="91">
        <f t="shared" si="24"/>
        <v>2033.4166666666667</v>
      </c>
      <c r="T66" s="91">
        <f t="shared" si="25"/>
        <v>2021.75</v>
      </c>
    </row>
    <row r="67" spans="1:20" s="2" customFormat="1" ht="15" x14ac:dyDescent="0.25">
      <c r="A67" s="2">
        <v>195</v>
      </c>
      <c r="B67" s="2" t="s">
        <v>425</v>
      </c>
      <c r="C67" s="2" t="s">
        <v>407</v>
      </c>
      <c r="D67" s="88">
        <v>2013</v>
      </c>
      <c r="E67" s="88">
        <v>6</v>
      </c>
      <c r="F67" s="92"/>
      <c r="G67" s="88" t="s">
        <v>381</v>
      </c>
      <c r="H67" s="88">
        <v>20</v>
      </c>
      <c r="I67" s="2">
        <f t="shared" si="17"/>
        <v>2033</v>
      </c>
      <c r="J67" s="42">
        <v>19524.55</v>
      </c>
      <c r="K67" s="42">
        <f t="shared" si="26"/>
        <v>81.352291666666659</v>
      </c>
      <c r="L67" s="42">
        <f t="shared" si="18"/>
        <v>976.22749999999996</v>
      </c>
      <c r="M67" s="93">
        <v>1</v>
      </c>
      <c r="N67" s="42">
        <f t="shared" si="19"/>
        <v>8135.2291666665915</v>
      </c>
      <c r="O67" s="42">
        <f t="shared" si="20"/>
        <v>9111.4566666665924</v>
      </c>
      <c r="P67" s="42">
        <f t="shared" si="21"/>
        <v>10413.093333333407</v>
      </c>
      <c r="Q67" s="91">
        <f t="shared" si="22"/>
        <v>2013.4166666666667</v>
      </c>
      <c r="R67" s="91">
        <f t="shared" si="23"/>
        <v>2022.75</v>
      </c>
      <c r="S67" s="91">
        <f t="shared" si="24"/>
        <v>2033.4166666666667</v>
      </c>
      <c r="T67" s="91">
        <f t="shared" si="25"/>
        <v>2021.75</v>
      </c>
    </row>
    <row r="68" spans="1:20" s="2" customFormat="1" ht="15" x14ac:dyDescent="0.25">
      <c r="A68" s="2">
        <v>196</v>
      </c>
      <c r="B68" s="2" t="s">
        <v>426</v>
      </c>
      <c r="C68" s="2" t="s">
        <v>407</v>
      </c>
      <c r="D68" s="88">
        <v>2013</v>
      </c>
      <c r="E68" s="88">
        <v>6</v>
      </c>
      <c r="F68" s="92"/>
      <c r="G68" s="88" t="s">
        <v>381</v>
      </c>
      <c r="H68" s="88">
        <v>20</v>
      </c>
      <c r="I68" s="2">
        <f t="shared" si="17"/>
        <v>2033</v>
      </c>
      <c r="J68" s="42">
        <v>4182.76</v>
      </c>
      <c r="K68" s="42">
        <f t="shared" si="26"/>
        <v>17.428166666666666</v>
      </c>
      <c r="L68" s="42">
        <f t="shared" si="18"/>
        <v>209.13800000000001</v>
      </c>
      <c r="M68" s="93">
        <v>1</v>
      </c>
      <c r="N68" s="42">
        <f t="shared" si="19"/>
        <v>1742.8166666666507</v>
      </c>
      <c r="O68" s="42">
        <f t="shared" si="20"/>
        <v>1951.9546666666506</v>
      </c>
      <c r="P68" s="42">
        <f t="shared" si="21"/>
        <v>2230.8053333333496</v>
      </c>
      <c r="Q68" s="91">
        <f t="shared" si="22"/>
        <v>2013.4166666666667</v>
      </c>
      <c r="R68" s="91">
        <f t="shared" si="23"/>
        <v>2022.75</v>
      </c>
      <c r="S68" s="91">
        <f t="shared" si="24"/>
        <v>2033.4166666666667</v>
      </c>
      <c r="T68" s="91">
        <f t="shared" si="25"/>
        <v>2021.75</v>
      </c>
    </row>
    <row r="69" spans="1:20" s="2" customFormat="1" ht="15" x14ac:dyDescent="0.25">
      <c r="A69" s="2">
        <v>197</v>
      </c>
      <c r="B69" s="2" t="s">
        <v>427</v>
      </c>
      <c r="C69" s="2" t="s">
        <v>407</v>
      </c>
      <c r="D69" s="88">
        <v>2013</v>
      </c>
      <c r="E69" s="88">
        <v>6</v>
      </c>
      <c r="F69" s="92"/>
      <c r="G69" s="88" t="s">
        <v>381</v>
      </c>
      <c r="H69" s="88">
        <v>20</v>
      </c>
      <c r="I69" s="2">
        <f t="shared" si="17"/>
        <v>2033</v>
      </c>
      <c r="J69" s="42">
        <v>26837.200000000001</v>
      </c>
      <c r="K69" s="42">
        <f t="shared" si="26"/>
        <v>111.82166666666667</v>
      </c>
      <c r="L69" s="42">
        <f t="shared" si="18"/>
        <v>1341.8600000000001</v>
      </c>
      <c r="M69" s="93">
        <v>1</v>
      </c>
      <c r="N69" s="42">
        <f t="shared" si="19"/>
        <v>11182.166666666566</v>
      </c>
      <c r="O69" s="42">
        <f t="shared" si="20"/>
        <v>12524.026666666567</v>
      </c>
      <c r="P69" s="42">
        <f t="shared" si="21"/>
        <v>14313.173333333434</v>
      </c>
      <c r="Q69" s="91">
        <f t="shared" si="22"/>
        <v>2013.4166666666667</v>
      </c>
      <c r="R69" s="91">
        <f t="shared" si="23"/>
        <v>2022.75</v>
      </c>
      <c r="S69" s="91">
        <f t="shared" si="24"/>
        <v>2033.4166666666667</v>
      </c>
      <c r="T69" s="91">
        <f t="shared" si="25"/>
        <v>2021.75</v>
      </c>
    </row>
    <row r="70" spans="1:20" s="2" customFormat="1" ht="15" x14ac:dyDescent="0.25">
      <c r="A70" s="2">
        <v>198</v>
      </c>
      <c r="B70" s="2" t="s">
        <v>428</v>
      </c>
      <c r="C70" s="2" t="s">
        <v>407</v>
      </c>
      <c r="D70" s="88">
        <v>2013</v>
      </c>
      <c r="E70" s="88">
        <v>6</v>
      </c>
      <c r="F70" s="92"/>
      <c r="G70" s="88" t="s">
        <v>381</v>
      </c>
      <c r="H70" s="88">
        <v>20</v>
      </c>
      <c r="I70" s="2">
        <f t="shared" si="17"/>
        <v>2033</v>
      </c>
      <c r="J70" s="42">
        <v>2738.2</v>
      </c>
      <c r="K70" s="42">
        <f t="shared" si="26"/>
        <v>11.409166666666666</v>
      </c>
      <c r="L70" s="42">
        <f t="shared" si="18"/>
        <v>136.91</v>
      </c>
      <c r="M70" s="93">
        <v>1</v>
      </c>
      <c r="N70" s="42">
        <f t="shared" si="19"/>
        <v>1140.9166666666563</v>
      </c>
      <c r="O70" s="42">
        <f t="shared" si="20"/>
        <v>1277.8266666666564</v>
      </c>
      <c r="P70" s="42">
        <f t="shared" si="21"/>
        <v>1460.3733333333435</v>
      </c>
      <c r="Q70" s="91">
        <f t="shared" si="22"/>
        <v>2013.4166666666667</v>
      </c>
      <c r="R70" s="91">
        <f t="shared" si="23"/>
        <v>2022.75</v>
      </c>
      <c r="S70" s="91">
        <f t="shared" si="24"/>
        <v>2033.4166666666667</v>
      </c>
      <c r="T70" s="91">
        <f t="shared" si="25"/>
        <v>2021.75</v>
      </c>
    </row>
    <row r="71" spans="1:20" s="2" customFormat="1" ht="15" x14ac:dyDescent="0.25">
      <c r="A71" s="2">
        <v>199</v>
      </c>
      <c r="B71" s="2" t="s">
        <v>429</v>
      </c>
      <c r="C71" s="2" t="s">
        <v>407</v>
      </c>
      <c r="D71" s="88">
        <v>2013</v>
      </c>
      <c r="E71" s="88">
        <v>6</v>
      </c>
      <c r="F71" s="92"/>
      <c r="G71" s="88" t="s">
        <v>381</v>
      </c>
      <c r="H71" s="88">
        <v>20</v>
      </c>
      <c r="I71" s="2">
        <f t="shared" si="17"/>
        <v>2033</v>
      </c>
      <c r="J71" s="42">
        <v>1359.99</v>
      </c>
      <c r="K71" s="42">
        <f t="shared" si="26"/>
        <v>5.6666249999999998</v>
      </c>
      <c r="L71" s="42">
        <f t="shared" si="18"/>
        <v>67.999499999999998</v>
      </c>
      <c r="M71" s="93">
        <v>1</v>
      </c>
      <c r="N71" s="42">
        <f t="shared" si="19"/>
        <v>566.66249999999479</v>
      </c>
      <c r="O71" s="42">
        <f t="shared" si="20"/>
        <v>634.6619999999948</v>
      </c>
      <c r="P71" s="42">
        <f t="shared" si="21"/>
        <v>725.3280000000052</v>
      </c>
      <c r="Q71" s="91">
        <f t="shared" si="22"/>
        <v>2013.4166666666667</v>
      </c>
      <c r="R71" s="91">
        <f t="shared" si="23"/>
        <v>2022.75</v>
      </c>
      <c r="S71" s="91">
        <f t="shared" si="24"/>
        <v>2033.4166666666667</v>
      </c>
      <c r="T71" s="91">
        <f t="shared" si="25"/>
        <v>2021.75</v>
      </c>
    </row>
    <row r="72" spans="1:20" s="2" customFormat="1" ht="15" x14ac:dyDescent="0.25">
      <c r="A72" s="2">
        <v>200</v>
      </c>
      <c r="B72" s="2" t="s">
        <v>430</v>
      </c>
      <c r="C72" s="2" t="s">
        <v>407</v>
      </c>
      <c r="D72" s="88">
        <v>2013</v>
      </c>
      <c r="E72" s="88">
        <v>6</v>
      </c>
      <c r="F72" s="92"/>
      <c r="G72" s="88" t="s">
        <v>381</v>
      </c>
      <c r="H72" s="88">
        <v>20</v>
      </c>
      <c r="I72" s="2">
        <f t="shared" si="17"/>
        <v>2033</v>
      </c>
      <c r="J72" s="42">
        <v>58200</v>
      </c>
      <c r="K72" s="42">
        <f t="shared" si="26"/>
        <v>242.5</v>
      </c>
      <c r="L72" s="42">
        <f t="shared" si="18"/>
        <v>2910</v>
      </c>
      <c r="M72" s="93">
        <v>1</v>
      </c>
      <c r="N72" s="42">
        <f t="shared" si="19"/>
        <v>24249.999999999778</v>
      </c>
      <c r="O72" s="42">
        <f t="shared" si="20"/>
        <v>27159.999999999778</v>
      </c>
      <c r="P72" s="42">
        <f t="shared" si="21"/>
        <v>31040.000000000222</v>
      </c>
      <c r="Q72" s="91">
        <f t="shared" si="22"/>
        <v>2013.4166666666667</v>
      </c>
      <c r="R72" s="91">
        <f t="shared" si="23"/>
        <v>2022.75</v>
      </c>
      <c r="S72" s="91">
        <f t="shared" si="24"/>
        <v>2033.4166666666667</v>
      </c>
      <c r="T72" s="91">
        <f t="shared" si="25"/>
        <v>2021.75</v>
      </c>
    </row>
    <row r="73" spans="1:20" s="2" customFormat="1" ht="15" x14ac:dyDescent="0.25">
      <c r="A73" s="2">
        <v>201</v>
      </c>
      <c r="B73" s="2" t="s">
        <v>431</v>
      </c>
      <c r="C73" s="2" t="s">
        <v>407</v>
      </c>
      <c r="D73" s="88">
        <v>2013</v>
      </c>
      <c r="E73" s="88">
        <v>6</v>
      </c>
      <c r="F73" s="92"/>
      <c r="G73" s="88" t="s">
        <v>381</v>
      </c>
      <c r="H73" s="88">
        <v>20</v>
      </c>
      <c r="I73" s="2">
        <f t="shared" si="17"/>
        <v>2033</v>
      </c>
      <c r="J73" s="42">
        <v>3573.27</v>
      </c>
      <c r="K73" s="42">
        <f t="shared" si="26"/>
        <v>14.888624999999999</v>
      </c>
      <c r="L73" s="42">
        <f t="shared" si="18"/>
        <v>178.6635</v>
      </c>
      <c r="M73" s="93">
        <v>1</v>
      </c>
      <c r="N73" s="42">
        <f t="shared" si="19"/>
        <v>1488.8624999999863</v>
      </c>
      <c r="O73" s="42">
        <f t="shared" si="20"/>
        <v>1667.5259999999862</v>
      </c>
      <c r="P73" s="42">
        <f t="shared" si="21"/>
        <v>1905.7440000000138</v>
      </c>
      <c r="Q73" s="91">
        <f t="shared" si="22"/>
        <v>2013.4166666666667</v>
      </c>
      <c r="R73" s="91">
        <f t="shared" si="23"/>
        <v>2022.75</v>
      </c>
      <c r="S73" s="91">
        <f t="shared" si="24"/>
        <v>2033.4166666666667</v>
      </c>
      <c r="T73" s="91">
        <f t="shared" si="25"/>
        <v>2021.75</v>
      </c>
    </row>
    <row r="74" spans="1:20" s="2" customFormat="1" ht="15" x14ac:dyDescent="0.25">
      <c r="A74" s="2">
        <v>202</v>
      </c>
      <c r="B74" s="2" t="s">
        <v>432</v>
      </c>
      <c r="C74" s="2" t="s">
        <v>407</v>
      </c>
      <c r="D74" s="88">
        <v>2013</v>
      </c>
      <c r="E74" s="88">
        <v>6</v>
      </c>
      <c r="F74" s="92"/>
      <c r="G74" s="88" t="s">
        <v>381</v>
      </c>
      <c r="H74" s="88">
        <v>20</v>
      </c>
      <c r="I74" s="2">
        <f t="shared" si="17"/>
        <v>2033</v>
      </c>
      <c r="J74" s="42">
        <v>10251.969999999999</v>
      </c>
      <c r="K74" s="42">
        <f t="shared" si="26"/>
        <v>42.716541666666664</v>
      </c>
      <c r="L74" s="42">
        <f t="shared" si="18"/>
        <v>512.59849999999994</v>
      </c>
      <c r="M74" s="93">
        <v>1</v>
      </c>
      <c r="N74" s="42">
        <f t="shared" si="19"/>
        <v>4271.654166666628</v>
      </c>
      <c r="O74" s="42">
        <f t="shared" si="20"/>
        <v>4784.2526666666281</v>
      </c>
      <c r="P74" s="42">
        <f t="shared" si="21"/>
        <v>5467.7173333333712</v>
      </c>
      <c r="Q74" s="91">
        <f t="shared" si="22"/>
        <v>2013.4166666666667</v>
      </c>
      <c r="R74" s="91">
        <f t="shared" si="23"/>
        <v>2022.75</v>
      </c>
      <c r="S74" s="91">
        <f t="shared" si="24"/>
        <v>2033.4166666666667</v>
      </c>
      <c r="T74" s="91">
        <f t="shared" si="25"/>
        <v>2021.75</v>
      </c>
    </row>
    <row r="75" spans="1:20" s="2" customFormat="1" ht="15" x14ac:dyDescent="0.25">
      <c r="A75" s="2">
        <v>203</v>
      </c>
      <c r="B75" s="2" t="s">
        <v>433</v>
      </c>
      <c r="C75" s="2" t="s">
        <v>407</v>
      </c>
      <c r="D75" s="88">
        <v>2013</v>
      </c>
      <c r="E75" s="88">
        <v>6</v>
      </c>
      <c r="F75" s="92"/>
      <c r="G75" s="88" t="s">
        <v>381</v>
      </c>
      <c r="H75" s="88">
        <v>10</v>
      </c>
      <c r="I75" s="2">
        <f t="shared" si="17"/>
        <v>2023</v>
      </c>
      <c r="J75" s="42">
        <v>1500</v>
      </c>
      <c r="K75" s="42">
        <f t="shared" si="26"/>
        <v>12.5</v>
      </c>
      <c r="L75" s="42">
        <f t="shared" si="18"/>
        <v>150</v>
      </c>
      <c r="M75" s="93">
        <v>1</v>
      </c>
      <c r="N75" s="42">
        <f t="shared" si="19"/>
        <v>1249.9999999999886</v>
      </c>
      <c r="O75" s="42">
        <f t="shared" si="20"/>
        <v>1399.9999999999886</v>
      </c>
      <c r="P75" s="42">
        <f t="shared" si="21"/>
        <v>100.00000000001137</v>
      </c>
      <c r="Q75" s="91">
        <f t="shared" si="22"/>
        <v>2013.4166666666667</v>
      </c>
      <c r="R75" s="91">
        <f t="shared" si="23"/>
        <v>2022.75</v>
      </c>
      <c r="S75" s="91">
        <f t="shared" si="24"/>
        <v>2023.4166666666667</v>
      </c>
      <c r="T75" s="91">
        <f t="shared" si="25"/>
        <v>2021.75</v>
      </c>
    </row>
    <row r="76" spans="1:20" s="2" customFormat="1" ht="15" x14ac:dyDescent="0.25">
      <c r="A76" s="2">
        <v>204</v>
      </c>
      <c r="B76" s="2" t="s">
        <v>434</v>
      </c>
      <c r="C76" s="2" t="s">
        <v>407</v>
      </c>
      <c r="D76" s="88">
        <v>2013</v>
      </c>
      <c r="E76" s="88">
        <v>6</v>
      </c>
      <c r="F76" s="92"/>
      <c r="G76" s="88" t="s">
        <v>381</v>
      </c>
      <c r="H76" s="88">
        <v>7</v>
      </c>
      <c r="I76" s="2">
        <f t="shared" si="17"/>
        <v>2020</v>
      </c>
      <c r="J76" s="42">
        <v>437.94</v>
      </c>
      <c r="K76" s="42">
        <f t="shared" si="26"/>
        <v>5.2135714285714281</v>
      </c>
      <c r="L76" s="42">
        <f t="shared" si="18"/>
        <v>0</v>
      </c>
      <c r="M76" s="93">
        <v>1</v>
      </c>
      <c r="N76" s="42">
        <f t="shared" si="19"/>
        <v>437.94</v>
      </c>
      <c r="O76" s="42">
        <f t="shared" si="20"/>
        <v>437.94</v>
      </c>
      <c r="P76" s="42">
        <f t="shared" si="21"/>
        <v>0</v>
      </c>
      <c r="Q76" s="91">
        <f t="shared" si="22"/>
        <v>2013.4166666666667</v>
      </c>
      <c r="R76" s="91">
        <f t="shared" si="23"/>
        <v>2022.75</v>
      </c>
      <c r="S76" s="91">
        <f t="shared" si="24"/>
        <v>2020.4166666666667</v>
      </c>
      <c r="T76" s="91">
        <f t="shared" si="25"/>
        <v>2021.75</v>
      </c>
    </row>
    <row r="77" spans="1:20" s="2" customFormat="1" ht="15" x14ac:dyDescent="0.25">
      <c r="A77" s="2">
        <v>208</v>
      </c>
      <c r="B77" s="2" t="s">
        <v>435</v>
      </c>
      <c r="C77" s="2" t="s">
        <v>407</v>
      </c>
      <c r="D77" s="88">
        <v>2014</v>
      </c>
      <c r="E77" s="88">
        <v>12</v>
      </c>
      <c r="F77" s="92"/>
      <c r="G77" s="88" t="s">
        <v>381</v>
      </c>
      <c r="H77" s="88">
        <v>7</v>
      </c>
      <c r="I77" s="2">
        <f t="shared" si="17"/>
        <v>2021</v>
      </c>
      <c r="J77" s="42">
        <v>56144.22</v>
      </c>
      <c r="K77" s="42">
        <f t="shared" si="26"/>
        <v>668.38357142857137</v>
      </c>
      <c r="L77" s="42">
        <f t="shared" si="18"/>
        <v>0</v>
      </c>
      <c r="M77" s="93">
        <v>1</v>
      </c>
      <c r="N77" s="42">
        <f t="shared" si="19"/>
        <v>56144.22</v>
      </c>
      <c r="O77" s="42">
        <f t="shared" si="20"/>
        <v>56144.22</v>
      </c>
      <c r="P77" s="42">
        <f t="shared" si="21"/>
        <v>0</v>
      </c>
      <c r="Q77" s="91">
        <f t="shared" si="22"/>
        <v>2014.9166666666667</v>
      </c>
      <c r="R77" s="91">
        <f t="shared" si="23"/>
        <v>2022.75</v>
      </c>
      <c r="S77" s="91">
        <f t="shared" si="24"/>
        <v>2021.9166666666667</v>
      </c>
      <c r="T77" s="91">
        <f t="shared" si="25"/>
        <v>2021.75</v>
      </c>
    </row>
    <row r="78" spans="1:20" s="2" customFormat="1" ht="15" x14ac:dyDescent="0.25">
      <c r="A78" s="2">
        <v>209</v>
      </c>
      <c r="B78" s="2" t="s">
        <v>436</v>
      </c>
      <c r="C78" s="2" t="s">
        <v>407</v>
      </c>
      <c r="D78" s="88">
        <v>2014</v>
      </c>
      <c r="E78" s="88">
        <v>11</v>
      </c>
      <c r="F78" s="50">
        <v>1</v>
      </c>
      <c r="G78" s="88" t="s">
        <v>381</v>
      </c>
      <c r="H78" s="88">
        <v>10</v>
      </c>
      <c r="I78" s="2">
        <f t="shared" si="17"/>
        <v>2024</v>
      </c>
      <c r="J78" s="42">
        <v>77600</v>
      </c>
      <c r="K78" s="42">
        <f t="shared" si="26"/>
        <v>646.66666666666663</v>
      </c>
      <c r="L78" s="42">
        <f t="shared" si="18"/>
        <v>7760</v>
      </c>
      <c r="M78" s="93">
        <v>1</v>
      </c>
      <c r="N78" s="42">
        <f t="shared" si="19"/>
        <v>53673.333333333918</v>
      </c>
      <c r="O78" s="42">
        <f t="shared" si="20"/>
        <v>61433.333333333918</v>
      </c>
      <c r="P78" s="42">
        <f t="shared" si="21"/>
        <v>16166.666666666082</v>
      </c>
      <c r="Q78" s="91">
        <f t="shared" si="22"/>
        <v>2014.8333333333333</v>
      </c>
      <c r="R78" s="91">
        <f t="shared" si="23"/>
        <v>2022.75</v>
      </c>
      <c r="S78" s="91">
        <f t="shared" si="24"/>
        <v>2024.8333333333333</v>
      </c>
      <c r="T78" s="91">
        <f t="shared" si="25"/>
        <v>2021.75</v>
      </c>
    </row>
    <row r="79" spans="1:20" s="2" customFormat="1" ht="15" x14ac:dyDescent="0.25">
      <c r="A79" s="2">
        <v>210</v>
      </c>
      <c r="B79" s="2" t="s">
        <v>437</v>
      </c>
      <c r="C79" s="2" t="s">
        <v>407</v>
      </c>
      <c r="D79" s="88">
        <v>2014</v>
      </c>
      <c r="E79" s="88">
        <v>9</v>
      </c>
      <c r="F79" s="92"/>
      <c r="G79" s="88" t="s">
        <v>381</v>
      </c>
      <c r="H79" s="88">
        <v>10</v>
      </c>
      <c r="I79" s="2">
        <f t="shared" si="17"/>
        <v>2024</v>
      </c>
      <c r="J79" s="42">
        <v>120911.33</v>
      </c>
      <c r="K79" s="42">
        <f t="shared" si="26"/>
        <v>1007.5944166666667</v>
      </c>
      <c r="L79" s="42">
        <f t="shared" si="18"/>
        <v>12091.133</v>
      </c>
      <c r="M79" s="93">
        <v>1</v>
      </c>
      <c r="N79" s="42">
        <f t="shared" si="19"/>
        <v>85645.525416665754</v>
      </c>
      <c r="O79" s="42">
        <f t="shared" si="20"/>
        <v>97736.658416665756</v>
      </c>
      <c r="P79" s="42">
        <f t="shared" si="21"/>
        <v>23174.671583334246</v>
      </c>
      <c r="Q79" s="91">
        <f t="shared" si="22"/>
        <v>2014.6666666666667</v>
      </c>
      <c r="R79" s="91">
        <f t="shared" si="23"/>
        <v>2022.75</v>
      </c>
      <c r="S79" s="91">
        <f t="shared" si="24"/>
        <v>2024.6666666666667</v>
      </c>
      <c r="T79" s="91">
        <f t="shared" si="25"/>
        <v>2021.75</v>
      </c>
    </row>
    <row r="80" spans="1:20" s="2" customFormat="1" ht="15" x14ac:dyDescent="0.25">
      <c r="A80" s="2">
        <v>222</v>
      </c>
      <c r="B80" s="2" t="s">
        <v>438</v>
      </c>
      <c r="C80" s="2" t="s">
        <v>407</v>
      </c>
      <c r="D80" s="88">
        <v>2015</v>
      </c>
      <c r="E80" s="88">
        <v>5</v>
      </c>
      <c r="F80" s="92"/>
      <c r="G80" s="88" t="s">
        <v>381</v>
      </c>
      <c r="H80" s="88">
        <v>10</v>
      </c>
      <c r="I80" s="2">
        <f t="shared" si="17"/>
        <v>2025</v>
      </c>
      <c r="J80" s="42">
        <v>53584</v>
      </c>
      <c r="K80" s="42">
        <f t="shared" si="26"/>
        <v>446.5333333333333</v>
      </c>
      <c r="L80" s="42">
        <f t="shared" si="18"/>
        <v>5358.4</v>
      </c>
      <c r="M80" s="93">
        <v>1</v>
      </c>
      <c r="N80" s="42">
        <f t="shared" si="19"/>
        <v>34383.066666667073</v>
      </c>
      <c r="O80" s="42">
        <f t="shared" si="20"/>
        <v>39741.466666667075</v>
      </c>
      <c r="P80" s="42">
        <f t="shared" si="21"/>
        <v>13842.533333332925</v>
      </c>
      <c r="Q80" s="91">
        <f t="shared" si="22"/>
        <v>2015.3333333333333</v>
      </c>
      <c r="R80" s="91">
        <f t="shared" si="23"/>
        <v>2022.75</v>
      </c>
      <c r="S80" s="91">
        <f t="shared" si="24"/>
        <v>2025.3333333333333</v>
      </c>
      <c r="T80" s="91">
        <f t="shared" si="25"/>
        <v>2021.75</v>
      </c>
    </row>
    <row r="81" spans="1:20" s="2" customFormat="1" ht="15" x14ac:dyDescent="0.25">
      <c r="A81" s="2">
        <v>223</v>
      </c>
      <c r="B81" s="2" t="s">
        <v>439</v>
      </c>
      <c r="C81" s="2" t="s">
        <v>407</v>
      </c>
      <c r="D81" s="88">
        <v>2015</v>
      </c>
      <c r="E81" s="88">
        <v>6</v>
      </c>
      <c r="F81" s="92"/>
      <c r="G81" s="88" t="s">
        <v>381</v>
      </c>
      <c r="H81" s="88">
        <v>10</v>
      </c>
      <c r="I81" s="2">
        <f t="shared" si="17"/>
        <v>2025</v>
      </c>
      <c r="J81" s="42">
        <v>148563</v>
      </c>
      <c r="K81" s="42">
        <f t="shared" si="26"/>
        <v>1238.0249999999999</v>
      </c>
      <c r="L81" s="42">
        <f t="shared" si="18"/>
        <v>14856.3</v>
      </c>
      <c r="M81" s="93">
        <v>1</v>
      </c>
      <c r="N81" s="42">
        <f t="shared" si="19"/>
        <v>94089.899999998859</v>
      </c>
      <c r="O81" s="42">
        <f t="shared" si="20"/>
        <v>108946.19999999886</v>
      </c>
      <c r="P81" s="42">
        <f t="shared" si="21"/>
        <v>39616.800000001138</v>
      </c>
      <c r="Q81" s="91">
        <f t="shared" si="22"/>
        <v>2015.4166666666667</v>
      </c>
      <c r="R81" s="91">
        <f t="shared" si="23"/>
        <v>2022.75</v>
      </c>
      <c r="S81" s="91">
        <f t="shared" si="24"/>
        <v>2025.4166666666667</v>
      </c>
      <c r="T81" s="91">
        <f t="shared" si="25"/>
        <v>2021.75</v>
      </c>
    </row>
    <row r="82" spans="1:20" s="2" customFormat="1" ht="15" x14ac:dyDescent="0.25">
      <c r="A82" s="2">
        <v>226</v>
      </c>
      <c r="B82" s="2" t="s">
        <v>440</v>
      </c>
      <c r="C82" s="2" t="s">
        <v>407</v>
      </c>
      <c r="D82" s="88">
        <v>2015</v>
      </c>
      <c r="E82" s="88">
        <v>12</v>
      </c>
      <c r="F82" s="92"/>
      <c r="G82" s="88" t="s">
        <v>381</v>
      </c>
      <c r="H82" s="88">
        <v>7</v>
      </c>
      <c r="I82" s="2">
        <f t="shared" si="17"/>
        <v>2022</v>
      </c>
      <c r="J82" s="42">
        <v>14309.38</v>
      </c>
      <c r="K82" s="42">
        <f t="shared" si="26"/>
        <v>170.34976190476189</v>
      </c>
      <c r="L82" s="42">
        <f t="shared" si="18"/>
        <v>2044.1971428571428</v>
      </c>
      <c r="M82" s="93">
        <v>1</v>
      </c>
      <c r="N82" s="42">
        <f t="shared" si="19"/>
        <v>11924.483333333177</v>
      </c>
      <c r="O82" s="42">
        <f t="shared" si="20"/>
        <v>13968.68047619032</v>
      </c>
      <c r="P82" s="42">
        <f t="shared" si="21"/>
        <v>340.69952380967879</v>
      </c>
      <c r="Q82" s="91">
        <f t="shared" si="22"/>
        <v>2015.9166666666667</v>
      </c>
      <c r="R82" s="91">
        <f t="shared" si="23"/>
        <v>2022.75</v>
      </c>
      <c r="S82" s="91">
        <f t="shared" si="24"/>
        <v>2022.9166666666667</v>
      </c>
      <c r="T82" s="91">
        <f t="shared" si="25"/>
        <v>2021.75</v>
      </c>
    </row>
    <row r="83" spans="1:20" s="2" customFormat="1" ht="15" x14ac:dyDescent="0.25">
      <c r="A83" s="2">
        <v>238</v>
      </c>
      <c r="B83" s="2" t="s">
        <v>441</v>
      </c>
      <c r="C83" s="2" t="s">
        <v>407</v>
      </c>
      <c r="D83" s="88">
        <v>2016</v>
      </c>
      <c r="E83" s="88">
        <v>6</v>
      </c>
      <c r="F83" s="92"/>
      <c r="G83" s="88" t="s">
        <v>381</v>
      </c>
      <c r="H83" s="88">
        <v>10</v>
      </c>
      <c r="I83" s="2">
        <f t="shared" si="17"/>
        <v>2026</v>
      </c>
      <c r="J83" s="42">
        <v>31480</v>
      </c>
      <c r="K83" s="42">
        <f t="shared" si="26"/>
        <v>262.33333333333331</v>
      </c>
      <c r="L83" s="42">
        <f t="shared" si="18"/>
        <v>3148</v>
      </c>
      <c r="M83" s="93">
        <v>1</v>
      </c>
      <c r="N83" s="42">
        <f t="shared" si="19"/>
        <v>16789.333333333092</v>
      </c>
      <c r="O83" s="42">
        <f t="shared" si="20"/>
        <v>19937.333333333092</v>
      </c>
      <c r="P83" s="42">
        <f t="shared" si="21"/>
        <v>11542.666666666908</v>
      </c>
      <c r="Q83" s="91">
        <f t="shared" si="22"/>
        <v>2016.4166666666667</v>
      </c>
      <c r="R83" s="91">
        <f t="shared" si="23"/>
        <v>2022.75</v>
      </c>
      <c r="S83" s="91">
        <f t="shared" si="24"/>
        <v>2026.4166666666667</v>
      </c>
      <c r="T83" s="91">
        <f t="shared" si="25"/>
        <v>2021.75</v>
      </c>
    </row>
    <row r="84" spans="1:20" s="2" customFormat="1" ht="15" x14ac:dyDescent="0.25">
      <c r="A84" s="2">
        <v>254</v>
      </c>
      <c r="B84" s="2" t="s">
        <v>442</v>
      </c>
      <c r="C84" s="2" t="s">
        <v>407</v>
      </c>
      <c r="D84" s="88">
        <v>2017</v>
      </c>
      <c r="E84" s="88">
        <v>6</v>
      </c>
      <c r="F84" s="92"/>
      <c r="G84" s="88" t="s">
        <v>381</v>
      </c>
      <c r="H84" s="88">
        <v>5</v>
      </c>
      <c r="I84" s="2">
        <f t="shared" si="17"/>
        <v>2022</v>
      </c>
      <c r="J84" s="42">
        <v>283187.58</v>
      </c>
      <c r="K84" s="42">
        <f t="shared" si="26"/>
        <v>4719.7930000000006</v>
      </c>
      <c r="L84" s="42">
        <f t="shared" si="18"/>
        <v>0</v>
      </c>
      <c r="M84" s="93">
        <v>1</v>
      </c>
      <c r="N84" s="42">
        <f t="shared" si="19"/>
        <v>283187.58</v>
      </c>
      <c r="O84" s="42">
        <f t="shared" si="20"/>
        <v>283187.58</v>
      </c>
      <c r="P84" s="42">
        <f t="shared" si="21"/>
        <v>0</v>
      </c>
      <c r="Q84" s="91">
        <f t="shared" si="22"/>
        <v>2017.4166666666667</v>
      </c>
      <c r="R84" s="91">
        <f t="shared" si="23"/>
        <v>2022.75</v>
      </c>
      <c r="S84" s="91">
        <f t="shared" si="24"/>
        <v>2022.4166666666667</v>
      </c>
      <c r="T84" s="91">
        <f t="shared" si="25"/>
        <v>2021.75</v>
      </c>
    </row>
    <row r="85" spans="1:20" s="2" customFormat="1" ht="15" x14ac:dyDescent="0.25">
      <c r="A85" s="2">
        <v>273</v>
      </c>
      <c r="B85" s="2" t="s">
        <v>443</v>
      </c>
      <c r="C85" s="2" t="s">
        <v>407</v>
      </c>
      <c r="D85" s="88">
        <v>2018</v>
      </c>
      <c r="E85" s="88">
        <v>5</v>
      </c>
      <c r="F85" s="92"/>
      <c r="G85" s="88" t="s">
        <v>381</v>
      </c>
      <c r="H85" s="88">
        <v>5</v>
      </c>
      <c r="I85" s="2">
        <f t="shared" si="17"/>
        <v>2023</v>
      </c>
      <c r="J85" s="42">
        <v>3740.93</v>
      </c>
      <c r="K85" s="42">
        <f t="shared" si="26"/>
        <v>62.348833333333324</v>
      </c>
      <c r="L85" s="42">
        <f t="shared" si="18"/>
        <v>748.18599999999992</v>
      </c>
      <c r="M85" s="93">
        <v>1</v>
      </c>
      <c r="N85" s="42">
        <f t="shared" si="19"/>
        <v>2556.3021666667232</v>
      </c>
      <c r="O85" s="42">
        <f t="shared" si="20"/>
        <v>3304.4881666667234</v>
      </c>
      <c r="P85" s="42">
        <f t="shared" si="21"/>
        <v>436.44183333327646</v>
      </c>
      <c r="Q85" s="91">
        <f t="shared" si="22"/>
        <v>2018.3333333333333</v>
      </c>
      <c r="R85" s="91">
        <f t="shared" si="23"/>
        <v>2022.75</v>
      </c>
      <c r="S85" s="91">
        <f t="shared" si="24"/>
        <v>2023.3333333333333</v>
      </c>
      <c r="T85" s="91">
        <f t="shared" si="25"/>
        <v>2021.75</v>
      </c>
    </row>
    <row r="86" spans="1:20" s="2" customFormat="1" ht="15" x14ac:dyDescent="0.25">
      <c r="A86" s="2">
        <v>278</v>
      </c>
      <c r="B86" s="2" t="s">
        <v>444</v>
      </c>
      <c r="C86" s="2" t="s">
        <v>407</v>
      </c>
      <c r="D86" s="88">
        <v>2019</v>
      </c>
      <c r="E86" s="88">
        <v>6</v>
      </c>
      <c r="F86" s="92"/>
      <c r="G86" s="88" t="s">
        <v>381</v>
      </c>
      <c r="H86" s="88">
        <v>10</v>
      </c>
      <c r="I86" s="2">
        <f t="shared" si="17"/>
        <v>2029</v>
      </c>
      <c r="J86" s="42">
        <v>62930</v>
      </c>
      <c r="K86" s="42">
        <f t="shared" si="26"/>
        <v>524.41666666666663</v>
      </c>
      <c r="L86" s="42">
        <f t="shared" si="18"/>
        <v>6293</v>
      </c>
      <c r="M86" s="93">
        <v>1</v>
      </c>
      <c r="N86" s="42">
        <f t="shared" si="19"/>
        <v>14683.666666666189</v>
      </c>
      <c r="O86" s="42">
        <f t="shared" si="20"/>
        <v>20976.666666666191</v>
      </c>
      <c r="P86" s="42">
        <f t="shared" si="21"/>
        <v>41953.333333333809</v>
      </c>
      <c r="Q86" s="91">
        <f t="shared" si="22"/>
        <v>2019.4166666666667</v>
      </c>
      <c r="R86" s="91">
        <f t="shared" si="23"/>
        <v>2022.75</v>
      </c>
      <c r="S86" s="91">
        <f t="shared" si="24"/>
        <v>2029.4166666666667</v>
      </c>
      <c r="T86" s="91">
        <f t="shared" si="25"/>
        <v>2021.75</v>
      </c>
    </row>
    <row r="87" spans="1:20" s="2" customFormat="1" ht="15" x14ac:dyDescent="0.25">
      <c r="A87" s="2">
        <v>285</v>
      </c>
      <c r="B87" s="2" t="s">
        <v>445</v>
      </c>
      <c r="C87" s="2" t="s">
        <v>407</v>
      </c>
      <c r="D87" s="88">
        <v>2020</v>
      </c>
      <c r="E87" s="88">
        <v>6</v>
      </c>
      <c r="F87" s="92"/>
      <c r="G87" s="88" t="s">
        <v>381</v>
      </c>
      <c r="H87" s="88">
        <v>10</v>
      </c>
      <c r="I87" s="2">
        <f t="shared" si="17"/>
        <v>2030</v>
      </c>
      <c r="J87" s="42">
        <v>23407</v>
      </c>
      <c r="K87" s="42">
        <f t="shared" si="26"/>
        <v>195.05833333333331</v>
      </c>
      <c r="L87" s="42">
        <f>IF(S87&lt;=R87,0,J87/H87)</f>
        <v>2340.6999999999998</v>
      </c>
      <c r="M87" s="93">
        <v>1</v>
      </c>
      <c r="N87" s="42">
        <f t="shared" si="19"/>
        <v>3120.9333333331556</v>
      </c>
      <c r="O87" s="42">
        <f t="shared" si="20"/>
        <v>5461.633333333155</v>
      </c>
      <c r="P87" s="42">
        <f t="shared" si="21"/>
        <v>17945.366666666843</v>
      </c>
      <c r="Q87" s="91">
        <f t="shared" si="22"/>
        <v>2020.4166666666667</v>
      </c>
      <c r="R87" s="91">
        <f t="shared" si="23"/>
        <v>2022.75</v>
      </c>
      <c r="S87" s="91">
        <f t="shared" si="24"/>
        <v>2030.4166666666667</v>
      </c>
      <c r="T87" s="91">
        <f t="shared" si="25"/>
        <v>2021.75</v>
      </c>
    </row>
    <row r="88" spans="1:20" s="2" customFormat="1" ht="15" x14ac:dyDescent="0.25">
      <c r="A88" s="2">
        <v>303</v>
      </c>
      <c r="B88" s="2" t="s">
        <v>446</v>
      </c>
      <c r="C88" s="2" t="s">
        <v>407</v>
      </c>
      <c r="D88" s="88">
        <v>2021</v>
      </c>
      <c r="E88" s="88">
        <v>12</v>
      </c>
      <c r="F88" s="92"/>
      <c r="G88" s="88" t="s">
        <v>381</v>
      </c>
      <c r="H88" s="88">
        <v>5</v>
      </c>
      <c r="I88" s="2">
        <f t="shared" si="17"/>
        <v>2026</v>
      </c>
      <c r="J88" s="42">
        <v>6055</v>
      </c>
      <c r="K88" s="42">
        <f t="shared" si="26"/>
        <v>100.91666666666667</v>
      </c>
      <c r="L88" s="42">
        <f t="shared" si="18"/>
        <v>1211</v>
      </c>
      <c r="M88" s="93">
        <v>1</v>
      </c>
      <c r="N88" s="42">
        <f t="shared" si="19"/>
        <v>0</v>
      </c>
      <c r="O88" s="42">
        <f t="shared" si="20"/>
        <v>1211</v>
      </c>
      <c r="P88" s="42">
        <f t="shared" si="21"/>
        <v>4844</v>
      </c>
      <c r="Q88" s="91">
        <f t="shared" si="22"/>
        <v>2021.9166666666667</v>
      </c>
      <c r="R88" s="91">
        <f t="shared" si="23"/>
        <v>2022.75</v>
      </c>
      <c r="S88" s="91">
        <f t="shared" si="24"/>
        <v>2026.9166666666667</v>
      </c>
      <c r="T88" s="91">
        <f t="shared" si="25"/>
        <v>2021.75</v>
      </c>
    </row>
    <row r="89" spans="1:20" s="94" customFormat="1" ht="15" x14ac:dyDescent="0.25">
      <c r="B89" s="94" t="s">
        <v>447</v>
      </c>
      <c r="D89" s="57"/>
      <c r="E89" s="57"/>
      <c r="F89" s="95"/>
      <c r="G89" s="57"/>
      <c r="H89" s="57"/>
      <c r="J89" s="96">
        <f t="shared" ref="J89:P89" si="27">SUM(J46:J88)</f>
        <v>1971038.56</v>
      </c>
      <c r="K89" s="100"/>
      <c r="L89" s="101">
        <f>SUM(L46:L88)</f>
        <v>97468.279142857136</v>
      </c>
      <c r="M89" s="102"/>
      <c r="N89" s="101">
        <f t="shared" si="27"/>
        <v>1271958.8265833284</v>
      </c>
      <c r="O89" s="101">
        <f t="shared" si="27"/>
        <v>1369427.1057261855</v>
      </c>
      <c r="P89" s="101">
        <f t="shared" si="27"/>
        <v>601611.45427381468</v>
      </c>
      <c r="Q89" s="99"/>
      <c r="R89" s="99"/>
      <c r="S89" s="99"/>
      <c r="T89" s="99"/>
    </row>
    <row r="90" spans="1:20" s="2" customFormat="1" ht="15" x14ac:dyDescent="0.25">
      <c r="D90" s="88"/>
      <c r="E90" s="88"/>
      <c r="F90" s="92"/>
      <c r="G90" s="88"/>
      <c r="H90" s="88"/>
      <c r="J90" s="42"/>
      <c r="K90" s="42"/>
      <c r="L90" s="42"/>
      <c r="M90" s="93"/>
      <c r="N90" s="42"/>
      <c r="O90" s="42"/>
      <c r="P90" s="42"/>
      <c r="Q90" s="91"/>
      <c r="R90" s="91"/>
      <c r="S90" s="91"/>
      <c r="T90" s="91"/>
    </row>
    <row r="91" spans="1:20" s="2" customFormat="1" ht="15" x14ac:dyDescent="0.25">
      <c r="A91" s="2">
        <v>10</v>
      </c>
      <c r="B91" s="2" t="s">
        <v>448</v>
      </c>
      <c r="D91" s="88">
        <v>1989</v>
      </c>
      <c r="E91" s="88">
        <v>10</v>
      </c>
      <c r="F91" s="92"/>
      <c r="G91" s="88" t="s">
        <v>381</v>
      </c>
      <c r="H91" s="88">
        <v>20</v>
      </c>
      <c r="I91" s="2">
        <f t="shared" ref="I91:I154" si="28">+D91+H91</f>
        <v>2009</v>
      </c>
      <c r="J91" s="42">
        <v>67500</v>
      </c>
      <c r="K91" s="42">
        <f t="shared" ref="K91:K154" si="29">J91/H91/12</f>
        <v>281.25</v>
      </c>
      <c r="L91" s="42">
        <f t="shared" ref="L91:L154" si="30">IF(S91&lt;=R91,0,J91/H91)</f>
        <v>0</v>
      </c>
      <c r="M91" s="93">
        <v>1</v>
      </c>
      <c r="N91" s="42">
        <f t="shared" ref="N91:N154" si="31">IF(Q91&gt;R91,0,IF(S91&lt;T91,J91,IF((AND((S91&gt;=T91),(S91&lt;=R91))),(J91-L91),IF((AND((T91&lt;=Q91),(R91&gt;=Q91))),0,IF(S91&gt;R91,((T91-Q91)*12)*K91,0)))))</f>
        <v>67500</v>
      </c>
      <c r="O91" s="42">
        <f t="shared" ref="O91:O154" si="32">N91+L91</f>
        <v>67500</v>
      </c>
      <c r="P91" s="42">
        <f t="shared" ref="P91:P154" si="33">+J91-O91</f>
        <v>0</v>
      </c>
      <c r="Q91" s="91">
        <f t="shared" ref="Q91:Q154" si="34">$D91+(($E91-1)/12)</f>
        <v>1989.75</v>
      </c>
      <c r="R91" s="91">
        <f t="shared" ref="R91:R154" si="35">($K$5+1)-($K$2/12)</f>
        <v>2022.75</v>
      </c>
      <c r="S91" s="91">
        <f t="shared" ref="S91:S154" si="36">$I91+(($E91-1)/12)</f>
        <v>2009.75</v>
      </c>
      <c r="T91" s="91">
        <f t="shared" ref="T91:T154" si="37">$K$4+($K$3/12)</f>
        <v>2021.75</v>
      </c>
    </row>
    <row r="92" spans="1:20" s="2" customFormat="1" ht="15" x14ac:dyDescent="0.25">
      <c r="A92" s="2">
        <v>11</v>
      </c>
      <c r="B92" s="2" t="s">
        <v>449</v>
      </c>
      <c r="D92" s="88">
        <v>1989</v>
      </c>
      <c r="E92" s="88">
        <v>10</v>
      </c>
      <c r="F92" s="92"/>
      <c r="G92" s="88" t="s">
        <v>381</v>
      </c>
      <c r="H92" s="88">
        <v>20</v>
      </c>
      <c r="I92" s="2">
        <f t="shared" si="28"/>
        <v>2009</v>
      </c>
      <c r="J92" s="42">
        <v>67500</v>
      </c>
      <c r="K92" s="42">
        <f t="shared" si="29"/>
        <v>281.25</v>
      </c>
      <c r="L92" s="42">
        <f t="shared" si="30"/>
        <v>0</v>
      </c>
      <c r="M92" s="93">
        <v>1</v>
      </c>
      <c r="N92" s="42">
        <f t="shared" si="31"/>
        <v>67500</v>
      </c>
      <c r="O92" s="42">
        <f t="shared" si="32"/>
        <v>67500</v>
      </c>
      <c r="P92" s="42">
        <f t="shared" si="33"/>
        <v>0</v>
      </c>
      <c r="Q92" s="91">
        <f t="shared" si="34"/>
        <v>1989.75</v>
      </c>
      <c r="R92" s="91">
        <f t="shared" si="35"/>
        <v>2022.75</v>
      </c>
      <c r="S92" s="91">
        <f t="shared" si="36"/>
        <v>2009.75</v>
      </c>
      <c r="T92" s="91">
        <f t="shared" si="37"/>
        <v>2021.75</v>
      </c>
    </row>
    <row r="93" spans="1:20" s="2" customFormat="1" ht="15" x14ac:dyDescent="0.25">
      <c r="A93" s="2">
        <v>12</v>
      </c>
      <c r="B93" s="2" t="s">
        <v>450</v>
      </c>
      <c r="D93" s="88">
        <v>1989</v>
      </c>
      <c r="E93" s="88">
        <v>10</v>
      </c>
      <c r="F93" s="92"/>
      <c r="G93" s="88" t="s">
        <v>381</v>
      </c>
      <c r="H93" s="88">
        <v>20</v>
      </c>
      <c r="I93" s="2">
        <f t="shared" si="28"/>
        <v>2009</v>
      </c>
      <c r="J93" s="42">
        <v>25000</v>
      </c>
      <c r="K93" s="42">
        <f t="shared" si="29"/>
        <v>104.16666666666667</v>
      </c>
      <c r="L93" s="42">
        <f t="shared" si="30"/>
        <v>0</v>
      </c>
      <c r="M93" s="93">
        <v>1</v>
      </c>
      <c r="N93" s="42">
        <f t="shared" si="31"/>
        <v>25000</v>
      </c>
      <c r="O93" s="42">
        <f t="shared" si="32"/>
        <v>25000</v>
      </c>
      <c r="P93" s="42">
        <f t="shared" si="33"/>
        <v>0</v>
      </c>
      <c r="Q93" s="91">
        <f t="shared" si="34"/>
        <v>1989.75</v>
      </c>
      <c r="R93" s="91">
        <f t="shared" si="35"/>
        <v>2022.75</v>
      </c>
      <c r="S93" s="91">
        <f t="shared" si="36"/>
        <v>2009.75</v>
      </c>
      <c r="T93" s="91">
        <f t="shared" si="37"/>
        <v>2021.75</v>
      </c>
    </row>
    <row r="94" spans="1:20" s="2" customFormat="1" ht="15" x14ac:dyDescent="0.25">
      <c r="A94" s="2">
        <v>13</v>
      </c>
      <c r="B94" s="2" t="s">
        <v>451</v>
      </c>
      <c r="D94" s="88">
        <v>1989</v>
      </c>
      <c r="E94" s="88">
        <v>10</v>
      </c>
      <c r="F94" s="92"/>
      <c r="G94" s="88" t="s">
        <v>381</v>
      </c>
      <c r="H94" s="88">
        <v>20</v>
      </c>
      <c r="I94" s="2">
        <f t="shared" si="28"/>
        <v>2009</v>
      </c>
      <c r="J94" s="42">
        <v>25000</v>
      </c>
      <c r="K94" s="42">
        <f t="shared" si="29"/>
        <v>104.16666666666667</v>
      </c>
      <c r="L94" s="42">
        <f t="shared" si="30"/>
        <v>0</v>
      </c>
      <c r="M94" s="93">
        <v>1</v>
      </c>
      <c r="N94" s="42">
        <f t="shared" si="31"/>
        <v>25000</v>
      </c>
      <c r="O94" s="42">
        <f t="shared" si="32"/>
        <v>25000</v>
      </c>
      <c r="P94" s="42">
        <f t="shared" si="33"/>
        <v>0</v>
      </c>
      <c r="Q94" s="91">
        <f t="shared" si="34"/>
        <v>1989.75</v>
      </c>
      <c r="R94" s="91">
        <f t="shared" si="35"/>
        <v>2022.75</v>
      </c>
      <c r="S94" s="91">
        <f t="shared" si="36"/>
        <v>2009.75</v>
      </c>
      <c r="T94" s="91">
        <f t="shared" si="37"/>
        <v>2021.75</v>
      </c>
    </row>
    <row r="95" spans="1:20" s="2" customFormat="1" ht="15" x14ac:dyDescent="0.25">
      <c r="A95" s="2">
        <v>14</v>
      </c>
      <c r="B95" s="2" t="s">
        <v>452</v>
      </c>
      <c r="D95" s="88">
        <v>1989</v>
      </c>
      <c r="E95" s="88">
        <v>10</v>
      </c>
      <c r="F95" s="92"/>
      <c r="G95" s="88" t="s">
        <v>381</v>
      </c>
      <c r="H95" s="88">
        <v>10</v>
      </c>
      <c r="I95" s="2">
        <f t="shared" si="28"/>
        <v>1999</v>
      </c>
      <c r="J95" s="42">
        <v>2500</v>
      </c>
      <c r="K95" s="42">
        <f t="shared" si="29"/>
        <v>20.833333333333332</v>
      </c>
      <c r="L95" s="42">
        <f t="shared" si="30"/>
        <v>0</v>
      </c>
      <c r="M95" s="93">
        <v>1</v>
      </c>
      <c r="N95" s="42">
        <f t="shared" si="31"/>
        <v>2500</v>
      </c>
      <c r="O95" s="42">
        <f t="shared" si="32"/>
        <v>2500</v>
      </c>
      <c r="P95" s="42">
        <f t="shared" si="33"/>
        <v>0</v>
      </c>
      <c r="Q95" s="91">
        <f t="shared" si="34"/>
        <v>1989.75</v>
      </c>
      <c r="R95" s="91">
        <f t="shared" si="35"/>
        <v>2022.75</v>
      </c>
      <c r="S95" s="91">
        <f t="shared" si="36"/>
        <v>1999.75</v>
      </c>
      <c r="T95" s="91">
        <f t="shared" si="37"/>
        <v>2021.75</v>
      </c>
    </row>
    <row r="96" spans="1:20" s="2" customFormat="1" ht="15" x14ac:dyDescent="0.25">
      <c r="A96" s="2">
        <v>15</v>
      </c>
      <c r="B96" s="2" t="s">
        <v>453</v>
      </c>
      <c r="D96" s="88">
        <v>1989</v>
      </c>
      <c r="E96" s="88">
        <v>10</v>
      </c>
      <c r="F96" s="92"/>
      <c r="G96" s="88" t="s">
        <v>381</v>
      </c>
      <c r="H96" s="88">
        <v>20</v>
      </c>
      <c r="I96" s="2">
        <f t="shared" si="28"/>
        <v>2009</v>
      </c>
      <c r="J96" s="42">
        <v>131110</v>
      </c>
      <c r="K96" s="42">
        <f t="shared" si="29"/>
        <v>546.29166666666663</v>
      </c>
      <c r="L96" s="42">
        <f t="shared" si="30"/>
        <v>0</v>
      </c>
      <c r="M96" s="93">
        <v>1</v>
      </c>
      <c r="N96" s="42">
        <f t="shared" si="31"/>
        <v>131110</v>
      </c>
      <c r="O96" s="42">
        <f t="shared" si="32"/>
        <v>131110</v>
      </c>
      <c r="P96" s="42">
        <f t="shared" si="33"/>
        <v>0</v>
      </c>
      <c r="Q96" s="91">
        <f t="shared" si="34"/>
        <v>1989.75</v>
      </c>
      <c r="R96" s="91">
        <f t="shared" si="35"/>
        <v>2022.75</v>
      </c>
      <c r="S96" s="91">
        <f t="shared" si="36"/>
        <v>2009.75</v>
      </c>
      <c r="T96" s="91">
        <f t="shared" si="37"/>
        <v>2021.75</v>
      </c>
    </row>
    <row r="97" spans="1:20" s="2" customFormat="1" ht="15" x14ac:dyDescent="0.25">
      <c r="A97" s="2">
        <v>16</v>
      </c>
      <c r="B97" s="2" t="s">
        <v>454</v>
      </c>
      <c r="D97" s="88">
        <v>1994</v>
      </c>
      <c r="E97" s="88">
        <v>4</v>
      </c>
      <c r="F97" s="92"/>
      <c r="G97" s="88" t="s">
        <v>381</v>
      </c>
      <c r="H97" s="88">
        <v>20</v>
      </c>
      <c r="I97" s="2">
        <f t="shared" si="28"/>
        <v>2014</v>
      </c>
      <c r="J97" s="42">
        <v>113974</v>
      </c>
      <c r="K97" s="42">
        <f t="shared" si="29"/>
        <v>474.89166666666665</v>
      </c>
      <c r="L97" s="42">
        <f t="shared" si="30"/>
        <v>0</v>
      </c>
      <c r="M97" s="93">
        <v>1</v>
      </c>
      <c r="N97" s="42">
        <f t="shared" si="31"/>
        <v>113974</v>
      </c>
      <c r="O97" s="42">
        <f t="shared" si="32"/>
        <v>113974</v>
      </c>
      <c r="P97" s="42">
        <f t="shared" si="33"/>
        <v>0</v>
      </c>
      <c r="Q97" s="91">
        <f t="shared" si="34"/>
        <v>1994.25</v>
      </c>
      <c r="R97" s="91">
        <f t="shared" si="35"/>
        <v>2022.75</v>
      </c>
      <c r="S97" s="91">
        <f t="shared" si="36"/>
        <v>2014.25</v>
      </c>
      <c r="T97" s="91">
        <f t="shared" si="37"/>
        <v>2021.75</v>
      </c>
    </row>
    <row r="98" spans="1:20" s="2" customFormat="1" ht="15" x14ac:dyDescent="0.25">
      <c r="A98" s="2">
        <v>17</v>
      </c>
      <c r="B98" s="2" t="s">
        <v>455</v>
      </c>
      <c r="D98" s="88">
        <v>1994</v>
      </c>
      <c r="E98" s="88">
        <v>10</v>
      </c>
      <c r="F98" s="92"/>
      <c r="G98" s="88" t="s">
        <v>381</v>
      </c>
      <c r="H98" s="88">
        <v>10</v>
      </c>
      <c r="I98" s="2">
        <f t="shared" si="28"/>
        <v>2004</v>
      </c>
      <c r="J98" s="42">
        <v>1440</v>
      </c>
      <c r="K98" s="42">
        <f t="shared" si="29"/>
        <v>12</v>
      </c>
      <c r="L98" s="42">
        <f t="shared" si="30"/>
        <v>0</v>
      </c>
      <c r="M98" s="93">
        <v>1</v>
      </c>
      <c r="N98" s="42">
        <f t="shared" si="31"/>
        <v>1440</v>
      </c>
      <c r="O98" s="42">
        <f t="shared" si="32"/>
        <v>1440</v>
      </c>
      <c r="P98" s="42">
        <f t="shared" si="33"/>
        <v>0</v>
      </c>
      <c r="Q98" s="91">
        <f t="shared" si="34"/>
        <v>1994.75</v>
      </c>
      <c r="R98" s="91">
        <f t="shared" si="35"/>
        <v>2022.75</v>
      </c>
      <c r="S98" s="91">
        <f t="shared" si="36"/>
        <v>2004.75</v>
      </c>
      <c r="T98" s="91">
        <f t="shared" si="37"/>
        <v>2021.75</v>
      </c>
    </row>
    <row r="99" spans="1:20" s="2" customFormat="1" ht="15" x14ac:dyDescent="0.25">
      <c r="A99" s="2">
        <v>18</v>
      </c>
      <c r="B99" s="2" t="s">
        <v>456</v>
      </c>
      <c r="D99" s="88">
        <v>1994</v>
      </c>
      <c r="E99" s="88">
        <v>11</v>
      </c>
      <c r="F99" s="92"/>
      <c r="G99" s="88" t="s">
        <v>381</v>
      </c>
      <c r="H99" s="88">
        <v>10</v>
      </c>
      <c r="I99" s="2">
        <f t="shared" si="28"/>
        <v>2004</v>
      </c>
      <c r="J99" s="42">
        <v>6783</v>
      </c>
      <c r="K99" s="42">
        <f t="shared" si="29"/>
        <v>56.524999999999999</v>
      </c>
      <c r="L99" s="42">
        <f t="shared" si="30"/>
        <v>0</v>
      </c>
      <c r="M99" s="93">
        <v>1</v>
      </c>
      <c r="N99" s="42">
        <f t="shared" si="31"/>
        <v>6783</v>
      </c>
      <c r="O99" s="42">
        <f t="shared" si="32"/>
        <v>6783</v>
      </c>
      <c r="P99" s="42">
        <f t="shared" si="33"/>
        <v>0</v>
      </c>
      <c r="Q99" s="91">
        <f t="shared" si="34"/>
        <v>1994.8333333333333</v>
      </c>
      <c r="R99" s="91">
        <f t="shared" si="35"/>
        <v>2022.75</v>
      </c>
      <c r="S99" s="91">
        <f t="shared" si="36"/>
        <v>2004.8333333333333</v>
      </c>
      <c r="T99" s="91">
        <f t="shared" si="37"/>
        <v>2021.75</v>
      </c>
    </row>
    <row r="100" spans="1:20" s="2" customFormat="1" ht="15" x14ac:dyDescent="0.25">
      <c r="A100" s="2">
        <v>21</v>
      </c>
      <c r="B100" s="2" t="s">
        <v>457</v>
      </c>
      <c r="D100" s="88">
        <v>1996</v>
      </c>
      <c r="E100" s="88">
        <v>10</v>
      </c>
      <c r="F100" s="92"/>
      <c r="G100" s="88" t="s">
        <v>381</v>
      </c>
      <c r="H100" s="88">
        <v>7</v>
      </c>
      <c r="I100" s="2">
        <f t="shared" si="28"/>
        <v>2003</v>
      </c>
      <c r="J100" s="42">
        <v>2182</v>
      </c>
      <c r="K100" s="42">
        <f t="shared" si="29"/>
        <v>25.976190476190478</v>
      </c>
      <c r="L100" s="42">
        <f t="shared" si="30"/>
        <v>0</v>
      </c>
      <c r="M100" s="93">
        <v>1</v>
      </c>
      <c r="N100" s="42">
        <f t="shared" si="31"/>
        <v>2182</v>
      </c>
      <c r="O100" s="42">
        <f t="shared" si="32"/>
        <v>2182</v>
      </c>
      <c r="P100" s="42">
        <f t="shared" si="33"/>
        <v>0</v>
      </c>
      <c r="Q100" s="91">
        <f t="shared" si="34"/>
        <v>1996.75</v>
      </c>
      <c r="R100" s="91">
        <f t="shared" si="35"/>
        <v>2022.75</v>
      </c>
      <c r="S100" s="91">
        <f t="shared" si="36"/>
        <v>2003.75</v>
      </c>
      <c r="T100" s="91">
        <f t="shared" si="37"/>
        <v>2021.75</v>
      </c>
    </row>
    <row r="101" spans="1:20" s="2" customFormat="1" ht="15" x14ac:dyDescent="0.25">
      <c r="A101" s="2">
        <v>22</v>
      </c>
      <c r="B101" s="2" t="s">
        <v>458</v>
      </c>
      <c r="D101" s="88">
        <v>1996</v>
      </c>
      <c r="E101" s="88">
        <v>10</v>
      </c>
      <c r="F101" s="92"/>
      <c r="G101" s="88" t="s">
        <v>381</v>
      </c>
      <c r="H101" s="88">
        <v>7</v>
      </c>
      <c r="I101" s="2">
        <f t="shared" si="28"/>
        <v>2003</v>
      </c>
      <c r="J101" s="42">
        <v>5140</v>
      </c>
      <c r="K101" s="42">
        <f t="shared" si="29"/>
        <v>61.190476190476197</v>
      </c>
      <c r="L101" s="42">
        <f t="shared" si="30"/>
        <v>0</v>
      </c>
      <c r="M101" s="93">
        <v>1</v>
      </c>
      <c r="N101" s="42">
        <f t="shared" si="31"/>
        <v>5140</v>
      </c>
      <c r="O101" s="42">
        <f t="shared" si="32"/>
        <v>5140</v>
      </c>
      <c r="P101" s="42">
        <f t="shared" si="33"/>
        <v>0</v>
      </c>
      <c r="Q101" s="91">
        <f t="shared" si="34"/>
        <v>1996.75</v>
      </c>
      <c r="R101" s="91">
        <f t="shared" si="35"/>
        <v>2022.75</v>
      </c>
      <c r="S101" s="91">
        <f t="shared" si="36"/>
        <v>2003.75</v>
      </c>
      <c r="T101" s="91">
        <f t="shared" si="37"/>
        <v>2021.75</v>
      </c>
    </row>
    <row r="102" spans="1:20" s="2" customFormat="1" ht="15" x14ac:dyDescent="0.25">
      <c r="A102" s="2">
        <v>23</v>
      </c>
      <c r="B102" s="2" t="s">
        <v>459</v>
      </c>
      <c r="D102" s="88">
        <v>1997</v>
      </c>
      <c r="E102" s="88">
        <v>9</v>
      </c>
      <c r="F102" s="92"/>
      <c r="G102" s="88" t="s">
        <v>381</v>
      </c>
      <c r="H102" s="88">
        <v>20</v>
      </c>
      <c r="I102" s="2">
        <f t="shared" si="28"/>
        <v>2017</v>
      </c>
      <c r="J102" s="42">
        <v>150000</v>
      </c>
      <c r="K102" s="42">
        <f t="shared" si="29"/>
        <v>625</v>
      </c>
      <c r="L102" s="42">
        <f t="shared" si="30"/>
        <v>0</v>
      </c>
      <c r="M102" s="93">
        <v>1</v>
      </c>
      <c r="N102" s="42">
        <f t="shared" si="31"/>
        <v>150000</v>
      </c>
      <c r="O102" s="42">
        <f t="shared" si="32"/>
        <v>150000</v>
      </c>
      <c r="P102" s="42">
        <f t="shared" si="33"/>
        <v>0</v>
      </c>
      <c r="Q102" s="91">
        <f t="shared" si="34"/>
        <v>1997.6666666666667</v>
      </c>
      <c r="R102" s="91">
        <f t="shared" si="35"/>
        <v>2022.75</v>
      </c>
      <c r="S102" s="91">
        <f t="shared" si="36"/>
        <v>2017.6666666666667</v>
      </c>
      <c r="T102" s="91">
        <f t="shared" si="37"/>
        <v>2021.75</v>
      </c>
    </row>
    <row r="103" spans="1:20" s="2" customFormat="1" ht="15" x14ac:dyDescent="0.25">
      <c r="A103" s="2">
        <v>24</v>
      </c>
      <c r="B103" s="2" t="s">
        <v>460</v>
      </c>
      <c r="D103" s="88">
        <v>1997</v>
      </c>
      <c r="E103" s="88">
        <v>9</v>
      </c>
      <c r="F103" s="92"/>
      <c r="G103" s="88" t="s">
        <v>381</v>
      </c>
      <c r="H103" s="88">
        <v>7</v>
      </c>
      <c r="I103" s="2">
        <f t="shared" si="28"/>
        <v>2004</v>
      </c>
      <c r="J103" s="42">
        <v>21689</v>
      </c>
      <c r="K103" s="42">
        <f t="shared" si="29"/>
        <v>258.20238095238096</v>
      </c>
      <c r="L103" s="42">
        <f t="shared" si="30"/>
        <v>0</v>
      </c>
      <c r="M103" s="93">
        <v>1</v>
      </c>
      <c r="N103" s="42">
        <f t="shared" si="31"/>
        <v>21689</v>
      </c>
      <c r="O103" s="42">
        <f t="shared" si="32"/>
        <v>21689</v>
      </c>
      <c r="P103" s="42">
        <f t="shared" si="33"/>
        <v>0</v>
      </c>
      <c r="Q103" s="91">
        <f t="shared" si="34"/>
        <v>1997.6666666666667</v>
      </c>
      <c r="R103" s="91">
        <f t="shared" si="35"/>
        <v>2022.75</v>
      </c>
      <c r="S103" s="91">
        <f t="shared" si="36"/>
        <v>2004.6666666666667</v>
      </c>
      <c r="T103" s="91">
        <f t="shared" si="37"/>
        <v>2021.75</v>
      </c>
    </row>
    <row r="104" spans="1:20" s="2" customFormat="1" ht="15" x14ac:dyDescent="0.25">
      <c r="A104" s="2">
        <v>25</v>
      </c>
      <c r="B104" s="2" t="s">
        <v>460</v>
      </c>
      <c r="D104" s="88">
        <v>1998</v>
      </c>
      <c r="E104" s="88">
        <v>3</v>
      </c>
      <c r="F104" s="92"/>
      <c r="G104" s="88" t="s">
        <v>381</v>
      </c>
      <c r="H104" s="88">
        <v>7</v>
      </c>
      <c r="I104" s="2">
        <f t="shared" si="28"/>
        <v>2005</v>
      </c>
      <c r="J104" s="42">
        <v>10066</v>
      </c>
      <c r="K104" s="42">
        <f t="shared" si="29"/>
        <v>119.83333333333333</v>
      </c>
      <c r="L104" s="42">
        <f t="shared" si="30"/>
        <v>0</v>
      </c>
      <c r="M104" s="93">
        <v>1</v>
      </c>
      <c r="N104" s="42">
        <f t="shared" si="31"/>
        <v>10066</v>
      </c>
      <c r="O104" s="42">
        <f t="shared" si="32"/>
        <v>10066</v>
      </c>
      <c r="P104" s="42">
        <f t="shared" si="33"/>
        <v>0</v>
      </c>
      <c r="Q104" s="91">
        <f t="shared" si="34"/>
        <v>1998.1666666666667</v>
      </c>
      <c r="R104" s="91">
        <f t="shared" si="35"/>
        <v>2022.75</v>
      </c>
      <c r="S104" s="91">
        <f t="shared" si="36"/>
        <v>2005.1666666666667</v>
      </c>
      <c r="T104" s="91">
        <f t="shared" si="37"/>
        <v>2021.75</v>
      </c>
    </row>
    <row r="105" spans="1:20" s="2" customFormat="1" ht="15" x14ac:dyDescent="0.25">
      <c r="A105" s="2">
        <v>27</v>
      </c>
      <c r="B105" s="2" t="s">
        <v>460</v>
      </c>
      <c r="D105" s="88">
        <v>1998</v>
      </c>
      <c r="E105" s="88">
        <v>9</v>
      </c>
      <c r="F105" s="92"/>
      <c r="G105" s="88" t="s">
        <v>381</v>
      </c>
      <c r="H105" s="88">
        <v>7</v>
      </c>
      <c r="I105" s="2">
        <f t="shared" si="28"/>
        <v>2005</v>
      </c>
      <c r="J105" s="42">
        <v>6087</v>
      </c>
      <c r="K105" s="42">
        <f t="shared" si="29"/>
        <v>72.464285714285708</v>
      </c>
      <c r="L105" s="42">
        <f t="shared" si="30"/>
        <v>0</v>
      </c>
      <c r="M105" s="93">
        <v>1</v>
      </c>
      <c r="N105" s="42">
        <f t="shared" si="31"/>
        <v>6087</v>
      </c>
      <c r="O105" s="42">
        <f t="shared" si="32"/>
        <v>6087</v>
      </c>
      <c r="P105" s="42">
        <f t="shared" si="33"/>
        <v>0</v>
      </c>
      <c r="Q105" s="91">
        <f t="shared" si="34"/>
        <v>1998.6666666666667</v>
      </c>
      <c r="R105" s="91">
        <f t="shared" si="35"/>
        <v>2022.75</v>
      </c>
      <c r="S105" s="91">
        <f t="shared" si="36"/>
        <v>2005.6666666666667</v>
      </c>
      <c r="T105" s="91">
        <f t="shared" si="37"/>
        <v>2021.75</v>
      </c>
    </row>
    <row r="106" spans="1:20" s="2" customFormat="1" ht="15" x14ac:dyDescent="0.25">
      <c r="A106" s="2">
        <v>28</v>
      </c>
      <c r="B106" s="2" t="s">
        <v>461</v>
      </c>
      <c r="D106" s="88">
        <v>1999</v>
      </c>
      <c r="E106" s="88">
        <v>1</v>
      </c>
      <c r="F106" s="92"/>
      <c r="G106" s="88" t="s">
        <v>381</v>
      </c>
      <c r="H106" s="88">
        <v>10</v>
      </c>
      <c r="I106" s="2">
        <f t="shared" si="28"/>
        <v>2009</v>
      </c>
      <c r="J106" s="42">
        <v>1518</v>
      </c>
      <c r="K106" s="42">
        <f t="shared" si="29"/>
        <v>12.65</v>
      </c>
      <c r="L106" s="42">
        <f t="shared" si="30"/>
        <v>0</v>
      </c>
      <c r="M106" s="93">
        <v>1</v>
      </c>
      <c r="N106" s="42">
        <f t="shared" si="31"/>
        <v>1518</v>
      </c>
      <c r="O106" s="42">
        <f t="shared" si="32"/>
        <v>1518</v>
      </c>
      <c r="P106" s="42">
        <f t="shared" si="33"/>
        <v>0</v>
      </c>
      <c r="Q106" s="91">
        <f t="shared" si="34"/>
        <v>1999</v>
      </c>
      <c r="R106" s="91">
        <f t="shared" si="35"/>
        <v>2022.75</v>
      </c>
      <c r="S106" s="91">
        <f t="shared" si="36"/>
        <v>2009</v>
      </c>
      <c r="T106" s="91">
        <f t="shared" si="37"/>
        <v>2021.75</v>
      </c>
    </row>
    <row r="107" spans="1:20" s="2" customFormat="1" ht="15" x14ac:dyDescent="0.25">
      <c r="A107" s="2">
        <v>29</v>
      </c>
      <c r="B107" s="2" t="s">
        <v>462</v>
      </c>
      <c r="D107" s="88">
        <v>1999</v>
      </c>
      <c r="E107" s="88">
        <v>5</v>
      </c>
      <c r="F107" s="92"/>
      <c r="G107" s="88" t="s">
        <v>381</v>
      </c>
      <c r="H107" s="88">
        <v>10</v>
      </c>
      <c r="I107" s="2">
        <f t="shared" si="28"/>
        <v>2009</v>
      </c>
      <c r="J107" s="42">
        <v>2288</v>
      </c>
      <c r="K107" s="42">
        <f t="shared" si="29"/>
        <v>19.066666666666666</v>
      </c>
      <c r="L107" s="42">
        <f t="shared" si="30"/>
        <v>0</v>
      </c>
      <c r="M107" s="93">
        <v>1</v>
      </c>
      <c r="N107" s="42">
        <f t="shared" si="31"/>
        <v>2288</v>
      </c>
      <c r="O107" s="42">
        <f t="shared" si="32"/>
        <v>2288</v>
      </c>
      <c r="P107" s="42">
        <f t="shared" si="33"/>
        <v>0</v>
      </c>
      <c r="Q107" s="91">
        <f t="shared" si="34"/>
        <v>1999.3333333333333</v>
      </c>
      <c r="R107" s="91">
        <f t="shared" si="35"/>
        <v>2022.75</v>
      </c>
      <c r="S107" s="91">
        <f t="shared" si="36"/>
        <v>2009.3333333333333</v>
      </c>
      <c r="T107" s="91">
        <f t="shared" si="37"/>
        <v>2021.75</v>
      </c>
    </row>
    <row r="108" spans="1:20" s="2" customFormat="1" ht="15" x14ac:dyDescent="0.25">
      <c r="A108" s="2">
        <v>30</v>
      </c>
      <c r="B108" s="2" t="s">
        <v>463</v>
      </c>
      <c r="D108" s="88">
        <v>1999</v>
      </c>
      <c r="E108" s="88">
        <v>8</v>
      </c>
      <c r="F108" s="92"/>
      <c r="G108" s="88" t="s">
        <v>381</v>
      </c>
      <c r="H108" s="88">
        <v>10</v>
      </c>
      <c r="I108" s="2">
        <f t="shared" si="28"/>
        <v>2009</v>
      </c>
      <c r="J108" s="42">
        <v>10000</v>
      </c>
      <c r="K108" s="42">
        <f t="shared" si="29"/>
        <v>83.333333333333329</v>
      </c>
      <c r="L108" s="42">
        <f t="shared" si="30"/>
        <v>0</v>
      </c>
      <c r="M108" s="93">
        <v>1</v>
      </c>
      <c r="N108" s="42">
        <f t="shared" si="31"/>
        <v>10000</v>
      </c>
      <c r="O108" s="42">
        <f t="shared" si="32"/>
        <v>10000</v>
      </c>
      <c r="P108" s="42">
        <f t="shared" si="33"/>
        <v>0</v>
      </c>
      <c r="Q108" s="91">
        <f t="shared" si="34"/>
        <v>1999.5833333333333</v>
      </c>
      <c r="R108" s="91">
        <f t="shared" si="35"/>
        <v>2022.75</v>
      </c>
      <c r="S108" s="91">
        <f t="shared" si="36"/>
        <v>2009.5833333333333</v>
      </c>
      <c r="T108" s="91">
        <f t="shared" si="37"/>
        <v>2021.75</v>
      </c>
    </row>
    <row r="109" spans="1:20" s="2" customFormat="1" ht="15" x14ac:dyDescent="0.25">
      <c r="A109" s="2">
        <v>31</v>
      </c>
      <c r="B109" s="2" t="s">
        <v>464</v>
      </c>
      <c r="D109" s="88">
        <v>1999</v>
      </c>
      <c r="E109" s="88">
        <v>11</v>
      </c>
      <c r="F109" s="92"/>
      <c r="G109" s="88" t="s">
        <v>381</v>
      </c>
      <c r="H109" s="88">
        <v>10</v>
      </c>
      <c r="I109" s="2">
        <f t="shared" si="28"/>
        <v>2009</v>
      </c>
      <c r="J109" s="42">
        <v>2252</v>
      </c>
      <c r="K109" s="42">
        <f t="shared" si="29"/>
        <v>18.766666666666666</v>
      </c>
      <c r="L109" s="42">
        <f t="shared" si="30"/>
        <v>0</v>
      </c>
      <c r="M109" s="93">
        <v>1</v>
      </c>
      <c r="N109" s="42">
        <f t="shared" si="31"/>
        <v>2252</v>
      </c>
      <c r="O109" s="42">
        <f t="shared" si="32"/>
        <v>2252</v>
      </c>
      <c r="P109" s="42">
        <f t="shared" si="33"/>
        <v>0</v>
      </c>
      <c r="Q109" s="91">
        <f t="shared" si="34"/>
        <v>1999.8333333333333</v>
      </c>
      <c r="R109" s="91">
        <f t="shared" si="35"/>
        <v>2022.75</v>
      </c>
      <c r="S109" s="91">
        <f t="shared" si="36"/>
        <v>2009.8333333333333</v>
      </c>
      <c r="T109" s="91">
        <f t="shared" si="37"/>
        <v>2021.75</v>
      </c>
    </row>
    <row r="110" spans="1:20" s="2" customFormat="1" ht="15" x14ac:dyDescent="0.25">
      <c r="A110" s="2">
        <v>32</v>
      </c>
      <c r="B110" s="2" t="s">
        <v>464</v>
      </c>
      <c r="D110" s="88">
        <v>1999</v>
      </c>
      <c r="E110" s="88">
        <v>11</v>
      </c>
      <c r="F110" s="92"/>
      <c r="G110" s="88" t="s">
        <v>381</v>
      </c>
      <c r="H110" s="88">
        <v>10</v>
      </c>
      <c r="I110" s="2">
        <f t="shared" si="28"/>
        <v>2009</v>
      </c>
      <c r="J110" s="42">
        <v>2254</v>
      </c>
      <c r="K110" s="42">
        <f t="shared" si="29"/>
        <v>18.783333333333335</v>
      </c>
      <c r="L110" s="42">
        <f t="shared" si="30"/>
        <v>0</v>
      </c>
      <c r="M110" s="93">
        <v>1</v>
      </c>
      <c r="N110" s="42">
        <f t="shared" si="31"/>
        <v>2254</v>
      </c>
      <c r="O110" s="42">
        <f t="shared" si="32"/>
        <v>2254</v>
      </c>
      <c r="P110" s="42">
        <f t="shared" si="33"/>
        <v>0</v>
      </c>
      <c r="Q110" s="91">
        <f t="shared" si="34"/>
        <v>1999.8333333333333</v>
      </c>
      <c r="R110" s="91">
        <f t="shared" si="35"/>
        <v>2022.75</v>
      </c>
      <c r="S110" s="91">
        <f t="shared" si="36"/>
        <v>2009.8333333333333</v>
      </c>
      <c r="T110" s="91">
        <f t="shared" si="37"/>
        <v>2021.75</v>
      </c>
    </row>
    <row r="111" spans="1:20" s="2" customFormat="1" ht="15" x14ac:dyDescent="0.25">
      <c r="A111" s="2">
        <v>33</v>
      </c>
      <c r="B111" s="2" t="s">
        <v>465</v>
      </c>
      <c r="D111" s="88">
        <v>2000</v>
      </c>
      <c r="E111" s="88">
        <v>3</v>
      </c>
      <c r="F111" s="92"/>
      <c r="G111" s="88" t="s">
        <v>381</v>
      </c>
      <c r="H111" s="88">
        <v>7</v>
      </c>
      <c r="I111" s="2">
        <f t="shared" si="28"/>
        <v>2007</v>
      </c>
      <c r="J111" s="42">
        <v>6000</v>
      </c>
      <c r="K111" s="42">
        <f t="shared" si="29"/>
        <v>71.428571428571431</v>
      </c>
      <c r="L111" s="42">
        <f t="shared" si="30"/>
        <v>0</v>
      </c>
      <c r="M111" s="93">
        <v>1</v>
      </c>
      <c r="N111" s="42">
        <f t="shared" si="31"/>
        <v>6000</v>
      </c>
      <c r="O111" s="42">
        <f t="shared" si="32"/>
        <v>6000</v>
      </c>
      <c r="P111" s="42">
        <f t="shared" si="33"/>
        <v>0</v>
      </c>
      <c r="Q111" s="91">
        <f t="shared" si="34"/>
        <v>2000.1666666666667</v>
      </c>
      <c r="R111" s="91">
        <f t="shared" si="35"/>
        <v>2022.75</v>
      </c>
      <c r="S111" s="91">
        <f t="shared" si="36"/>
        <v>2007.1666666666667</v>
      </c>
      <c r="T111" s="91">
        <f t="shared" si="37"/>
        <v>2021.75</v>
      </c>
    </row>
    <row r="112" spans="1:20" s="2" customFormat="1" ht="15" x14ac:dyDescent="0.25">
      <c r="A112" s="2">
        <v>34</v>
      </c>
      <c r="B112" s="2" t="s">
        <v>466</v>
      </c>
      <c r="D112" s="88">
        <v>2000</v>
      </c>
      <c r="E112" s="88">
        <v>5</v>
      </c>
      <c r="F112" s="92"/>
      <c r="G112" s="88" t="s">
        <v>381</v>
      </c>
      <c r="H112" s="88">
        <v>7</v>
      </c>
      <c r="I112" s="2">
        <f t="shared" si="28"/>
        <v>2007</v>
      </c>
      <c r="J112" s="42">
        <v>1904</v>
      </c>
      <c r="K112" s="42">
        <f t="shared" si="29"/>
        <v>22.666666666666668</v>
      </c>
      <c r="L112" s="42">
        <f t="shared" si="30"/>
        <v>0</v>
      </c>
      <c r="M112" s="93">
        <v>1</v>
      </c>
      <c r="N112" s="42">
        <f t="shared" si="31"/>
        <v>1904</v>
      </c>
      <c r="O112" s="42">
        <f t="shared" si="32"/>
        <v>1904</v>
      </c>
      <c r="P112" s="42">
        <f t="shared" si="33"/>
        <v>0</v>
      </c>
      <c r="Q112" s="91">
        <f t="shared" si="34"/>
        <v>2000.3333333333333</v>
      </c>
      <c r="R112" s="91">
        <f t="shared" si="35"/>
        <v>2022.75</v>
      </c>
      <c r="S112" s="91">
        <f t="shared" si="36"/>
        <v>2007.3333333333333</v>
      </c>
      <c r="T112" s="91">
        <f t="shared" si="37"/>
        <v>2021.75</v>
      </c>
    </row>
    <row r="113" spans="1:20" s="2" customFormat="1" ht="15" x14ac:dyDescent="0.25">
      <c r="A113" s="2">
        <v>35</v>
      </c>
      <c r="B113" s="2" t="s">
        <v>467</v>
      </c>
      <c r="D113" s="88">
        <v>2000</v>
      </c>
      <c r="E113" s="88">
        <v>6</v>
      </c>
      <c r="F113" s="92"/>
      <c r="G113" s="88" t="s">
        <v>381</v>
      </c>
      <c r="H113" s="88">
        <v>7</v>
      </c>
      <c r="I113" s="2">
        <f t="shared" si="28"/>
        <v>2007</v>
      </c>
      <c r="J113" s="42">
        <v>2891</v>
      </c>
      <c r="K113" s="42">
        <f t="shared" si="29"/>
        <v>34.416666666666664</v>
      </c>
      <c r="L113" s="42">
        <f t="shared" si="30"/>
        <v>0</v>
      </c>
      <c r="M113" s="93">
        <v>1</v>
      </c>
      <c r="N113" s="42">
        <f t="shared" si="31"/>
        <v>2891</v>
      </c>
      <c r="O113" s="42">
        <f t="shared" si="32"/>
        <v>2891</v>
      </c>
      <c r="P113" s="42">
        <f t="shared" si="33"/>
        <v>0</v>
      </c>
      <c r="Q113" s="91">
        <f t="shared" si="34"/>
        <v>2000.4166666666667</v>
      </c>
      <c r="R113" s="91">
        <f t="shared" si="35"/>
        <v>2022.75</v>
      </c>
      <c r="S113" s="91">
        <f t="shared" si="36"/>
        <v>2007.4166666666667</v>
      </c>
      <c r="T113" s="91">
        <f t="shared" si="37"/>
        <v>2021.75</v>
      </c>
    </row>
    <row r="114" spans="1:20" s="2" customFormat="1" ht="15" x14ac:dyDescent="0.25">
      <c r="A114" s="2">
        <v>36</v>
      </c>
      <c r="B114" s="2" t="s">
        <v>468</v>
      </c>
      <c r="D114" s="88">
        <v>2000</v>
      </c>
      <c r="E114" s="88">
        <v>6</v>
      </c>
      <c r="F114" s="92"/>
      <c r="G114" s="88" t="s">
        <v>381</v>
      </c>
      <c r="H114" s="88">
        <v>7</v>
      </c>
      <c r="I114" s="2">
        <f t="shared" si="28"/>
        <v>2007</v>
      </c>
      <c r="J114" s="42">
        <v>23835</v>
      </c>
      <c r="K114" s="42">
        <f t="shared" si="29"/>
        <v>283.75</v>
      </c>
      <c r="L114" s="42">
        <f t="shared" si="30"/>
        <v>0</v>
      </c>
      <c r="M114" s="93">
        <v>1</v>
      </c>
      <c r="N114" s="42">
        <f t="shared" si="31"/>
        <v>23835</v>
      </c>
      <c r="O114" s="42">
        <f t="shared" si="32"/>
        <v>23835</v>
      </c>
      <c r="P114" s="42">
        <f t="shared" si="33"/>
        <v>0</v>
      </c>
      <c r="Q114" s="91">
        <f t="shared" si="34"/>
        <v>2000.4166666666667</v>
      </c>
      <c r="R114" s="91">
        <f t="shared" si="35"/>
        <v>2022.75</v>
      </c>
      <c r="S114" s="91">
        <f t="shared" si="36"/>
        <v>2007.4166666666667</v>
      </c>
      <c r="T114" s="91">
        <f t="shared" si="37"/>
        <v>2021.75</v>
      </c>
    </row>
    <row r="115" spans="1:20" s="2" customFormat="1" ht="15" x14ac:dyDescent="0.25">
      <c r="A115" s="2">
        <v>37</v>
      </c>
      <c r="B115" s="2" t="s">
        <v>469</v>
      </c>
      <c r="D115" s="88">
        <v>2000</v>
      </c>
      <c r="E115" s="88">
        <v>6</v>
      </c>
      <c r="F115" s="92"/>
      <c r="G115" s="88" t="s">
        <v>381</v>
      </c>
      <c r="H115" s="88">
        <v>7</v>
      </c>
      <c r="I115" s="2">
        <f t="shared" si="28"/>
        <v>2007</v>
      </c>
      <c r="J115" s="42">
        <v>12903</v>
      </c>
      <c r="K115" s="42">
        <f t="shared" si="29"/>
        <v>153.60714285714286</v>
      </c>
      <c r="L115" s="42">
        <f t="shared" si="30"/>
        <v>0</v>
      </c>
      <c r="M115" s="93">
        <v>1</v>
      </c>
      <c r="N115" s="42">
        <f t="shared" si="31"/>
        <v>12903</v>
      </c>
      <c r="O115" s="42">
        <f t="shared" si="32"/>
        <v>12903</v>
      </c>
      <c r="P115" s="42">
        <f t="shared" si="33"/>
        <v>0</v>
      </c>
      <c r="Q115" s="91">
        <f t="shared" si="34"/>
        <v>2000.4166666666667</v>
      </c>
      <c r="R115" s="91">
        <f t="shared" si="35"/>
        <v>2022.75</v>
      </c>
      <c r="S115" s="91">
        <f t="shared" si="36"/>
        <v>2007.4166666666667</v>
      </c>
      <c r="T115" s="91">
        <f t="shared" si="37"/>
        <v>2021.75</v>
      </c>
    </row>
    <row r="116" spans="1:20" s="2" customFormat="1" ht="15" x14ac:dyDescent="0.25">
      <c r="A116" s="2">
        <v>38</v>
      </c>
      <c r="B116" s="2" t="s">
        <v>470</v>
      </c>
      <c r="D116" s="88">
        <v>2000</v>
      </c>
      <c r="E116" s="88">
        <v>8</v>
      </c>
      <c r="F116" s="92"/>
      <c r="G116" s="88" t="s">
        <v>381</v>
      </c>
      <c r="H116" s="88">
        <v>7</v>
      </c>
      <c r="I116" s="2">
        <f t="shared" si="28"/>
        <v>2007</v>
      </c>
      <c r="J116" s="42">
        <v>2136</v>
      </c>
      <c r="K116" s="42">
        <f t="shared" si="29"/>
        <v>25.428571428571431</v>
      </c>
      <c r="L116" s="42">
        <f t="shared" si="30"/>
        <v>0</v>
      </c>
      <c r="M116" s="93">
        <v>1</v>
      </c>
      <c r="N116" s="42">
        <f t="shared" si="31"/>
        <v>2136</v>
      </c>
      <c r="O116" s="42">
        <f t="shared" si="32"/>
        <v>2136</v>
      </c>
      <c r="P116" s="42">
        <f t="shared" si="33"/>
        <v>0</v>
      </c>
      <c r="Q116" s="91">
        <f t="shared" si="34"/>
        <v>2000.5833333333333</v>
      </c>
      <c r="R116" s="91">
        <f t="shared" si="35"/>
        <v>2022.75</v>
      </c>
      <c r="S116" s="91">
        <f t="shared" si="36"/>
        <v>2007.5833333333333</v>
      </c>
      <c r="T116" s="91">
        <f t="shared" si="37"/>
        <v>2021.75</v>
      </c>
    </row>
    <row r="117" spans="1:20" s="2" customFormat="1" ht="15" x14ac:dyDescent="0.25">
      <c r="A117" s="2">
        <v>39</v>
      </c>
      <c r="B117" s="2" t="s">
        <v>471</v>
      </c>
      <c r="D117" s="88">
        <v>2000</v>
      </c>
      <c r="E117" s="88">
        <v>9</v>
      </c>
      <c r="F117" s="92"/>
      <c r="G117" s="88" t="s">
        <v>381</v>
      </c>
      <c r="H117" s="88">
        <v>7</v>
      </c>
      <c r="I117" s="2">
        <f t="shared" si="28"/>
        <v>2007</v>
      </c>
      <c r="J117" s="42">
        <v>2948</v>
      </c>
      <c r="K117" s="42">
        <f t="shared" si="29"/>
        <v>35.095238095238095</v>
      </c>
      <c r="L117" s="42">
        <f t="shared" si="30"/>
        <v>0</v>
      </c>
      <c r="M117" s="93">
        <v>1</v>
      </c>
      <c r="N117" s="42">
        <f t="shared" si="31"/>
        <v>2948</v>
      </c>
      <c r="O117" s="42">
        <f t="shared" si="32"/>
        <v>2948</v>
      </c>
      <c r="P117" s="42">
        <f t="shared" si="33"/>
        <v>0</v>
      </c>
      <c r="Q117" s="91">
        <f t="shared" si="34"/>
        <v>2000.6666666666667</v>
      </c>
      <c r="R117" s="91">
        <f t="shared" si="35"/>
        <v>2022.75</v>
      </c>
      <c r="S117" s="91">
        <f t="shared" si="36"/>
        <v>2007.6666666666667</v>
      </c>
      <c r="T117" s="91">
        <f t="shared" si="37"/>
        <v>2021.75</v>
      </c>
    </row>
    <row r="118" spans="1:20" s="2" customFormat="1" ht="15" x14ac:dyDescent="0.25">
      <c r="A118" s="2">
        <v>40</v>
      </c>
      <c r="B118" s="2" t="s">
        <v>472</v>
      </c>
      <c r="D118" s="88">
        <v>2000</v>
      </c>
      <c r="E118" s="88">
        <v>9</v>
      </c>
      <c r="F118" s="92"/>
      <c r="G118" s="88" t="s">
        <v>381</v>
      </c>
      <c r="H118" s="88">
        <v>7</v>
      </c>
      <c r="I118" s="2">
        <f t="shared" si="28"/>
        <v>2007</v>
      </c>
      <c r="J118" s="42">
        <v>3500</v>
      </c>
      <c r="K118" s="42">
        <f t="shared" si="29"/>
        <v>41.666666666666664</v>
      </c>
      <c r="L118" s="42">
        <f t="shared" si="30"/>
        <v>0</v>
      </c>
      <c r="M118" s="93">
        <v>1</v>
      </c>
      <c r="N118" s="42">
        <f t="shared" si="31"/>
        <v>3500</v>
      </c>
      <c r="O118" s="42">
        <f t="shared" si="32"/>
        <v>3500</v>
      </c>
      <c r="P118" s="42">
        <f t="shared" si="33"/>
        <v>0</v>
      </c>
      <c r="Q118" s="91">
        <f t="shared" si="34"/>
        <v>2000.6666666666667</v>
      </c>
      <c r="R118" s="91">
        <f t="shared" si="35"/>
        <v>2022.75</v>
      </c>
      <c r="S118" s="91">
        <f t="shared" si="36"/>
        <v>2007.6666666666667</v>
      </c>
      <c r="T118" s="91">
        <f t="shared" si="37"/>
        <v>2021.75</v>
      </c>
    </row>
    <row r="119" spans="1:20" s="2" customFormat="1" ht="15" x14ac:dyDescent="0.25">
      <c r="A119" s="2">
        <v>41</v>
      </c>
      <c r="B119" s="2" t="s">
        <v>473</v>
      </c>
      <c r="D119" s="88">
        <v>2000</v>
      </c>
      <c r="E119" s="88">
        <v>10</v>
      </c>
      <c r="F119" s="92"/>
      <c r="G119" s="88" t="s">
        <v>381</v>
      </c>
      <c r="H119" s="88">
        <v>7</v>
      </c>
      <c r="I119" s="2">
        <f t="shared" si="28"/>
        <v>2007</v>
      </c>
      <c r="J119" s="42">
        <v>2553</v>
      </c>
      <c r="K119" s="42">
        <f t="shared" si="29"/>
        <v>30.392857142857142</v>
      </c>
      <c r="L119" s="42">
        <f t="shared" si="30"/>
        <v>0</v>
      </c>
      <c r="M119" s="93">
        <v>1</v>
      </c>
      <c r="N119" s="42">
        <f t="shared" si="31"/>
        <v>2553</v>
      </c>
      <c r="O119" s="42">
        <f t="shared" si="32"/>
        <v>2553</v>
      </c>
      <c r="P119" s="42">
        <f t="shared" si="33"/>
        <v>0</v>
      </c>
      <c r="Q119" s="91">
        <f t="shared" si="34"/>
        <v>2000.75</v>
      </c>
      <c r="R119" s="91">
        <f t="shared" si="35"/>
        <v>2022.75</v>
      </c>
      <c r="S119" s="91">
        <f t="shared" si="36"/>
        <v>2007.75</v>
      </c>
      <c r="T119" s="91">
        <f t="shared" si="37"/>
        <v>2021.75</v>
      </c>
    </row>
    <row r="120" spans="1:20" s="2" customFormat="1" ht="15" x14ac:dyDescent="0.25">
      <c r="A120" s="2">
        <v>42</v>
      </c>
      <c r="B120" s="2" t="s">
        <v>474</v>
      </c>
      <c r="D120" s="88">
        <v>2000</v>
      </c>
      <c r="E120" s="88">
        <v>10</v>
      </c>
      <c r="F120" s="92"/>
      <c r="G120" s="88" t="s">
        <v>381</v>
      </c>
      <c r="H120" s="88">
        <v>7</v>
      </c>
      <c r="I120" s="2">
        <f t="shared" si="28"/>
        <v>2007</v>
      </c>
      <c r="J120" s="42">
        <v>6473</v>
      </c>
      <c r="K120" s="42">
        <f t="shared" si="29"/>
        <v>77.05952380952381</v>
      </c>
      <c r="L120" s="42">
        <f t="shared" si="30"/>
        <v>0</v>
      </c>
      <c r="M120" s="93">
        <v>1</v>
      </c>
      <c r="N120" s="42">
        <f t="shared" si="31"/>
        <v>6473</v>
      </c>
      <c r="O120" s="42">
        <f t="shared" si="32"/>
        <v>6473</v>
      </c>
      <c r="P120" s="42">
        <f t="shared" si="33"/>
        <v>0</v>
      </c>
      <c r="Q120" s="91">
        <f t="shared" si="34"/>
        <v>2000.75</v>
      </c>
      <c r="R120" s="91">
        <f t="shared" si="35"/>
        <v>2022.75</v>
      </c>
      <c r="S120" s="91">
        <f t="shared" si="36"/>
        <v>2007.75</v>
      </c>
      <c r="T120" s="91">
        <f t="shared" si="37"/>
        <v>2021.75</v>
      </c>
    </row>
    <row r="121" spans="1:20" s="2" customFormat="1" ht="15" x14ac:dyDescent="0.25">
      <c r="A121" s="2">
        <v>43</v>
      </c>
      <c r="B121" s="2" t="s">
        <v>475</v>
      </c>
      <c r="D121" s="88">
        <v>2000</v>
      </c>
      <c r="E121" s="88">
        <v>11</v>
      </c>
      <c r="F121" s="92"/>
      <c r="G121" s="88" t="s">
        <v>381</v>
      </c>
      <c r="H121" s="88">
        <v>10</v>
      </c>
      <c r="I121" s="2">
        <f t="shared" si="28"/>
        <v>2010</v>
      </c>
      <c r="J121" s="42">
        <v>115000</v>
      </c>
      <c r="K121" s="42">
        <f t="shared" si="29"/>
        <v>958.33333333333337</v>
      </c>
      <c r="L121" s="42">
        <f t="shared" si="30"/>
        <v>0</v>
      </c>
      <c r="M121" s="93">
        <v>1</v>
      </c>
      <c r="N121" s="42">
        <f t="shared" si="31"/>
        <v>115000</v>
      </c>
      <c r="O121" s="42">
        <f t="shared" si="32"/>
        <v>115000</v>
      </c>
      <c r="P121" s="42">
        <f t="shared" si="33"/>
        <v>0</v>
      </c>
      <c r="Q121" s="91">
        <f t="shared" si="34"/>
        <v>2000.8333333333333</v>
      </c>
      <c r="R121" s="91">
        <f t="shared" si="35"/>
        <v>2022.75</v>
      </c>
      <c r="S121" s="91">
        <f t="shared" si="36"/>
        <v>2010.8333333333333</v>
      </c>
      <c r="T121" s="91">
        <f t="shared" si="37"/>
        <v>2021.75</v>
      </c>
    </row>
    <row r="122" spans="1:20" s="2" customFormat="1" ht="15" x14ac:dyDescent="0.25">
      <c r="A122" s="2">
        <v>44</v>
      </c>
      <c r="B122" s="2" t="s">
        <v>476</v>
      </c>
      <c r="D122" s="88">
        <v>2001</v>
      </c>
      <c r="E122" s="88">
        <v>2</v>
      </c>
      <c r="F122" s="92"/>
      <c r="G122" s="88" t="s">
        <v>381</v>
      </c>
      <c r="H122" s="88">
        <v>10</v>
      </c>
      <c r="I122" s="2">
        <f t="shared" si="28"/>
        <v>2011</v>
      </c>
      <c r="J122" s="42">
        <v>11145</v>
      </c>
      <c r="K122" s="42">
        <f t="shared" si="29"/>
        <v>92.875</v>
      </c>
      <c r="L122" s="42">
        <f t="shared" si="30"/>
        <v>0</v>
      </c>
      <c r="M122" s="93">
        <v>1</v>
      </c>
      <c r="N122" s="42">
        <f t="shared" si="31"/>
        <v>11145</v>
      </c>
      <c r="O122" s="42">
        <f t="shared" si="32"/>
        <v>11145</v>
      </c>
      <c r="P122" s="42">
        <f t="shared" si="33"/>
        <v>0</v>
      </c>
      <c r="Q122" s="91">
        <f t="shared" si="34"/>
        <v>2001.0833333333333</v>
      </c>
      <c r="R122" s="91">
        <f t="shared" si="35"/>
        <v>2022.75</v>
      </c>
      <c r="S122" s="91">
        <f t="shared" si="36"/>
        <v>2011.0833333333333</v>
      </c>
      <c r="T122" s="91">
        <f t="shared" si="37"/>
        <v>2021.75</v>
      </c>
    </row>
    <row r="123" spans="1:20" s="2" customFormat="1" ht="15" x14ac:dyDescent="0.25">
      <c r="A123" s="2">
        <v>45</v>
      </c>
      <c r="B123" s="2" t="s">
        <v>477</v>
      </c>
      <c r="D123" s="88">
        <v>2001</v>
      </c>
      <c r="E123" s="88">
        <v>2</v>
      </c>
      <c r="F123" s="92"/>
      <c r="G123" s="88" t="s">
        <v>381</v>
      </c>
      <c r="H123" s="88">
        <v>10</v>
      </c>
      <c r="I123" s="2">
        <f t="shared" si="28"/>
        <v>2011</v>
      </c>
      <c r="J123" s="42">
        <v>3500</v>
      </c>
      <c r="K123" s="42">
        <f t="shared" si="29"/>
        <v>29.166666666666668</v>
      </c>
      <c r="L123" s="42">
        <f t="shared" si="30"/>
        <v>0</v>
      </c>
      <c r="M123" s="93">
        <v>1</v>
      </c>
      <c r="N123" s="42">
        <f t="shared" si="31"/>
        <v>3500</v>
      </c>
      <c r="O123" s="42">
        <f t="shared" si="32"/>
        <v>3500</v>
      </c>
      <c r="P123" s="42">
        <f t="shared" si="33"/>
        <v>0</v>
      </c>
      <c r="Q123" s="91">
        <f t="shared" si="34"/>
        <v>2001.0833333333333</v>
      </c>
      <c r="R123" s="91">
        <f t="shared" si="35"/>
        <v>2022.75</v>
      </c>
      <c r="S123" s="91">
        <f t="shared" si="36"/>
        <v>2011.0833333333333</v>
      </c>
      <c r="T123" s="91">
        <f t="shared" si="37"/>
        <v>2021.75</v>
      </c>
    </row>
    <row r="124" spans="1:20" s="2" customFormat="1" ht="15" x14ac:dyDescent="0.25">
      <c r="A124" s="2">
        <v>46</v>
      </c>
      <c r="B124" s="2" t="s">
        <v>478</v>
      </c>
      <c r="D124" s="88">
        <v>2001</v>
      </c>
      <c r="E124" s="88">
        <v>11</v>
      </c>
      <c r="F124" s="92"/>
      <c r="G124" s="88" t="s">
        <v>381</v>
      </c>
      <c r="H124" s="88">
        <v>10</v>
      </c>
      <c r="I124" s="2">
        <f t="shared" si="28"/>
        <v>2011</v>
      </c>
      <c r="J124" s="42">
        <v>3000</v>
      </c>
      <c r="K124" s="42">
        <f t="shared" si="29"/>
        <v>25</v>
      </c>
      <c r="L124" s="42">
        <f t="shared" si="30"/>
        <v>0</v>
      </c>
      <c r="M124" s="93">
        <v>1</v>
      </c>
      <c r="N124" s="42">
        <f t="shared" si="31"/>
        <v>3000</v>
      </c>
      <c r="O124" s="42">
        <f t="shared" si="32"/>
        <v>3000</v>
      </c>
      <c r="P124" s="42">
        <f t="shared" si="33"/>
        <v>0</v>
      </c>
      <c r="Q124" s="91">
        <f t="shared" si="34"/>
        <v>2001.8333333333333</v>
      </c>
      <c r="R124" s="91">
        <f t="shared" si="35"/>
        <v>2022.75</v>
      </c>
      <c r="S124" s="91">
        <f t="shared" si="36"/>
        <v>2011.8333333333333</v>
      </c>
      <c r="T124" s="91">
        <f t="shared" si="37"/>
        <v>2021.75</v>
      </c>
    </row>
    <row r="125" spans="1:20" s="2" customFormat="1" ht="15" x14ac:dyDescent="0.25">
      <c r="A125" s="2">
        <v>47</v>
      </c>
      <c r="B125" s="2" t="s">
        <v>479</v>
      </c>
      <c r="D125" s="88">
        <v>2001</v>
      </c>
      <c r="E125" s="88">
        <v>11</v>
      </c>
      <c r="F125" s="92"/>
      <c r="G125" s="88" t="s">
        <v>381</v>
      </c>
      <c r="H125" s="88">
        <v>10</v>
      </c>
      <c r="I125" s="2">
        <f t="shared" si="28"/>
        <v>2011</v>
      </c>
      <c r="J125" s="42">
        <v>1298</v>
      </c>
      <c r="K125" s="42">
        <f t="shared" si="29"/>
        <v>10.816666666666668</v>
      </c>
      <c r="L125" s="42">
        <f t="shared" si="30"/>
        <v>0</v>
      </c>
      <c r="M125" s="93">
        <v>1</v>
      </c>
      <c r="N125" s="42">
        <f t="shared" si="31"/>
        <v>1298</v>
      </c>
      <c r="O125" s="42">
        <f t="shared" si="32"/>
        <v>1298</v>
      </c>
      <c r="P125" s="42">
        <f t="shared" si="33"/>
        <v>0</v>
      </c>
      <c r="Q125" s="91">
        <f t="shared" si="34"/>
        <v>2001.8333333333333</v>
      </c>
      <c r="R125" s="91">
        <f t="shared" si="35"/>
        <v>2022.75</v>
      </c>
      <c r="S125" s="91">
        <f t="shared" si="36"/>
        <v>2011.8333333333333</v>
      </c>
      <c r="T125" s="91">
        <f t="shared" si="37"/>
        <v>2021.75</v>
      </c>
    </row>
    <row r="126" spans="1:20" s="2" customFormat="1" ht="15" x14ac:dyDescent="0.25">
      <c r="A126" s="2">
        <v>48</v>
      </c>
      <c r="B126" s="2" t="s">
        <v>480</v>
      </c>
      <c r="D126" s="88">
        <v>2002</v>
      </c>
      <c r="E126" s="88">
        <v>2</v>
      </c>
      <c r="F126" s="92"/>
      <c r="G126" s="88" t="s">
        <v>381</v>
      </c>
      <c r="H126" s="88">
        <v>5</v>
      </c>
      <c r="I126" s="2">
        <f t="shared" si="28"/>
        <v>2007</v>
      </c>
      <c r="J126" s="42">
        <v>1840</v>
      </c>
      <c r="K126" s="42">
        <f t="shared" si="29"/>
        <v>30.666666666666668</v>
      </c>
      <c r="L126" s="42">
        <f t="shared" si="30"/>
        <v>0</v>
      </c>
      <c r="M126" s="93">
        <v>1</v>
      </c>
      <c r="N126" s="42">
        <f t="shared" si="31"/>
        <v>1840</v>
      </c>
      <c r="O126" s="42">
        <f t="shared" si="32"/>
        <v>1840</v>
      </c>
      <c r="P126" s="42">
        <f t="shared" si="33"/>
        <v>0</v>
      </c>
      <c r="Q126" s="91">
        <f t="shared" si="34"/>
        <v>2002.0833333333333</v>
      </c>
      <c r="R126" s="91">
        <f t="shared" si="35"/>
        <v>2022.75</v>
      </c>
      <c r="S126" s="91">
        <f t="shared" si="36"/>
        <v>2007.0833333333333</v>
      </c>
      <c r="T126" s="91">
        <f t="shared" si="37"/>
        <v>2021.75</v>
      </c>
    </row>
    <row r="127" spans="1:20" s="2" customFormat="1" ht="15" x14ac:dyDescent="0.25">
      <c r="A127" s="2">
        <v>49</v>
      </c>
      <c r="B127" s="2" t="s">
        <v>481</v>
      </c>
      <c r="D127" s="88">
        <v>2002</v>
      </c>
      <c r="E127" s="88">
        <v>7</v>
      </c>
      <c r="F127" s="92"/>
      <c r="G127" s="88" t="s">
        <v>381</v>
      </c>
      <c r="H127" s="88">
        <v>5</v>
      </c>
      <c r="I127" s="2">
        <f t="shared" si="28"/>
        <v>2007</v>
      </c>
      <c r="J127" s="42">
        <v>2848</v>
      </c>
      <c r="K127" s="42">
        <f t="shared" si="29"/>
        <v>47.466666666666669</v>
      </c>
      <c r="L127" s="42">
        <f t="shared" si="30"/>
        <v>0</v>
      </c>
      <c r="M127" s="93">
        <v>1</v>
      </c>
      <c r="N127" s="42">
        <f t="shared" si="31"/>
        <v>2848</v>
      </c>
      <c r="O127" s="42">
        <f t="shared" si="32"/>
        <v>2848</v>
      </c>
      <c r="P127" s="42">
        <f t="shared" si="33"/>
        <v>0</v>
      </c>
      <c r="Q127" s="91">
        <f t="shared" si="34"/>
        <v>2002.5</v>
      </c>
      <c r="R127" s="91">
        <f t="shared" si="35"/>
        <v>2022.75</v>
      </c>
      <c r="S127" s="91">
        <f t="shared" si="36"/>
        <v>2007.5</v>
      </c>
      <c r="T127" s="91">
        <f t="shared" si="37"/>
        <v>2021.75</v>
      </c>
    </row>
    <row r="128" spans="1:20" s="2" customFormat="1" ht="15" x14ac:dyDescent="0.25">
      <c r="A128" s="2">
        <v>50</v>
      </c>
      <c r="B128" s="2" t="s">
        <v>482</v>
      </c>
      <c r="D128" s="88">
        <v>2002</v>
      </c>
      <c r="E128" s="88">
        <v>7</v>
      </c>
      <c r="F128" s="92"/>
      <c r="G128" s="88" t="s">
        <v>381</v>
      </c>
      <c r="H128" s="88">
        <v>5</v>
      </c>
      <c r="I128" s="2">
        <f t="shared" si="28"/>
        <v>2007</v>
      </c>
      <c r="J128" s="42">
        <v>1513</v>
      </c>
      <c r="K128" s="42">
        <f t="shared" si="29"/>
        <v>25.216666666666669</v>
      </c>
      <c r="L128" s="42">
        <f t="shared" si="30"/>
        <v>0</v>
      </c>
      <c r="M128" s="93">
        <v>1</v>
      </c>
      <c r="N128" s="42">
        <f t="shared" si="31"/>
        <v>1513</v>
      </c>
      <c r="O128" s="42">
        <f t="shared" si="32"/>
        <v>1513</v>
      </c>
      <c r="P128" s="42">
        <f t="shared" si="33"/>
        <v>0</v>
      </c>
      <c r="Q128" s="91">
        <f t="shared" si="34"/>
        <v>2002.5</v>
      </c>
      <c r="R128" s="91">
        <f t="shared" si="35"/>
        <v>2022.75</v>
      </c>
      <c r="S128" s="91">
        <f t="shared" si="36"/>
        <v>2007.5</v>
      </c>
      <c r="T128" s="91">
        <f t="shared" si="37"/>
        <v>2021.75</v>
      </c>
    </row>
    <row r="129" spans="1:20" s="2" customFormat="1" ht="15" x14ac:dyDescent="0.25">
      <c r="A129" s="2">
        <v>51</v>
      </c>
      <c r="B129" s="2" t="s">
        <v>483</v>
      </c>
      <c r="D129" s="88">
        <v>2002</v>
      </c>
      <c r="E129" s="88">
        <v>9</v>
      </c>
      <c r="F129" s="92"/>
      <c r="G129" s="88" t="s">
        <v>381</v>
      </c>
      <c r="H129" s="88">
        <v>5</v>
      </c>
      <c r="I129" s="2">
        <f t="shared" si="28"/>
        <v>2007</v>
      </c>
      <c r="J129" s="42">
        <v>13982</v>
      </c>
      <c r="K129" s="42">
        <f t="shared" si="29"/>
        <v>233.03333333333333</v>
      </c>
      <c r="L129" s="42">
        <f t="shared" si="30"/>
        <v>0</v>
      </c>
      <c r="M129" s="93">
        <v>1</v>
      </c>
      <c r="N129" s="42">
        <f t="shared" si="31"/>
        <v>13982</v>
      </c>
      <c r="O129" s="42">
        <f t="shared" si="32"/>
        <v>13982</v>
      </c>
      <c r="P129" s="42">
        <f t="shared" si="33"/>
        <v>0</v>
      </c>
      <c r="Q129" s="91">
        <f t="shared" si="34"/>
        <v>2002.6666666666667</v>
      </c>
      <c r="R129" s="91">
        <f t="shared" si="35"/>
        <v>2022.75</v>
      </c>
      <c r="S129" s="91">
        <f t="shared" si="36"/>
        <v>2007.6666666666667</v>
      </c>
      <c r="T129" s="91">
        <f t="shared" si="37"/>
        <v>2021.75</v>
      </c>
    </row>
    <row r="130" spans="1:20" s="2" customFormat="1" ht="15" x14ac:dyDescent="0.25">
      <c r="A130" s="2">
        <v>53</v>
      </c>
      <c r="B130" s="2" t="s">
        <v>408</v>
      </c>
      <c r="D130" s="88">
        <v>1996</v>
      </c>
      <c r="E130" s="88">
        <v>11</v>
      </c>
      <c r="F130" s="92"/>
      <c r="G130" s="88" t="s">
        <v>381</v>
      </c>
      <c r="H130" s="88">
        <v>5</v>
      </c>
      <c r="I130" s="2">
        <f t="shared" si="28"/>
        <v>2001</v>
      </c>
      <c r="J130" s="42">
        <v>7851</v>
      </c>
      <c r="K130" s="42">
        <f t="shared" si="29"/>
        <v>130.85</v>
      </c>
      <c r="L130" s="42">
        <f t="shared" si="30"/>
        <v>0</v>
      </c>
      <c r="M130" s="93">
        <v>1</v>
      </c>
      <c r="N130" s="42">
        <f t="shared" si="31"/>
        <v>7851</v>
      </c>
      <c r="O130" s="42">
        <f t="shared" si="32"/>
        <v>7851</v>
      </c>
      <c r="P130" s="42">
        <f t="shared" si="33"/>
        <v>0</v>
      </c>
      <c r="Q130" s="91">
        <f t="shared" si="34"/>
        <v>1996.8333333333333</v>
      </c>
      <c r="R130" s="91">
        <f t="shared" si="35"/>
        <v>2022.75</v>
      </c>
      <c r="S130" s="91">
        <f t="shared" si="36"/>
        <v>2001.8333333333333</v>
      </c>
      <c r="T130" s="91">
        <f t="shared" si="37"/>
        <v>2021.75</v>
      </c>
    </row>
    <row r="131" spans="1:20" s="2" customFormat="1" ht="15" x14ac:dyDescent="0.25">
      <c r="A131" s="2">
        <v>54</v>
      </c>
      <c r="B131" s="2" t="s">
        <v>458</v>
      </c>
      <c r="D131" s="88">
        <v>1996</v>
      </c>
      <c r="E131" s="88">
        <v>11</v>
      </c>
      <c r="F131" s="92"/>
      <c r="G131" s="88" t="s">
        <v>381</v>
      </c>
      <c r="H131" s="88">
        <v>7</v>
      </c>
      <c r="I131" s="2">
        <f t="shared" si="28"/>
        <v>2003</v>
      </c>
      <c r="J131" s="42">
        <v>5140</v>
      </c>
      <c r="K131" s="42">
        <f t="shared" si="29"/>
        <v>61.190476190476197</v>
      </c>
      <c r="L131" s="42">
        <f t="shared" si="30"/>
        <v>0</v>
      </c>
      <c r="M131" s="93">
        <v>1</v>
      </c>
      <c r="N131" s="42">
        <f t="shared" si="31"/>
        <v>5140</v>
      </c>
      <c r="O131" s="42">
        <f t="shared" si="32"/>
        <v>5140</v>
      </c>
      <c r="P131" s="42">
        <f t="shared" si="33"/>
        <v>0</v>
      </c>
      <c r="Q131" s="91">
        <f t="shared" si="34"/>
        <v>1996.8333333333333</v>
      </c>
      <c r="R131" s="91">
        <f t="shared" si="35"/>
        <v>2022.75</v>
      </c>
      <c r="S131" s="91">
        <f t="shared" si="36"/>
        <v>2003.8333333333333</v>
      </c>
      <c r="T131" s="91">
        <f t="shared" si="37"/>
        <v>2021.75</v>
      </c>
    </row>
    <row r="132" spans="1:20" s="2" customFormat="1" ht="15" x14ac:dyDescent="0.25">
      <c r="A132" s="2">
        <v>55</v>
      </c>
      <c r="B132" s="2" t="s">
        <v>484</v>
      </c>
      <c r="D132" s="88">
        <v>2004</v>
      </c>
      <c r="E132" s="88">
        <v>6</v>
      </c>
      <c r="F132" s="92"/>
      <c r="G132" s="88" t="s">
        <v>381</v>
      </c>
      <c r="H132" s="88">
        <v>5</v>
      </c>
      <c r="I132" s="2">
        <f t="shared" si="28"/>
        <v>2009</v>
      </c>
      <c r="J132" s="42">
        <v>1720</v>
      </c>
      <c r="K132" s="42">
        <f t="shared" si="29"/>
        <v>28.666666666666668</v>
      </c>
      <c r="L132" s="42">
        <f t="shared" si="30"/>
        <v>0</v>
      </c>
      <c r="M132" s="93">
        <v>1</v>
      </c>
      <c r="N132" s="42">
        <f t="shared" si="31"/>
        <v>1720</v>
      </c>
      <c r="O132" s="42">
        <f t="shared" si="32"/>
        <v>1720</v>
      </c>
      <c r="P132" s="42">
        <f t="shared" si="33"/>
        <v>0</v>
      </c>
      <c r="Q132" s="91">
        <f t="shared" si="34"/>
        <v>2004.4166666666667</v>
      </c>
      <c r="R132" s="91">
        <f t="shared" si="35"/>
        <v>2022.75</v>
      </c>
      <c r="S132" s="91">
        <f t="shared" si="36"/>
        <v>2009.4166666666667</v>
      </c>
      <c r="T132" s="91">
        <f t="shared" si="37"/>
        <v>2021.75</v>
      </c>
    </row>
    <row r="133" spans="1:20" s="2" customFormat="1" ht="15" x14ac:dyDescent="0.25">
      <c r="A133" s="2">
        <v>56</v>
      </c>
      <c r="B133" s="2" t="s">
        <v>485</v>
      </c>
      <c r="D133" s="88">
        <v>2005</v>
      </c>
      <c r="E133" s="88">
        <v>11</v>
      </c>
      <c r="F133" s="92"/>
      <c r="G133" s="88" t="s">
        <v>381</v>
      </c>
      <c r="H133" s="88">
        <v>7</v>
      </c>
      <c r="I133" s="2">
        <f t="shared" si="28"/>
        <v>2012</v>
      </c>
      <c r="J133" s="42">
        <v>56109</v>
      </c>
      <c r="K133" s="42">
        <f t="shared" si="29"/>
        <v>667.96428571428567</v>
      </c>
      <c r="L133" s="42">
        <f t="shared" si="30"/>
        <v>0</v>
      </c>
      <c r="M133" s="93">
        <v>1</v>
      </c>
      <c r="N133" s="42">
        <f t="shared" si="31"/>
        <v>56109</v>
      </c>
      <c r="O133" s="42">
        <f t="shared" si="32"/>
        <v>56109</v>
      </c>
      <c r="P133" s="42">
        <f t="shared" si="33"/>
        <v>0</v>
      </c>
      <c r="Q133" s="91">
        <f t="shared" si="34"/>
        <v>2005.8333333333333</v>
      </c>
      <c r="R133" s="91">
        <f t="shared" si="35"/>
        <v>2022.75</v>
      </c>
      <c r="S133" s="91">
        <f t="shared" si="36"/>
        <v>2012.8333333333333</v>
      </c>
      <c r="T133" s="91">
        <f t="shared" si="37"/>
        <v>2021.75</v>
      </c>
    </row>
    <row r="134" spans="1:20" s="2" customFormat="1" ht="15" x14ac:dyDescent="0.25">
      <c r="A134" s="2">
        <v>57</v>
      </c>
      <c r="B134" s="2" t="s">
        <v>486</v>
      </c>
      <c r="D134" s="88">
        <v>2008</v>
      </c>
      <c r="E134" s="88">
        <v>6</v>
      </c>
      <c r="F134" s="92"/>
      <c r="G134" s="88" t="s">
        <v>381</v>
      </c>
      <c r="H134" s="88">
        <v>7</v>
      </c>
      <c r="I134" s="2">
        <f t="shared" si="28"/>
        <v>2015</v>
      </c>
      <c r="J134" s="42">
        <v>10000</v>
      </c>
      <c r="K134" s="42">
        <f t="shared" si="29"/>
        <v>119.04761904761905</v>
      </c>
      <c r="L134" s="42">
        <f t="shared" si="30"/>
        <v>0</v>
      </c>
      <c r="M134" s="93">
        <v>1</v>
      </c>
      <c r="N134" s="42">
        <f t="shared" si="31"/>
        <v>10000</v>
      </c>
      <c r="O134" s="42">
        <f t="shared" si="32"/>
        <v>10000</v>
      </c>
      <c r="P134" s="42">
        <f t="shared" si="33"/>
        <v>0</v>
      </c>
      <c r="Q134" s="91">
        <f t="shared" si="34"/>
        <v>2008.4166666666667</v>
      </c>
      <c r="R134" s="91">
        <f t="shared" si="35"/>
        <v>2022.75</v>
      </c>
      <c r="S134" s="91">
        <f t="shared" si="36"/>
        <v>2015.4166666666667</v>
      </c>
      <c r="T134" s="91">
        <f t="shared" si="37"/>
        <v>2021.75</v>
      </c>
    </row>
    <row r="135" spans="1:20" s="2" customFormat="1" ht="15" x14ac:dyDescent="0.25">
      <c r="A135" s="2">
        <v>58</v>
      </c>
      <c r="B135" s="2" t="s">
        <v>487</v>
      </c>
      <c r="D135" s="88">
        <v>2008</v>
      </c>
      <c r="E135" s="88">
        <v>12</v>
      </c>
      <c r="F135" s="92"/>
      <c r="G135" s="88" t="s">
        <v>381</v>
      </c>
      <c r="H135" s="88">
        <v>7</v>
      </c>
      <c r="I135" s="2">
        <f t="shared" si="28"/>
        <v>2015</v>
      </c>
      <c r="J135" s="42">
        <v>10000</v>
      </c>
      <c r="K135" s="42">
        <f t="shared" si="29"/>
        <v>119.04761904761905</v>
      </c>
      <c r="L135" s="42">
        <f t="shared" si="30"/>
        <v>0</v>
      </c>
      <c r="M135" s="93">
        <v>1</v>
      </c>
      <c r="N135" s="42">
        <f t="shared" si="31"/>
        <v>10000</v>
      </c>
      <c r="O135" s="42">
        <f t="shared" si="32"/>
        <v>10000</v>
      </c>
      <c r="P135" s="42">
        <f t="shared" si="33"/>
        <v>0</v>
      </c>
      <c r="Q135" s="91">
        <f t="shared" si="34"/>
        <v>2008.9166666666667</v>
      </c>
      <c r="R135" s="91">
        <f t="shared" si="35"/>
        <v>2022.75</v>
      </c>
      <c r="S135" s="91">
        <f t="shared" si="36"/>
        <v>2015.9166666666667</v>
      </c>
      <c r="T135" s="91">
        <f t="shared" si="37"/>
        <v>2021.75</v>
      </c>
    </row>
    <row r="136" spans="1:20" s="2" customFormat="1" ht="15" x14ac:dyDescent="0.25">
      <c r="A136" s="2">
        <v>59</v>
      </c>
      <c r="B136" s="2" t="s">
        <v>488</v>
      </c>
      <c r="D136" s="88">
        <v>2008</v>
      </c>
      <c r="E136" s="88">
        <v>12</v>
      </c>
      <c r="F136" s="92"/>
      <c r="G136" s="88" t="s">
        <v>381</v>
      </c>
      <c r="H136" s="88">
        <v>7</v>
      </c>
      <c r="I136" s="2">
        <f t="shared" si="28"/>
        <v>2015</v>
      </c>
      <c r="J136" s="42">
        <v>27193</v>
      </c>
      <c r="K136" s="42">
        <f t="shared" si="29"/>
        <v>323.72619047619048</v>
      </c>
      <c r="L136" s="42">
        <f t="shared" si="30"/>
        <v>0</v>
      </c>
      <c r="M136" s="93">
        <v>1</v>
      </c>
      <c r="N136" s="42">
        <f t="shared" si="31"/>
        <v>27193</v>
      </c>
      <c r="O136" s="42">
        <f t="shared" si="32"/>
        <v>27193</v>
      </c>
      <c r="P136" s="42">
        <f t="shared" si="33"/>
        <v>0</v>
      </c>
      <c r="Q136" s="91">
        <f t="shared" si="34"/>
        <v>2008.9166666666667</v>
      </c>
      <c r="R136" s="91">
        <f t="shared" si="35"/>
        <v>2022.75</v>
      </c>
      <c r="S136" s="91">
        <f t="shared" si="36"/>
        <v>2015.9166666666667</v>
      </c>
      <c r="T136" s="91">
        <f t="shared" si="37"/>
        <v>2021.75</v>
      </c>
    </row>
    <row r="137" spans="1:20" s="2" customFormat="1" ht="15" x14ac:dyDescent="0.25">
      <c r="A137" s="2">
        <v>60</v>
      </c>
      <c r="B137" s="2" t="s">
        <v>489</v>
      </c>
      <c r="D137" s="88">
        <v>2008</v>
      </c>
      <c r="E137" s="88">
        <v>7</v>
      </c>
      <c r="F137" s="92"/>
      <c r="G137" s="88" t="s">
        <v>381</v>
      </c>
      <c r="H137" s="88">
        <v>7</v>
      </c>
      <c r="I137" s="2">
        <f t="shared" si="28"/>
        <v>2015</v>
      </c>
      <c r="J137" s="42">
        <v>31325</v>
      </c>
      <c r="K137" s="42">
        <f t="shared" si="29"/>
        <v>372.91666666666669</v>
      </c>
      <c r="L137" s="42">
        <f t="shared" si="30"/>
        <v>0</v>
      </c>
      <c r="M137" s="93">
        <v>1</v>
      </c>
      <c r="N137" s="42">
        <f t="shared" si="31"/>
        <v>31325</v>
      </c>
      <c r="O137" s="42">
        <f t="shared" si="32"/>
        <v>31325</v>
      </c>
      <c r="P137" s="42">
        <f t="shared" si="33"/>
        <v>0</v>
      </c>
      <c r="Q137" s="91">
        <f t="shared" si="34"/>
        <v>2008.5</v>
      </c>
      <c r="R137" s="91">
        <f t="shared" si="35"/>
        <v>2022.75</v>
      </c>
      <c r="S137" s="91">
        <f t="shared" si="36"/>
        <v>2015.5</v>
      </c>
      <c r="T137" s="91">
        <f t="shared" si="37"/>
        <v>2021.75</v>
      </c>
    </row>
    <row r="138" spans="1:20" s="2" customFormat="1" ht="15" x14ac:dyDescent="0.25">
      <c r="A138" s="2">
        <v>61</v>
      </c>
      <c r="B138" s="2" t="s">
        <v>490</v>
      </c>
      <c r="D138" s="88">
        <v>2008</v>
      </c>
      <c r="E138" s="88">
        <v>10</v>
      </c>
      <c r="F138" s="92"/>
      <c r="G138" s="88" t="s">
        <v>381</v>
      </c>
      <c r="H138" s="88">
        <v>7</v>
      </c>
      <c r="I138" s="2">
        <f t="shared" si="28"/>
        <v>2015</v>
      </c>
      <c r="J138" s="42">
        <v>4290</v>
      </c>
      <c r="K138" s="42">
        <f t="shared" si="29"/>
        <v>51.071428571428577</v>
      </c>
      <c r="L138" s="42">
        <f t="shared" si="30"/>
        <v>0</v>
      </c>
      <c r="M138" s="93">
        <v>1</v>
      </c>
      <c r="N138" s="42">
        <f t="shared" si="31"/>
        <v>4290</v>
      </c>
      <c r="O138" s="42">
        <f t="shared" si="32"/>
        <v>4290</v>
      </c>
      <c r="P138" s="42">
        <f t="shared" si="33"/>
        <v>0</v>
      </c>
      <c r="Q138" s="91">
        <f t="shared" si="34"/>
        <v>2008.75</v>
      </c>
      <c r="R138" s="91">
        <f t="shared" si="35"/>
        <v>2022.75</v>
      </c>
      <c r="S138" s="91">
        <f t="shared" si="36"/>
        <v>2015.75</v>
      </c>
      <c r="T138" s="91">
        <f t="shared" si="37"/>
        <v>2021.75</v>
      </c>
    </row>
    <row r="139" spans="1:20" s="2" customFormat="1" ht="15" x14ac:dyDescent="0.25">
      <c r="A139" s="2">
        <v>74</v>
      </c>
      <c r="B139" s="2" t="s">
        <v>491</v>
      </c>
      <c r="D139" s="88">
        <v>2009</v>
      </c>
      <c r="E139" s="88">
        <v>6</v>
      </c>
      <c r="F139" s="92"/>
      <c r="G139" s="88" t="s">
        <v>381</v>
      </c>
      <c r="H139" s="88">
        <v>7</v>
      </c>
      <c r="I139" s="2">
        <f t="shared" si="28"/>
        <v>2016</v>
      </c>
      <c r="J139" s="42">
        <v>1079</v>
      </c>
      <c r="K139" s="42">
        <f t="shared" si="29"/>
        <v>12.845238095238095</v>
      </c>
      <c r="L139" s="42">
        <f t="shared" si="30"/>
        <v>0</v>
      </c>
      <c r="M139" s="93">
        <v>1</v>
      </c>
      <c r="N139" s="42">
        <f t="shared" si="31"/>
        <v>1079</v>
      </c>
      <c r="O139" s="42">
        <f t="shared" si="32"/>
        <v>1079</v>
      </c>
      <c r="P139" s="42">
        <f t="shared" si="33"/>
        <v>0</v>
      </c>
      <c r="Q139" s="91">
        <f t="shared" si="34"/>
        <v>2009.4166666666667</v>
      </c>
      <c r="R139" s="91">
        <f t="shared" si="35"/>
        <v>2022.75</v>
      </c>
      <c r="S139" s="91">
        <f t="shared" si="36"/>
        <v>2016.4166666666667</v>
      </c>
      <c r="T139" s="91">
        <f t="shared" si="37"/>
        <v>2021.75</v>
      </c>
    </row>
    <row r="140" spans="1:20" s="2" customFormat="1" ht="15" x14ac:dyDescent="0.25">
      <c r="A140" s="2">
        <v>75</v>
      </c>
      <c r="B140" s="2" t="s">
        <v>492</v>
      </c>
      <c r="D140" s="88">
        <v>2009</v>
      </c>
      <c r="E140" s="88">
        <v>8</v>
      </c>
      <c r="F140" s="92"/>
      <c r="G140" s="88" t="s">
        <v>381</v>
      </c>
      <c r="H140" s="88">
        <v>7</v>
      </c>
      <c r="I140" s="2">
        <f t="shared" si="28"/>
        <v>2016</v>
      </c>
      <c r="J140" s="42">
        <v>7419</v>
      </c>
      <c r="K140" s="42">
        <f t="shared" si="29"/>
        <v>88.321428571428569</v>
      </c>
      <c r="L140" s="42">
        <f t="shared" si="30"/>
        <v>0</v>
      </c>
      <c r="M140" s="93">
        <v>1</v>
      </c>
      <c r="N140" s="42">
        <f t="shared" si="31"/>
        <v>7419</v>
      </c>
      <c r="O140" s="42">
        <f t="shared" si="32"/>
        <v>7419</v>
      </c>
      <c r="P140" s="42">
        <f t="shared" si="33"/>
        <v>0</v>
      </c>
      <c r="Q140" s="91">
        <f t="shared" si="34"/>
        <v>2009.5833333333333</v>
      </c>
      <c r="R140" s="91">
        <f t="shared" si="35"/>
        <v>2022.75</v>
      </c>
      <c r="S140" s="91">
        <f t="shared" si="36"/>
        <v>2016.5833333333333</v>
      </c>
      <c r="T140" s="91">
        <f t="shared" si="37"/>
        <v>2021.75</v>
      </c>
    </row>
    <row r="141" spans="1:20" s="2" customFormat="1" ht="15" x14ac:dyDescent="0.25">
      <c r="A141" s="2">
        <v>76</v>
      </c>
      <c r="B141" s="2" t="s">
        <v>493</v>
      </c>
      <c r="D141" s="88">
        <v>2009</v>
      </c>
      <c r="E141" s="88">
        <v>9</v>
      </c>
      <c r="F141" s="92"/>
      <c r="G141" s="88" t="s">
        <v>381</v>
      </c>
      <c r="H141" s="88">
        <v>7</v>
      </c>
      <c r="I141" s="2">
        <f t="shared" si="28"/>
        <v>2016</v>
      </c>
      <c r="J141" s="42">
        <v>1419</v>
      </c>
      <c r="K141" s="42">
        <f t="shared" si="29"/>
        <v>16.892857142857142</v>
      </c>
      <c r="L141" s="42">
        <f t="shared" si="30"/>
        <v>0</v>
      </c>
      <c r="M141" s="93">
        <v>1</v>
      </c>
      <c r="N141" s="42">
        <f t="shared" si="31"/>
        <v>1419</v>
      </c>
      <c r="O141" s="42">
        <f t="shared" si="32"/>
        <v>1419</v>
      </c>
      <c r="P141" s="42">
        <f t="shared" si="33"/>
        <v>0</v>
      </c>
      <c r="Q141" s="91">
        <f t="shared" si="34"/>
        <v>2009.6666666666667</v>
      </c>
      <c r="R141" s="91">
        <f t="shared" si="35"/>
        <v>2022.75</v>
      </c>
      <c r="S141" s="91">
        <f t="shared" si="36"/>
        <v>2016.6666666666667</v>
      </c>
      <c r="T141" s="91">
        <f t="shared" si="37"/>
        <v>2021.75</v>
      </c>
    </row>
    <row r="142" spans="1:20" s="2" customFormat="1" ht="15" x14ac:dyDescent="0.25">
      <c r="A142" s="2">
        <v>77</v>
      </c>
      <c r="B142" s="2" t="s">
        <v>494</v>
      </c>
      <c r="D142" s="88">
        <v>2009</v>
      </c>
      <c r="E142" s="88">
        <v>8</v>
      </c>
      <c r="F142" s="92"/>
      <c r="G142" s="88" t="s">
        <v>381</v>
      </c>
      <c r="H142" s="88">
        <v>7</v>
      </c>
      <c r="I142" s="2">
        <f t="shared" si="28"/>
        <v>2016</v>
      </c>
      <c r="J142" s="42">
        <v>2040</v>
      </c>
      <c r="K142" s="42">
        <f t="shared" si="29"/>
        <v>24.285714285714288</v>
      </c>
      <c r="L142" s="42">
        <f t="shared" si="30"/>
        <v>0</v>
      </c>
      <c r="M142" s="93">
        <v>1</v>
      </c>
      <c r="N142" s="42">
        <f t="shared" si="31"/>
        <v>2040</v>
      </c>
      <c r="O142" s="42">
        <f t="shared" si="32"/>
        <v>2040</v>
      </c>
      <c r="P142" s="42">
        <f t="shared" si="33"/>
        <v>0</v>
      </c>
      <c r="Q142" s="91">
        <f t="shared" si="34"/>
        <v>2009.5833333333333</v>
      </c>
      <c r="R142" s="91">
        <f t="shared" si="35"/>
        <v>2022.75</v>
      </c>
      <c r="S142" s="91">
        <f t="shared" si="36"/>
        <v>2016.5833333333333</v>
      </c>
      <c r="T142" s="91">
        <f t="shared" si="37"/>
        <v>2021.75</v>
      </c>
    </row>
    <row r="143" spans="1:20" s="2" customFormat="1" ht="15" x14ac:dyDescent="0.25">
      <c r="A143" s="2">
        <v>78</v>
      </c>
      <c r="B143" s="2" t="s">
        <v>495</v>
      </c>
      <c r="D143" s="88">
        <v>2009</v>
      </c>
      <c r="E143" s="88">
        <v>9</v>
      </c>
      <c r="F143" s="92"/>
      <c r="G143" s="88" t="s">
        <v>381</v>
      </c>
      <c r="H143" s="88">
        <v>7</v>
      </c>
      <c r="I143" s="2">
        <f t="shared" si="28"/>
        <v>2016</v>
      </c>
      <c r="J143" s="42">
        <v>4664</v>
      </c>
      <c r="K143" s="42">
        <f t="shared" si="29"/>
        <v>55.523809523809526</v>
      </c>
      <c r="L143" s="42">
        <f t="shared" si="30"/>
        <v>0</v>
      </c>
      <c r="M143" s="93">
        <v>1</v>
      </c>
      <c r="N143" s="42">
        <f t="shared" si="31"/>
        <v>4664</v>
      </c>
      <c r="O143" s="42">
        <f t="shared" si="32"/>
        <v>4664</v>
      </c>
      <c r="P143" s="42">
        <f t="shared" si="33"/>
        <v>0</v>
      </c>
      <c r="Q143" s="91">
        <f t="shared" si="34"/>
        <v>2009.6666666666667</v>
      </c>
      <c r="R143" s="91">
        <f t="shared" si="35"/>
        <v>2022.75</v>
      </c>
      <c r="S143" s="91">
        <f t="shared" si="36"/>
        <v>2016.6666666666667</v>
      </c>
      <c r="T143" s="91">
        <f t="shared" si="37"/>
        <v>2021.75</v>
      </c>
    </row>
    <row r="144" spans="1:20" s="2" customFormat="1" ht="15" x14ac:dyDescent="0.25">
      <c r="A144" s="2">
        <v>79</v>
      </c>
      <c r="B144" s="2" t="s">
        <v>496</v>
      </c>
      <c r="D144" s="88">
        <v>2009</v>
      </c>
      <c r="E144" s="88">
        <v>10</v>
      </c>
      <c r="F144" s="92"/>
      <c r="G144" s="88" t="s">
        <v>381</v>
      </c>
      <c r="H144" s="88">
        <v>7</v>
      </c>
      <c r="I144" s="2">
        <f t="shared" si="28"/>
        <v>2016</v>
      </c>
      <c r="J144" s="42">
        <v>3172</v>
      </c>
      <c r="K144" s="42">
        <f t="shared" si="29"/>
        <v>37.761904761904766</v>
      </c>
      <c r="L144" s="42">
        <f t="shared" si="30"/>
        <v>0</v>
      </c>
      <c r="M144" s="93">
        <v>1</v>
      </c>
      <c r="N144" s="42">
        <f t="shared" si="31"/>
        <v>3172</v>
      </c>
      <c r="O144" s="42">
        <f t="shared" si="32"/>
        <v>3172</v>
      </c>
      <c r="P144" s="42">
        <f t="shared" si="33"/>
        <v>0</v>
      </c>
      <c r="Q144" s="91">
        <f t="shared" si="34"/>
        <v>2009.75</v>
      </c>
      <c r="R144" s="91">
        <f t="shared" si="35"/>
        <v>2022.75</v>
      </c>
      <c r="S144" s="91">
        <f t="shared" si="36"/>
        <v>2016.75</v>
      </c>
      <c r="T144" s="91">
        <f t="shared" si="37"/>
        <v>2021.75</v>
      </c>
    </row>
    <row r="145" spans="1:20" s="2" customFormat="1" ht="15" x14ac:dyDescent="0.25">
      <c r="A145" s="2">
        <v>80</v>
      </c>
      <c r="B145" s="2" t="s">
        <v>497</v>
      </c>
      <c r="D145" s="88">
        <v>2009</v>
      </c>
      <c r="E145" s="88">
        <v>11</v>
      </c>
      <c r="F145" s="92"/>
      <c r="G145" s="88" t="s">
        <v>381</v>
      </c>
      <c r="H145" s="88">
        <v>7</v>
      </c>
      <c r="I145" s="2">
        <f t="shared" si="28"/>
        <v>2016</v>
      </c>
      <c r="J145" s="42">
        <v>4758</v>
      </c>
      <c r="K145" s="42">
        <f t="shared" si="29"/>
        <v>56.642857142857139</v>
      </c>
      <c r="L145" s="42">
        <f t="shared" si="30"/>
        <v>0</v>
      </c>
      <c r="M145" s="93">
        <v>1</v>
      </c>
      <c r="N145" s="42">
        <f t="shared" si="31"/>
        <v>4758</v>
      </c>
      <c r="O145" s="42">
        <f t="shared" si="32"/>
        <v>4758</v>
      </c>
      <c r="P145" s="42">
        <f t="shared" si="33"/>
        <v>0</v>
      </c>
      <c r="Q145" s="91">
        <f t="shared" si="34"/>
        <v>2009.8333333333333</v>
      </c>
      <c r="R145" s="91">
        <f t="shared" si="35"/>
        <v>2022.75</v>
      </c>
      <c r="S145" s="91">
        <f t="shared" si="36"/>
        <v>2016.8333333333333</v>
      </c>
      <c r="T145" s="91">
        <f t="shared" si="37"/>
        <v>2021.75</v>
      </c>
    </row>
    <row r="146" spans="1:20" s="2" customFormat="1" ht="15" x14ac:dyDescent="0.25">
      <c r="A146" s="2">
        <v>81</v>
      </c>
      <c r="B146" s="2" t="s">
        <v>498</v>
      </c>
      <c r="D146" s="88">
        <v>2009</v>
      </c>
      <c r="E146" s="88">
        <v>11</v>
      </c>
      <c r="F146" s="92"/>
      <c r="G146" s="88" t="s">
        <v>381</v>
      </c>
      <c r="H146" s="88">
        <v>7</v>
      </c>
      <c r="I146" s="2">
        <f t="shared" si="28"/>
        <v>2016</v>
      </c>
      <c r="J146" s="42">
        <v>343</v>
      </c>
      <c r="K146" s="42">
        <f t="shared" si="29"/>
        <v>4.083333333333333</v>
      </c>
      <c r="L146" s="42">
        <f t="shared" si="30"/>
        <v>0</v>
      </c>
      <c r="M146" s="93">
        <v>1</v>
      </c>
      <c r="N146" s="42">
        <f t="shared" si="31"/>
        <v>343</v>
      </c>
      <c r="O146" s="42">
        <f t="shared" si="32"/>
        <v>343</v>
      </c>
      <c r="P146" s="42">
        <f t="shared" si="33"/>
        <v>0</v>
      </c>
      <c r="Q146" s="91">
        <f t="shared" si="34"/>
        <v>2009.8333333333333</v>
      </c>
      <c r="R146" s="91">
        <f t="shared" si="35"/>
        <v>2022.75</v>
      </c>
      <c r="S146" s="91">
        <f t="shared" si="36"/>
        <v>2016.8333333333333</v>
      </c>
      <c r="T146" s="91">
        <f t="shared" si="37"/>
        <v>2021.75</v>
      </c>
    </row>
    <row r="147" spans="1:20" s="2" customFormat="1" ht="15" x14ac:dyDescent="0.25">
      <c r="A147" s="2">
        <v>82</v>
      </c>
      <c r="B147" s="2" t="s">
        <v>499</v>
      </c>
      <c r="D147" s="88">
        <v>2009</v>
      </c>
      <c r="E147" s="88">
        <v>11</v>
      </c>
      <c r="F147" s="92"/>
      <c r="G147" s="88" t="s">
        <v>381</v>
      </c>
      <c r="H147" s="88">
        <v>5</v>
      </c>
      <c r="I147" s="2">
        <f t="shared" si="28"/>
        <v>2014</v>
      </c>
      <c r="J147" s="42">
        <v>410</v>
      </c>
      <c r="K147" s="42">
        <f t="shared" si="29"/>
        <v>6.833333333333333</v>
      </c>
      <c r="L147" s="42">
        <f t="shared" si="30"/>
        <v>0</v>
      </c>
      <c r="M147" s="93">
        <v>1</v>
      </c>
      <c r="N147" s="42">
        <f t="shared" si="31"/>
        <v>410</v>
      </c>
      <c r="O147" s="42">
        <f t="shared" si="32"/>
        <v>410</v>
      </c>
      <c r="P147" s="42">
        <f t="shared" si="33"/>
        <v>0</v>
      </c>
      <c r="Q147" s="91">
        <f t="shared" si="34"/>
        <v>2009.8333333333333</v>
      </c>
      <c r="R147" s="91">
        <f t="shared" si="35"/>
        <v>2022.75</v>
      </c>
      <c r="S147" s="91">
        <f t="shared" si="36"/>
        <v>2014.8333333333333</v>
      </c>
      <c r="T147" s="91">
        <f t="shared" si="37"/>
        <v>2021.75</v>
      </c>
    </row>
    <row r="148" spans="1:20" s="2" customFormat="1" ht="15" x14ac:dyDescent="0.25">
      <c r="A148" s="2">
        <v>83</v>
      </c>
      <c r="B148" s="2" t="s">
        <v>500</v>
      </c>
      <c r="D148" s="88">
        <v>2009</v>
      </c>
      <c r="E148" s="88">
        <v>11</v>
      </c>
      <c r="F148" s="92"/>
      <c r="G148" s="88" t="s">
        <v>381</v>
      </c>
      <c r="H148" s="88">
        <v>5</v>
      </c>
      <c r="I148" s="2">
        <f t="shared" si="28"/>
        <v>2014</v>
      </c>
      <c r="J148" s="42">
        <v>1153</v>
      </c>
      <c r="K148" s="42">
        <f t="shared" si="29"/>
        <v>19.216666666666665</v>
      </c>
      <c r="L148" s="42">
        <f t="shared" si="30"/>
        <v>0</v>
      </c>
      <c r="M148" s="93">
        <v>1</v>
      </c>
      <c r="N148" s="42">
        <f t="shared" si="31"/>
        <v>1153</v>
      </c>
      <c r="O148" s="42">
        <f t="shared" si="32"/>
        <v>1153</v>
      </c>
      <c r="P148" s="42">
        <f t="shared" si="33"/>
        <v>0</v>
      </c>
      <c r="Q148" s="91">
        <f t="shared" si="34"/>
        <v>2009.8333333333333</v>
      </c>
      <c r="R148" s="91">
        <f t="shared" si="35"/>
        <v>2022.75</v>
      </c>
      <c r="S148" s="91">
        <f t="shared" si="36"/>
        <v>2014.8333333333333</v>
      </c>
      <c r="T148" s="91">
        <f t="shared" si="37"/>
        <v>2021.75</v>
      </c>
    </row>
    <row r="149" spans="1:20" s="2" customFormat="1" ht="15" x14ac:dyDescent="0.25">
      <c r="A149" s="2">
        <v>84</v>
      </c>
      <c r="B149" s="2" t="s">
        <v>501</v>
      </c>
      <c r="D149" s="88">
        <v>2009</v>
      </c>
      <c r="E149" s="88">
        <v>11</v>
      </c>
      <c r="F149" s="92"/>
      <c r="G149" s="88" t="s">
        <v>381</v>
      </c>
      <c r="H149" s="88">
        <v>7</v>
      </c>
      <c r="I149" s="2">
        <f t="shared" si="28"/>
        <v>2016</v>
      </c>
      <c r="J149" s="42">
        <v>702</v>
      </c>
      <c r="K149" s="42">
        <f t="shared" si="29"/>
        <v>8.3571428571428577</v>
      </c>
      <c r="L149" s="42">
        <f t="shared" si="30"/>
        <v>0</v>
      </c>
      <c r="M149" s="93">
        <v>1</v>
      </c>
      <c r="N149" s="42">
        <f t="shared" si="31"/>
        <v>702</v>
      </c>
      <c r="O149" s="42">
        <f t="shared" si="32"/>
        <v>702</v>
      </c>
      <c r="P149" s="42">
        <f t="shared" si="33"/>
        <v>0</v>
      </c>
      <c r="Q149" s="91">
        <f t="shared" si="34"/>
        <v>2009.8333333333333</v>
      </c>
      <c r="R149" s="91">
        <f t="shared" si="35"/>
        <v>2022.75</v>
      </c>
      <c r="S149" s="91">
        <f t="shared" si="36"/>
        <v>2016.8333333333333</v>
      </c>
      <c r="T149" s="91">
        <f t="shared" si="37"/>
        <v>2021.75</v>
      </c>
    </row>
    <row r="150" spans="1:20" s="2" customFormat="1" ht="15" x14ac:dyDescent="0.25">
      <c r="A150" s="2">
        <v>85</v>
      </c>
      <c r="B150" s="2" t="s">
        <v>502</v>
      </c>
      <c r="D150" s="88">
        <v>2009</v>
      </c>
      <c r="E150" s="88">
        <v>12</v>
      </c>
      <c r="F150" s="92"/>
      <c r="G150" s="88" t="s">
        <v>381</v>
      </c>
      <c r="H150" s="88">
        <v>10</v>
      </c>
      <c r="I150" s="2">
        <f t="shared" si="28"/>
        <v>2019</v>
      </c>
      <c r="J150" s="42">
        <v>11111</v>
      </c>
      <c r="K150" s="42">
        <f t="shared" si="29"/>
        <v>92.591666666666654</v>
      </c>
      <c r="L150" s="42">
        <f t="shared" si="30"/>
        <v>0</v>
      </c>
      <c r="M150" s="93">
        <v>1</v>
      </c>
      <c r="N150" s="42">
        <f t="shared" si="31"/>
        <v>11111</v>
      </c>
      <c r="O150" s="42">
        <f t="shared" si="32"/>
        <v>11111</v>
      </c>
      <c r="P150" s="42">
        <f t="shared" si="33"/>
        <v>0</v>
      </c>
      <c r="Q150" s="91">
        <f t="shared" si="34"/>
        <v>2009.9166666666667</v>
      </c>
      <c r="R150" s="91">
        <f t="shared" si="35"/>
        <v>2022.75</v>
      </c>
      <c r="S150" s="91">
        <f t="shared" si="36"/>
        <v>2019.9166666666667</v>
      </c>
      <c r="T150" s="91">
        <f t="shared" si="37"/>
        <v>2021.75</v>
      </c>
    </row>
    <row r="151" spans="1:20" s="2" customFormat="1" ht="15" x14ac:dyDescent="0.25">
      <c r="A151" s="2">
        <v>86</v>
      </c>
      <c r="B151" s="2" t="s">
        <v>498</v>
      </c>
      <c r="D151" s="88">
        <v>2009</v>
      </c>
      <c r="E151" s="88">
        <v>12</v>
      </c>
      <c r="F151" s="92"/>
      <c r="G151" s="88" t="s">
        <v>381</v>
      </c>
      <c r="H151" s="88">
        <v>7</v>
      </c>
      <c r="I151" s="2">
        <f t="shared" si="28"/>
        <v>2016</v>
      </c>
      <c r="J151" s="42">
        <v>332</v>
      </c>
      <c r="K151" s="42">
        <f t="shared" si="29"/>
        <v>3.9523809523809526</v>
      </c>
      <c r="L151" s="42">
        <f t="shared" si="30"/>
        <v>0</v>
      </c>
      <c r="M151" s="93">
        <v>1</v>
      </c>
      <c r="N151" s="42">
        <f t="shared" si="31"/>
        <v>332</v>
      </c>
      <c r="O151" s="42">
        <f t="shared" si="32"/>
        <v>332</v>
      </c>
      <c r="P151" s="42">
        <f t="shared" si="33"/>
        <v>0</v>
      </c>
      <c r="Q151" s="91">
        <f t="shared" si="34"/>
        <v>2009.9166666666667</v>
      </c>
      <c r="R151" s="91">
        <f t="shared" si="35"/>
        <v>2022.75</v>
      </c>
      <c r="S151" s="91">
        <f t="shared" si="36"/>
        <v>2016.9166666666667</v>
      </c>
      <c r="T151" s="91">
        <f t="shared" si="37"/>
        <v>2021.75</v>
      </c>
    </row>
    <row r="152" spans="1:20" s="2" customFormat="1" ht="15" x14ac:dyDescent="0.25">
      <c r="A152" s="2">
        <v>87</v>
      </c>
      <c r="B152" s="2" t="s">
        <v>503</v>
      </c>
      <c r="D152" s="88">
        <v>2009</v>
      </c>
      <c r="E152" s="88">
        <v>12</v>
      </c>
      <c r="F152" s="92"/>
      <c r="G152" s="88" t="s">
        <v>381</v>
      </c>
      <c r="H152" s="88">
        <v>7</v>
      </c>
      <c r="I152" s="2">
        <f t="shared" si="28"/>
        <v>2016</v>
      </c>
      <c r="J152" s="42">
        <v>996</v>
      </c>
      <c r="K152" s="42">
        <f t="shared" si="29"/>
        <v>11.857142857142856</v>
      </c>
      <c r="L152" s="42">
        <f t="shared" si="30"/>
        <v>0</v>
      </c>
      <c r="M152" s="93">
        <v>1</v>
      </c>
      <c r="N152" s="42">
        <f t="shared" si="31"/>
        <v>996</v>
      </c>
      <c r="O152" s="42">
        <f t="shared" si="32"/>
        <v>996</v>
      </c>
      <c r="P152" s="42">
        <f t="shared" si="33"/>
        <v>0</v>
      </c>
      <c r="Q152" s="91">
        <f t="shared" si="34"/>
        <v>2009.9166666666667</v>
      </c>
      <c r="R152" s="91">
        <f t="shared" si="35"/>
        <v>2022.75</v>
      </c>
      <c r="S152" s="91">
        <f t="shared" si="36"/>
        <v>2016.9166666666667</v>
      </c>
      <c r="T152" s="91">
        <f t="shared" si="37"/>
        <v>2021.75</v>
      </c>
    </row>
    <row r="153" spans="1:20" s="2" customFormat="1" ht="15" x14ac:dyDescent="0.25">
      <c r="A153" s="2">
        <v>88</v>
      </c>
      <c r="B153" s="2" t="s">
        <v>504</v>
      </c>
      <c r="D153" s="88">
        <v>2009</v>
      </c>
      <c r="E153" s="88">
        <v>12</v>
      </c>
      <c r="F153" s="92"/>
      <c r="G153" s="88" t="s">
        <v>381</v>
      </c>
      <c r="H153" s="88">
        <v>7</v>
      </c>
      <c r="I153" s="2">
        <f t="shared" si="28"/>
        <v>2016</v>
      </c>
      <c r="J153" s="42">
        <v>2930</v>
      </c>
      <c r="K153" s="42">
        <f t="shared" si="29"/>
        <v>34.88095238095238</v>
      </c>
      <c r="L153" s="42">
        <f t="shared" si="30"/>
        <v>0</v>
      </c>
      <c r="M153" s="93">
        <v>1</v>
      </c>
      <c r="N153" s="42">
        <f t="shared" si="31"/>
        <v>2930</v>
      </c>
      <c r="O153" s="42">
        <f t="shared" si="32"/>
        <v>2930</v>
      </c>
      <c r="P153" s="42">
        <f t="shared" si="33"/>
        <v>0</v>
      </c>
      <c r="Q153" s="91">
        <f t="shared" si="34"/>
        <v>2009.9166666666667</v>
      </c>
      <c r="R153" s="91">
        <f t="shared" si="35"/>
        <v>2022.75</v>
      </c>
      <c r="S153" s="91">
        <f t="shared" si="36"/>
        <v>2016.9166666666667</v>
      </c>
      <c r="T153" s="91">
        <f t="shared" si="37"/>
        <v>2021.75</v>
      </c>
    </row>
    <row r="154" spans="1:20" s="2" customFormat="1" ht="15" x14ac:dyDescent="0.25">
      <c r="A154" s="2">
        <v>89</v>
      </c>
      <c r="B154" s="2" t="s">
        <v>505</v>
      </c>
      <c r="D154" s="88">
        <v>2009</v>
      </c>
      <c r="E154" s="88">
        <v>12</v>
      </c>
      <c r="F154" s="92"/>
      <c r="G154" s="88" t="s">
        <v>381</v>
      </c>
      <c r="H154" s="88">
        <v>5</v>
      </c>
      <c r="I154" s="2">
        <f t="shared" si="28"/>
        <v>2014</v>
      </c>
      <c r="J154" s="42">
        <v>2140</v>
      </c>
      <c r="K154" s="42">
        <f t="shared" si="29"/>
        <v>35.666666666666664</v>
      </c>
      <c r="L154" s="42">
        <f t="shared" si="30"/>
        <v>0</v>
      </c>
      <c r="M154" s="93">
        <v>1</v>
      </c>
      <c r="N154" s="42">
        <f t="shared" si="31"/>
        <v>2140</v>
      </c>
      <c r="O154" s="42">
        <f t="shared" si="32"/>
        <v>2140</v>
      </c>
      <c r="P154" s="42">
        <f t="shared" si="33"/>
        <v>0</v>
      </c>
      <c r="Q154" s="91">
        <f t="shared" si="34"/>
        <v>2009.9166666666667</v>
      </c>
      <c r="R154" s="91">
        <f t="shared" si="35"/>
        <v>2022.75</v>
      </c>
      <c r="S154" s="91">
        <f t="shared" si="36"/>
        <v>2014.9166666666667</v>
      </c>
      <c r="T154" s="91">
        <f t="shared" si="37"/>
        <v>2021.75</v>
      </c>
    </row>
    <row r="155" spans="1:20" s="2" customFormat="1" ht="15" x14ac:dyDescent="0.25">
      <c r="A155" s="2">
        <v>90</v>
      </c>
      <c r="B155" s="2" t="s">
        <v>506</v>
      </c>
      <c r="D155" s="88">
        <v>2009</v>
      </c>
      <c r="E155" s="88">
        <v>12</v>
      </c>
      <c r="F155" s="92"/>
      <c r="G155" s="88" t="s">
        <v>381</v>
      </c>
      <c r="H155" s="88">
        <v>5</v>
      </c>
      <c r="I155" s="2">
        <f t="shared" ref="I155:I218" si="38">+D155+H155</f>
        <v>2014</v>
      </c>
      <c r="J155" s="42">
        <v>359</v>
      </c>
      <c r="K155" s="42">
        <f t="shared" ref="K155:K218" si="39">J155/H155/12</f>
        <v>5.9833333333333334</v>
      </c>
      <c r="L155" s="42">
        <f t="shared" ref="L155:L218" si="40">IF(S155&lt;=R155,0,J155/H155)</f>
        <v>0</v>
      </c>
      <c r="M155" s="93">
        <v>1</v>
      </c>
      <c r="N155" s="42">
        <f t="shared" ref="N155:N218" si="41">IF(Q155&gt;R155,0,IF(S155&lt;T155,J155,IF((AND((S155&gt;=T155),(S155&lt;=R155))),(J155-L155),IF((AND((T155&lt;=Q155),(R155&gt;=Q155))),0,IF(S155&gt;R155,((T155-Q155)*12)*K155,0)))))</f>
        <v>359</v>
      </c>
      <c r="O155" s="42">
        <f t="shared" ref="O155:O218" si="42">N155+L155</f>
        <v>359</v>
      </c>
      <c r="P155" s="42">
        <f t="shared" ref="P155:P218" si="43">+J155-O155</f>
        <v>0</v>
      </c>
      <c r="Q155" s="91">
        <f t="shared" ref="Q155:Q218" si="44">$D155+(($E155-1)/12)</f>
        <v>2009.9166666666667</v>
      </c>
      <c r="R155" s="91">
        <f t="shared" ref="R155:R218" si="45">($K$5+1)-($K$2/12)</f>
        <v>2022.75</v>
      </c>
      <c r="S155" s="91">
        <f t="shared" ref="S155:S218" si="46">$I155+(($E155-1)/12)</f>
        <v>2014.9166666666667</v>
      </c>
      <c r="T155" s="91">
        <f t="shared" ref="T155:T218" si="47">$K$4+($K$3/12)</f>
        <v>2021.75</v>
      </c>
    </row>
    <row r="156" spans="1:20" s="2" customFormat="1" ht="15" x14ac:dyDescent="0.25">
      <c r="A156" s="2">
        <v>92</v>
      </c>
      <c r="B156" s="2" t="s">
        <v>487</v>
      </c>
      <c r="D156" s="88">
        <v>2009</v>
      </c>
      <c r="E156" s="88">
        <v>3</v>
      </c>
      <c r="F156" s="92"/>
      <c r="G156" s="88" t="s">
        <v>381</v>
      </c>
      <c r="H156" s="88">
        <v>7</v>
      </c>
      <c r="I156" s="2">
        <f t="shared" si="38"/>
        <v>2016</v>
      </c>
      <c r="J156" s="42">
        <v>42672</v>
      </c>
      <c r="K156" s="42">
        <f t="shared" si="39"/>
        <v>508</v>
      </c>
      <c r="L156" s="42">
        <f t="shared" si="40"/>
        <v>0</v>
      </c>
      <c r="M156" s="93">
        <v>1</v>
      </c>
      <c r="N156" s="42">
        <f t="shared" si="41"/>
        <v>42672</v>
      </c>
      <c r="O156" s="42">
        <f t="shared" si="42"/>
        <v>42672</v>
      </c>
      <c r="P156" s="42">
        <f t="shared" si="43"/>
        <v>0</v>
      </c>
      <c r="Q156" s="91">
        <f t="shared" si="44"/>
        <v>2009.1666666666667</v>
      </c>
      <c r="R156" s="91">
        <f t="shared" si="45"/>
        <v>2022.75</v>
      </c>
      <c r="S156" s="91">
        <f t="shared" si="46"/>
        <v>2016.1666666666667</v>
      </c>
      <c r="T156" s="91">
        <f t="shared" si="47"/>
        <v>2021.75</v>
      </c>
    </row>
    <row r="157" spans="1:20" s="2" customFormat="1" ht="15" x14ac:dyDescent="0.25">
      <c r="A157" s="2">
        <v>94</v>
      </c>
      <c r="B157" s="2" t="s">
        <v>507</v>
      </c>
      <c r="D157" s="88">
        <v>2009</v>
      </c>
      <c r="E157" s="88">
        <v>3</v>
      </c>
      <c r="F157" s="92"/>
      <c r="G157" s="88" t="s">
        <v>381</v>
      </c>
      <c r="H157" s="88">
        <v>7</v>
      </c>
      <c r="I157" s="2">
        <f t="shared" si="38"/>
        <v>2016</v>
      </c>
      <c r="J157" s="42">
        <v>2867</v>
      </c>
      <c r="K157" s="42">
        <f t="shared" si="39"/>
        <v>34.13095238095238</v>
      </c>
      <c r="L157" s="42">
        <f t="shared" si="40"/>
        <v>0</v>
      </c>
      <c r="M157" s="93">
        <v>1</v>
      </c>
      <c r="N157" s="42">
        <f t="shared" si="41"/>
        <v>2867</v>
      </c>
      <c r="O157" s="42">
        <f t="shared" si="42"/>
        <v>2867</v>
      </c>
      <c r="P157" s="42">
        <f t="shared" si="43"/>
        <v>0</v>
      </c>
      <c r="Q157" s="91">
        <f t="shared" si="44"/>
        <v>2009.1666666666667</v>
      </c>
      <c r="R157" s="91">
        <f t="shared" si="45"/>
        <v>2022.75</v>
      </c>
      <c r="S157" s="91">
        <f t="shared" si="46"/>
        <v>2016.1666666666667</v>
      </c>
      <c r="T157" s="91">
        <f t="shared" si="47"/>
        <v>2021.75</v>
      </c>
    </row>
    <row r="158" spans="1:20" s="2" customFormat="1" ht="15" x14ac:dyDescent="0.25">
      <c r="A158" s="2">
        <v>95</v>
      </c>
      <c r="B158" s="2" t="s">
        <v>508</v>
      </c>
      <c r="D158" s="88">
        <v>2009</v>
      </c>
      <c r="E158" s="88">
        <v>5</v>
      </c>
      <c r="F158" s="92"/>
      <c r="G158" s="88" t="s">
        <v>381</v>
      </c>
      <c r="H158" s="88">
        <v>7</v>
      </c>
      <c r="I158" s="2">
        <f t="shared" si="38"/>
        <v>2016</v>
      </c>
      <c r="J158" s="42">
        <v>3900</v>
      </c>
      <c r="K158" s="42">
        <f t="shared" si="39"/>
        <v>46.428571428571423</v>
      </c>
      <c r="L158" s="42">
        <f t="shared" si="40"/>
        <v>0</v>
      </c>
      <c r="M158" s="93">
        <v>1</v>
      </c>
      <c r="N158" s="42">
        <f t="shared" si="41"/>
        <v>3900</v>
      </c>
      <c r="O158" s="42">
        <f t="shared" si="42"/>
        <v>3900</v>
      </c>
      <c r="P158" s="42">
        <f t="shared" si="43"/>
        <v>0</v>
      </c>
      <c r="Q158" s="91">
        <f t="shared" si="44"/>
        <v>2009.3333333333333</v>
      </c>
      <c r="R158" s="91">
        <f t="shared" si="45"/>
        <v>2022.75</v>
      </c>
      <c r="S158" s="91">
        <f t="shared" si="46"/>
        <v>2016.3333333333333</v>
      </c>
      <c r="T158" s="91">
        <f t="shared" si="47"/>
        <v>2021.75</v>
      </c>
    </row>
    <row r="159" spans="1:20" s="2" customFormat="1" ht="15" x14ac:dyDescent="0.25">
      <c r="A159" s="2">
        <v>96</v>
      </c>
      <c r="B159" s="2" t="s">
        <v>509</v>
      </c>
      <c r="D159" s="88">
        <v>2009</v>
      </c>
      <c r="E159" s="88">
        <v>5</v>
      </c>
      <c r="F159" s="92"/>
      <c r="G159" s="88" t="s">
        <v>381</v>
      </c>
      <c r="H159" s="88">
        <v>7</v>
      </c>
      <c r="I159" s="2">
        <f t="shared" si="38"/>
        <v>2016</v>
      </c>
      <c r="J159" s="42">
        <v>1110</v>
      </c>
      <c r="K159" s="42">
        <f t="shared" si="39"/>
        <v>13.214285714285715</v>
      </c>
      <c r="L159" s="42">
        <f t="shared" si="40"/>
        <v>0</v>
      </c>
      <c r="M159" s="93">
        <v>1</v>
      </c>
      <c r="N159" s="42">
        <f t="shared" si="41"/>
        <v>1110</v>
      </c>
      <c r="O159" s="42">
        <f t="shared" si="42"/>
        <v>1110</v>
      </c>
      <c r="P159" s="42">
        <f t="shared" si="43"/>
        <v>0</v>
      </c>
      <c r="Q159" s="91">
        <f t="shared" si="44"/>
        <v>2009.3333333333333</v>
      </c>
      <c r="R159" s="91">
        <f t="shared" si="45"/>
        <v>2022.75</v>
      </c>
      <c r="S159" s="91">
        <f t="shared" si="46"/>
        <v>2016.3333333333333</v>
      </c>
      <c r="T159" s="91">
        <f t="shared" si="47"/>
        <v>2021.75</v>
      </c>
    </row>
    <row r="160" spans="1:20" s="2" customFormat="1" ht="15" x14ac:dyDescent="0.25">
      <c r="A160" s="2">
        <v>97</v>
      </c>
      <c r="B160" s="2" t="s">
        <v>510</v>
      </c>
      <c r="D160" s="88">
        <v>2009</v>
      </c>
      <c r="E160" s="88">
        <v>5</v>
      </c>
      <c r="F160" s="92"/>
      <c r="G160" s="88" t="s">
        <v>381</v>
      </c>
      <c r="H160" s="88">
        <v>7</v>
      </c>
      <c r="I160" s="2">
        <f t="shared" si="38"/>
        <v>2016</v>
      </c>
      <c r="J160" s="42">
        <v>2473</v>
      </c>
      <c r="K160" s="42">
        <f t="shared" si="39"/>
        <v>29.44047619047619</v>
      </c>
      <c r="L160" s="42">
        <f t="shared" si="40"/>
        <v>0</v>
      </c>
      <c r="M160" s="93">
        <v>1</v>
      </c>
      <c r="N160" s="42">
        <f t="shared" si="41"/>
        <v>2473</v>
      </c>
      <c r="O160" s="42">
        <f t="shared" si="42"/>
        <v>2473</v>
      </c>
      <c r="P160" s="42">
        <f t="shared" si="43"/>
        <v>0</v>
      </c>
      <c r="Q160" s="91">
        <f t="shared" si="44"/>
        <v>2009.3333333333333</v>
      </c>
      <c r="R160" s="91">
        <f t="shared" si="45"/>
        <v>2022.75</v>
      </c>
      <c r="S160" s="91">
        <f t="shared" si="46"/>
        <v>2016.3333333333333</v>
      </c>
      <c r="T160" s="91">
        <f t="shared" si="47"/>
        <v>2021.75</v>
      </c>
    </row>
    <row r="161" spans="1:20" s="2" customFormat="1" ht="15" x14ac:dyDescent="0.25">
      <c r="A161" s="2">
        <v>98</v>
      </c>
      <c r="B161" s="2" t="s">
        <v>511</v>
      </c>
      <c r="D161" s="88">
        <v>2009</v>
      </c>
      <c r="E161" s="88">
        <v>7</v>
      </c>
      <c r="F161" s="92"/>
      <c r="G161" s="88" t="s">
        <v>381</v>
      </c>
      <c r="H161" s="88">
        <v>7</v>
      </c>
      <c r="I161" s="2">
        <f t="shared" si="38"/>
        <v>2016</v>
      </c>
      <c r="J161" s="42">
        <v>6023</v>
      </c>
      <c r="K161" s="42">
        <f t="shared" si="39"/>
        <v>71.702380952380949</v>
      </c>
      <c r="L161" s="42">
        <f t="shared" si="40"/>
        <v>0</v>
      </c>
      <c r="M161" s="93">
        <v>1</v>
      </c>
      <c r="N161" s="42">
        <f t="shared" si="41"/>
        <v>6023</v>
      </c>
      <c r="O161" s="42">
        <f t="shared" si="42"/>
        <v>6023</v>
      </c>
      <c r="P161" s="42">
        <f t="shared" si="43"/>
        <v>0</v>
      </c>
      <c r="Q161" s="91">
        <f t="shared" si="44"/>
        <v>2009.5</v>
      </c>
      <c r="R161" s="91">
        <f t="shared" si="45"/>
        <v>2022.75</v>
      </c>
      <c r="S161" s="91">
        <f t="shared" si="46"/>
        <v>2016.5</v>
      </c>
      <c r="T161" s="91">
        <f t="shared" si="47"/>
        <v>2021.75</v>
      </c>
    </row>
    <row r="162" spans="1:20" s="2" customFormat="1" ht="15" x14ac:dyDescent="0.25">
      <c r="A162" s="2">
        <v>99</v>
      </c>
      <c r="B162" s="2" t="s">
        <v>494</v>
      </c>
      <c r="D162" s="88">
        <v>2009</v>
      </c>
      <c r="E162" s="88">
        <v>7</v>
      </c>
      <c r="F162" s="92"/>
      <c r="G162" s="88" t="s">
        <v>381</v>
      </c>
      <c r="H162" s="88">
        <v>7</v>
      </c>
      <c r="I162" s="2">
        <f t="shared" si="38"/>
        <v>2016</v>
      </c>
      <c r="J162" s="42">
        <v>2834</v>
      </c>
      <c r="K162" s="42">
        <f t="shared" si="39"/>
        <v>33.738095238095234</v>
      </c>
      <c r="L162" s="42">
        <f t="shared" si="40"/>
        <v>0</v>
      </c>
      <c r="M162" s="93">
        <v>1</v>
      </c>
      <c r="N162" s="42">
        <f t="shared" si="41"/>
        <v>2834</v>
      </c>
      <c r="O162" s="42">
        <f t="shared" si="42"/>
        <v>2834</v>
      </c>
      <c r="P162" s="42">
        <f t="shared" si="43"/>
        <v>0</v>
      </c>
      <c r="Q162" s="91">
        <f t="shared" si="44"/>
        <v>2009.5</v>
      </c>
      <c r="R162" s="91">
        <f t="shared" si="45"/>
        <v>2022.75</v>
      </c>
      <c r="S162" s="91">
        <f t="shared" si="46"/>
        <v>2016.5</v>
      </c>
      <c r="T162" s="91">
        <f t="shared" si="47"/>
        <v>2021.75</v>
      </c>
    </row>
    <row r="163" spans="1:20" s="2" customFormat="1" ht="15" x14ac:dyDescent="0.25">
      <c r="A163" s="2">
        <v>104</v>
      </c>
      <c r="B163" s="2" t="s">
        <v>512</v>
      </c>
      <c r="D163" s="88">
        <v>2010</v>
      </c>
      <c r="E163" s="88">
        <v>1</v>
      </c>
      <c r="F163" s="92"/>
      <c r="G163" s="88" t="s">
        <v>381</v>
      </c>
      <c r="H163" s="88">
        <v>7</v>
      </c>
      <c r="I163" s="2">
        <f t="shared" si="38"/>
        <v>2017</v>
      </c>
      <c r="J163" s="42">
        <v>3172</v>
      </c>
      <c r="K163" s="42">
        <f t="shared" si="39"/>
        <v>37.761904761904766</v>
      </c>
      <c r="L163" s="42">
        <f t="shared" si="40"/>
        <v>0</v>
      </c>
      <c r="M163" s="93">
        <v>1</v>
      </c>
      <c r="N163" s="42">
        <f t="shared" si="41"/>
        <v>3172</v>
      </c>
      <c r="O163" s="42">
        <f t="shared" si="42"/>
        <v>3172</v>
      </c>
      <c r="P163" s="42">
        <f t="shared" si="43"/>
        <v>0</v>
      </c>
      <c r="Q163" s="91">
        <f t="shared" si="44"/>
        <v>2010</v>
      </c>
      <c r="R163" s="91">
        <f t="shared" si="45"/>
        <v>2022.75</v>
      </c>
      <c r="S163" s="91">
        <f t="shared" si="46"/>
        <v>2017</v>
      </c>
      <c r="T163" s="91">
        <f t="shared" si="47"/>
        <v>2021.75</v>
      </c>
    </row>
    <row r="164" spans="1:20" s="2" customFormat="1" ht="15" x14ac:dyDescent="0.25">
      <c r="A164" s="2">
        <v>105</v>
      </c>
      <c r="B164" s="2" t="s">
        <v>513</v>
      </c>
      <c r="D164" s="88">
        <v>2010</v>
      </c>
      <c r="E164" s="88">
        <v>1</v>
      </c>
      <c r="F164" s="92"/>
      <c r="G164" s="88" t="s">
        <v>381</v>
      </c>
      <c r="H164" s="88">
        <v>7</v>
      </c>
      <c r="I164" s="2">
        <f t="shared" si="38"/>
        <v>2017</v>
      </c>
      <c r="J164" s="42">
        <v>4758</v>
      </c>
      <c r="K164" s="42">
        <f t="shared" si="39"/>
        <v>56.642857142857139</v>
      </c>
      <c r="L164" s="42">
        <f t="shared" si="40"/>
        <v>0</v>
      </c>
      <c r="M164" s="93">
        <v>1</v>
      </c>
      <c r="N164" s="42">
        <f t="shared" si="41"/>
        <v>4758</v>
      </c>
      <c r="O164" s="42">
        <f t="shared" si="42"/>
        <v>4758</v>
      </c>
      <c r="P164" s="42">
        <f t="shared" si="43"/>
        <v>0</v>
      </c>
      <c r="Q164" s="91">
        <f t="shared" si="44"/>
        <v>2010</v>
      </c>
      <c r="R164" s="91">
        <f t="shared" si="45"/>
        <v>2022.75</v>
      </c>
      <c r="S164" s="91">
        <f t="shared" si="46"/>
        <v>2017</v>
      </c>
      <c r="T164" s="91">
        <f t="shared" si="47"/>
        <v>2021.75</v>
      </c>
    </row>
    <row r="165" spans="1:20" s="2" customFormat="1" ht="15" x14ac:dyDescent="0.25">
      <c r="A165" s="2">
        <v>106</v>
      </c>
      <c r="B165" s="2" t="s">
        <v>514</v>
      </c>
      <c r="D165" s="88">
        <v>2010</v>
      </c>
      <c r="E165" s="88">
        <v>1</v>
      </c>
      <c r="F165" s="92"/>
      <c r="G165" s="88" t="s">
        <v>381</v>
      </c>
      <c r="H165" s="88">
        <v>7</v>
      </c>
      <c r="I165" s="2">
        <f t="shared" si="38"/>
        <v>2017</v>
      </c>
      <c r="J165" s="42">
        <v>3192</v>
      </c>
      <c r="K165" s="42">
        <f t="shared" si="39"/>
        <v>38</v>
      </c>
      <c r="L165" s="42">
        <f t="shared" si="40"/>
        <v>0</v>
      </c>
      <c r="M165" s="93">
        <v>1</v>
      </c>
      <c r="N165" s="42">
        <f t="shared" si="41"/>
        <v>3192</v>
      </c>
      <c r="O165" s="42">
        <f t="shared" si="42"/>
        <v>3192</v>
      </c>
      <c r="P165" s="42">
        <f t="shared" si="43"/>
        <v>0</v>
      </c>
      <c r="Q165" s="91">
        <f t="shared" si="44"/>
        <v>2010</v>
      </c>
      <c r="R165" s="91">
        <f t="shared" si="45"/>
        <v>2022.75</v>
      </c>
      <c r="S165" s="91">
        <f t="shared" si="46"/>
        <v>2017</v>
      </c>
      <c r="T165" s="91">
        <f t="shared" si="47"/>
        <v>2021.75</v>
      </c>
    </row>
    <row r="166" spans="1:20" s="2" customFormat="1" ht="15" x14ac:dyDescent="0.25">
      <c r="A166" s="2">
        <v>108</v>
      </c>
      <c r="B166" s="2" t="s">
        <v>515</v>
      </c>
      <c r="D166" s="88">
        <v>2010</v>
      </c>
      <c r="E166" s="88">
        <v>3</v>
      </c>
      <c r="F166" s="92"/>
      <c r="G166" s="88" t="s">
        <v>381</v>
      </c>
      <c r="H166" s="88">
        <v>7</v>
      </c>
      <c r="I166" s="2">
        <f t="shared" si="38"/>
        <v>2017</v>
      </c>
      <c r="J166" s="42">
        <v>932</v>
      </c>
      <c r="K166" s="42">
        <f t="shared" si="39"/>
        <v>11.095238095238095</v>
      </c>
      <c r="L166" s="42">
        <f t="shared" si="40"/>
        <v>0</v>
      </c>
      <c r="M166" s="93">
        <v>1</v>
      </c>
      <c r="N166" s="42">
        <f t="shared" si="41"/>
        <v>932</v>
      </c>
      <c r="O166" s="42">
        <f t="shared" si="42"/>
        <v>932</v>
      </c>
      <c r="P166" s="42">
        <f t="shared" si="43"/>
        <v>0</v>
      </c>
      <c r="Q166" s="91">
        <f t="shared" si="44"/>
        <v>2010.1666666666667</v>
      </c>
      <c r="R166" s="91">
        <f t="shared" si="45"/>
        <v>2022.75</v>
      </c>
      <c r="S166" s="91">
        <f t="shared" si="46"/>
        <v>2017.1666666666667</v>
      </c>
      <c r="T166" s="91">
        <f t="shared" si="47"/>
        <v>2021.75</v>
      </c>
    </row>
    <row r="167" spans="1:20" s="2" customFormat="1" ht="15" x14ac:dyDescent="0.25">
      <c r="A167" s="2">
        <v>110</v>
      </c>
      <c r="B167" s="2" t="s">
        <v>516</v>
      </c>
      <c r="D167" s="88">
        <v>2010</v>
      </c>
      <c r="E167" s="88">
        <v>6</v>
      </c>
      <c r="F167" s="92"/>
      <c r="G167" s="88" t="s">
        <v>381</v>
      </c>
      <c r="H167" s="88">
        <v>7</v>
      </c>
      <c r="I167" s="2">
        <f t="shared" si="38"/>
        <v>2017</v>
      </c>
      <c r="J167" s="42">
        <v>864</v>
      </c>
      <c r="K167" s="42">
        <f t="shared" si="39"/>
        <v>10.285714285714286</v>
      </c>
      <c r="L167" s="42">
        <f t="shared" si="40"/>
        <v>0</v>
      </c>
      <c r="M167" s="93">
        <v>1</v>
      </c>
      <c r="N167" s="42">
        <f t="shared" si="41"/>
        <v>864</v>
      </c>
      <c r="O167" s="42">
        <f t="shared" si="42"/>
        <v>864</v>
      </c>
      <c r="P167" s="42">
        <f t="shared" si="43"/>
        <v>0</v>
      </c>
      <c r="Q167" s="91">
        <f t="shared" si="44"/>
        <v>2010.4166666666667</v>
      </c>
      <c r="R167" s="91">
        <f t="shared" si="45"/>
        <v>2022.75</v>
      </c>
      <c r="S167" s="91">
        <f t="shared" si="46"/>
        <v>2017.4166666666667</v>
      </c>
      <c r="T167" s="91">
        <f t="shared" si="47"/>
        <v>2021.75</v>
      </c>
    </row>
    <row r="168" spans="1:20" s="2" customFormat="1" ht="15" x14ac:dyDescent="0.25">
      <c r="A168" s="2">
        <v>111</v>
      </c>
      <c r="B168" s="2" t="s">
        <v>517</v>
      </c>
      <c r="D168" s="88">
        <v>2010</v>
      </c>
      <c r="E168" s="88">
        <v>6</v>
      </c>
      <c r="F168" s="92"/>
      <c r="G168" s="88" t="s">
        <v>381</v>
      </c>
      <c r="H168" s="88">
        <v>7</v>
      </c>
      <c r="I168" s="2">
        <f t="shared" si="38"/>
        <v>2017</v>
      </c>
      <c r="J168" s="42">
        <v>3455</v>
      </c>
      <c r="K168" s="42">
        <f t="shared" si="39"/>
        <v>41.13095238095238</v>
      </c>
      <c r="L168" s="42">
        <f t="shared" si="40"/>
        <v>0</v>
      </c>
      <c r="M168" s="93">
        <v>1</v>
      </c>
      <c r="N168" s="42">
        <f t="shared" si="41"/>
        <v>3455</v>
      </c>
      <c r="O168" s="42">
        <f t="shared" si="42"/>
        <v>3455</v>
      </c>
      <c r="P168" s="42">
        <f t="shared" si="43"/>
        <v>0</v>
      </c>
      <c r="Q168" s="91">
        <f t="shared" si="44"/>
        <v>2010.4166666666667</v>
      </c>
      <c r="R168" s="91">
        <f t="shared" si="45"/>
        <v>2022.75</v>
      </c>
      <c r="S168" s="91">
        <f t="shared" si="46"/>
        <v>2017.4166666666667</v>
      </c>
      <c r="T168" s="91">
        <f t="shared" si="47"/>
        <v>2021.75</v>
      </c>
    </row>
    <row r="169" spans="1:20" s="2" customFormat="1" ht="15" x14ac:dyDescent="0.25">
      <c r="A169" s="2">
        <v>112</v>
      </c>
      <c r="B169" s="2" t="s">
        <v>518</v>
      </c>
      <c r="D169" s="88">
        <v>2010</v>
      </c>
      <c r="E169" s="88">
        <v>10</v>
      </c>
      <c r="F169" s="92"/>
      <c r="G169" s="88" t="s">
        <v>381</v>
      </c>
      <c r="H169" s="88">
        <v>7</v>
      </c>
      <c r="I169" s="2">
        <f t="shared" si="38"/>
        <v>2017</v>
      </c>
      <c r="J169" s="42">
        <v>4686</v>
      </c>
      <c r="K169" s="42">
        <f t="shared" si="39"/>
        <v>55.785714285714285</v>
      </c>
      <c r="L169" s="42">
        <f t="shared" si="40"/>
        <v>0</v>
      </c>
      <c r="M169" s="93">
        <v>1</v>
      </c>
      <c r="N169" s="42">
        <f t="shared" si="41"/>
        <v>4686</v>
      </c>
      <c r="O169" s="42">
        <f t="shared" si="42"/>
        <v>4686</v>
      </c>
      <c r="P169" s="42">
        <f t="shared" si="43"/>
        <v>0</v>
      </c>
      <c r="Q169" s="91">
        <f t="shared" si="44"/>
        <v>2010.75</v>
      </c>
      <c r="R169" s="91">
        <f t="shared" si="45"/>
        <v>2022.75</v>
      </c>
      <c r="S169" s="91">
        <f t="shared" si="46"/>
        <v>2017.75</v>
      </c>
      <c r="T169" s="91">
        <f t="shared" si="47"/>
        <v>2021.75</v>
      </c>
    </row>
    <row r="170" spans="1:20" s="2" customFormat="1" ht="15" x14ac:dyDescent="0.25">
      <c r="A170" s="2">
        <v>114</v>
      </c>
      <c r="B170" s="2" t="s">
        <v>519</v>
      </c>
      <c r="D170" s="88">
        <v>2010</v>
      </c>
      <c r="E170" s="88">
        <v>12</v>
      </c>
      <c r="F170" s="92"/>
      <c r="G170" s="88" t="s">
        <v>381</v>
      </c>
      <c r="H170" s="88">
        <v>20</v>
      </c>
      <c r="I170" s="2">
        <f t="shared" si="38"/>
        <v>2030</v>
      </c>
      <c r="J170" s="289">
        <v>60946</v>
      </c>
      <c r="K170" s="289">
        <f t="shared" si="39"/>
        <v>253.94166666666669</v>
      </c>
      <c r="L170" s="289">
        <f t="shared" si="40"/>
        <v>3047.3</v>
      </c>
      <c r="M170" s="93">
        <v>1</v>
      </c>
      <c r="N170" s="289">
        <f t="shared" si="41"/>
        <v>33012.416666666439</v>
      </c>
      <c r="O170" s="289">
        <f t="shared" si="42"/>
        <v>36059.716666666442</v>
      </c>
      <c r="P170" s="289">
        <f t="shared" si="43"/>
        <v>24886.283333333558</v>
      </c>
      <c r="Q170" s="91">
        <f t="shared" si="44"/>
        <v>2010.9166666666667</v>
      </c>
      <c r="R170" s="91">
        <f t="shared" si="45"/>
        <v>2022.75</v>
      </c>
      <c r="S170" s="91">
        <f t="shared" si="46"/>
        <v>2030.9166666666667</v>
      </c>
      <c r="T170" s="91">
        <f t="shared" si="47"/>
        <v>2021.75</v>
      </c>
    </row>
    <row r="171" spans="1:20" s="2" customFormat="1" ht="15" x14ac:dyDescent="0.25">
      <c r="A171" s="2">
        <v>119</v>
      </c>
      <c r="B171" s="2" t="s">
        <v>520</v>
      </c>
      <c r="D171" s="88">
        <v>2011</v>
      </c>
      <c r="E171" s="88">
        <v>4</v>
      </c>
      <c r="F171" s="92"/>
      <c r="G171" s="88" t="s">
        <v>381</v>
      </c>
      <c r="H171" s="88">
        <v>7</v>
      </c>
      <c r="I171" s="2">
        <f t="shared" si="38"/>
        <v>2018</v>
      </c>
      <c r="J171" s="42">
        <v>11900</v>
      </c>
      <c r="K171" s="42">
        <f t="shared" si="39"/>
        <v>141.66666666666666</v>
      </c>
      <c r="L171" s="42">
        <f t="shared" si="40"/>
        <v>0</v>
      </c>
      <c r="M171" s="93">
        <v>1</v>
      </c>
      <c r="N171" s="42">
        <f t="shared" si="41"/>
        <v>11900</v>
      </c>
      <c r="O171" s="42">
        <f t="shared" si="42"/>
        <v>11900</v>
      </c>
      <c r="P171" s="42">
        <f t="shared" si="43"/>
        <v>0</v>
      </c>
      <c r="Q171" s="91">
        <f t="shared" si="44"/>
        <v>2011.25</v>
      </c>
      <c r="R171" s="91">
        <f t="shared" si="45"/>
        <v>2022.75</v>
      </c>
      <c r="S171" s="91">
        <f t="shared" si="46"/>
        <v>2018.25</v>
      </c>
      <c r="T171" s="91">
        <f t="shared" si="47"/>
        <v>2021.75</v>
      </c>
    </row>
    <row r="172" spans="1:20" s="2" customFormat="1" ht="15" x14ac:dyDescent="0.25">
      <c r="A172" s="2">
        <v>120</v>
      </c>
      <c r="B172" s="2" t="s">
        <v>521</v>
      </c>
      <c r="D172" s="88">
        <v>2011</v>
      </c>
      <c r="E172" s="88">
        <v>6</v>
      </c>
      <c r="F172" s="92"/>
      <c r="G172" s="88" t="s">
        <v>381</v>
      </c>
      <c r="H172" s="88">
        <v>7</v>
      </c>
      <c r="I172" s="2">
        <f t="shared" si="38"/>
        <v>2018</v>
      </c>
      <c r="J172" s="42">
        <v>1595</v>
      </c>
      <c r="K172" s="42">
        <f t="shared" si="39"/>
        <v>18.988095238095237</v>
      </c>
      <c r="L172" s="42">
        <f t="shared" si="40"/>
        <v>0</v>
      </c>
      <c r="M172" s="93">
        <v>1</v>
      </c>
      <c r="N172" s="42">
        <f t="shared" si="41"/>
        <v>1595</v>
      </c>
      <c r="O172" s="42">
        <f t="shared" si="42"/>
        <v>1595</v>
      </c>
      <c r="P172" s="42">
        <f t="shared" si="43"/>
        <v>0</v>
      </c>
      <c r="Q172" s="91">
        <f t="shared" si="44"/>
        <v>2011.4166666666667</v>
      </c>
      <c r="R172" s="91">
        <f t="shared" si="45"/>
        <v>2022.75</v>
      </c>
      <c r="S172" s="91">
        <f t="shared" si="46"/>
        <v>2018.4166666666667</v>
      </c>
      <c r="T172" s="91">
        <f t="shared" si="47"/>
        <v>2021.75</v>
      </c>
    </row>
    <row r="173" spans="1:20" s="2" customFormat="1" ht="15" x14ac:dyDescent="0.25">
      <c r="A173" s="2">
        <v>121</v>
      </c>
      <c r="B173" s="2" t="s">
        <v>521</v>
      </c>
      <c r="D173" s="88">
        <v>2011</v>
      </c>
      <c r="E173" s="88">
        <v>7</v>
      </c>
      <c r="F173" s="92"/>
      <c r="G173" s="88" t="s">
        <v>381</v>
      </c>
      <c r="H173" s="88">
        <v>7</v>
      </c>
      <c r="I173" s="2">
        <f t="shared" si="38"/>
        <v>2018</v>
      </c>
      <c r="J173" s="42">
        <v>705</v>
      </c>
      <c r="K173" s="42">
        <f t="shared" si="39"/>
        <v>8.3928571428571423</v>
      </c>
      <c r="L173" s="42">
        <f t="shared" si="40"/>
        <v>0</v>
      </c>
      <c r="M173" s="93">
        <v>1</v>
      </c>
      <c r="N173" s="42">
        <f t="shared" si="41"/>
        <v>705</v>
      </c>
      <c r="O173" s="42">
        <f t="shared" si="42"/>
        <v>705</v>
      </c>
      <c r="P173" s="42">
        <f t="shared" si="43"/>
        <v>0</v>
      </c>
      <c r="Q173" s="91">
        <f t="shared" si="44"/>
        <v>2011.5</v>
      </c>
      <c r="R173" s="91">
        <f t="shared" si="45"/>
        <v>2022.75</v>
      </c>
      <c r="S173" s="91">
        <f t="shared" si="46"/>
        <v>2018.5</v>
      </c>
      <c r="T173" s="91">
        <f t="shared" si="47"/>
        <v>2021.75</v>
      </c>
    </row>
    <row r="174" spans="1:20" s="2" customFormat="1" ht="15" x14ac:dyDescent="0.25">
      <c r="A174" s="2">
        <v>122</v>
      </c>
      <c r="B174" s="2" t="s">
        <v>522</v>
      </c>
      <c r="D174" s="88">
        <v>2011</v>
      </c>
      <c r="E174" s="88">
        <v>8</v>
      </c>
      <c r="F174" s="92"/>
      <c r="G174" s="88" t="s">
        <v>381</v>
      </c>
      <c r="H174" s="88">
        <v>7</v>
      </c>
      <c r="I174" s="2">
        <f t="shared" si="38"/>
        <v>2018</v>
      </c>
      <c r="J174" s="42">
        <v>9209</v>
      </c>
      <c r="K174" s="42">
        <f t="shared" si="39"/>
        <v>109.63095238095239</v>
      </c>
      <c r="L174" s="42">
        <f t="shared" si="40"/>
        <v>0</v>
      </c>
      <c r="M174" s="93">
        <v>1</v>
      </c>
      <c r="N174" s="42">
        <f t="shared" si="41"/>
        <v>9209</v>
      </c>
      <c r="O174" s="42">
        <f t="shared" si="42"/>
        <v>9209</v>
      </c>
      <c r="P174" s="42">
        <f t="shared" si="43"/>
        <v>0</v>
      </c>
      <c r="Q174" s="91">
        <f t="shared" si="44"/>
        <v>2011.5833333333333</v>
      </c>
      <c r="R174" s="91">
        <f t="shared" si="45"/>
        <v>2022.75</v>
      </c>
      <c r="S174" s="91">
        <f t="shared" si="46"/>
        <v>2018.5833333333333</v>
      </c>
      <c r="T174" s="91">
        <f t="shared" si="47"/>
        <v>2021.75</v>
      </c>
    </row>
    <row r="175" spans="1:20" s="2" customFormat="1" ht="15" x14ac:dyDescent="0.25">
      <c r="A175" s="2">
        <v>123</v>
      </c>
      <c r="B175" s="2" t="s">
        <v>523</v>
      </c>
      <c r="D175" s="88">
        <v>2011</v>
      </c>
      <c r="E175" s="88">
        <v>9</v>
      </c>
      <c r="F175" s="92"/>
      <c r="G175" s="88" t="s">
        <v>381</v>
      </c>
      <c r="H175" s="88">
        <v>7</v>
      </c>
      <c r="I175" s="2">
        <f t="shared" si="38"/>
        <v>2018</v>
      </c>
      <c r="J175" s="42">
        <v>5999</v>
      </c>
      <c r="K175" s="42">
        <f t="shared" si="39"/>
        <v>71.416666666666671</v>
      </c>
      <c r="L175" s="42">
        <f t="shared" si="40"/>
        <v>0</v>
      </c>
      <c r="M175" s="93">
        <v>1</v>
      </c>
      <c r="N175" s="42">
        <f t="shared" si="41"/>
        <v>5999</v>
      </c>
      <c r="O175" s="42">
        <f t="shared" si="42"/>
        <v>5999</v>
      </c>
      <c r="P175" s="42">
        <f t="shared" si="43"/>
        <v>0</v>
      </c>
      <c r="Q175" s="91">
        <f t="shared" si="44"/>
        <v>2011.6666666666667</v>
      </c>
      <c r="R175" s="91">
        <f t="shared" si="45"/>
        <v>2022.75</v>
      </c>
      <c r="S175" s="91">
        <f t="shared" si="46"/>
        <v>2018.6666666666667</v>
      </c>
      <c r="T175" s="91">
        <f t="shared" si="47"/>
        <v>2021.75</v>
      </c>
    </row>
    <row r="176" spans="1:20" s="2" customFormat="1" ht="15" x14ac:dyDescent="0.25">
      <c r="A176" s="2">
        <v>124</v>
      </c>
      <c r="B176" s="2" t="s">
        <v>524</v>
      </c>
      <c r="D176" s="88">
        <v>2011</v>
      </c>
      <c r="E176" s="88">
        <v>10</v>
      </c>
      <c r="F176" s="92"/>
      <c r="G176" s="88" t="s">
        <v>381</v>
      </c>
      <c r="H176" s="88">
        <v>5</v>
      </c>
      <c r="I176" s="2">
        <f t="shared" si="38"/>
        <v>2016</v>
      </c>
      <c r="J176" s="42">
        <v>1856</v>
      </c>
      <c r="K176" s="42">
        <f t="shared" si="39"/>
        <v>30.933333333333334</v>
      </c>
      <c r="L176" s="42">
        <f t="shared" si="40"/>
        <v>0</v>
      </c>
      <c r="M176" s="93">
        <v>1</v>
      </c>
      <c r="N176" s="42">
        <f t="shared" si="41"/>
        <v>1856</v>
      </c>
      <c r="O176" s="42">
        <f t="shared" si="42"/>
        <v>1856</v>
      </c>
      <c r="P176" s="42">
        <f t="shared" si="43"/>
        <v>0</v>
      </c>
      <c r="Q176" s="91">
        <f t="shared" si="44"/>
        <v>2011.75</v>
      </c>
      <c r="R176" s="91">
        <f t="shared" si="45"/>
        <v>2022.75</v>
      </c>
      <c r="S176" s="91">
        <f t="shared" si="46"/>
        <v>2016.75</v>
      </c>
      <c r="T176" s="91">
        <f t="shared" si="47"/>
        <v>2021.75</v>
      </c>
    </row>
    <row r="177" spans="1:20" s="2" customFormat="1" ht="15" x14ac:dyDescent="0.25">
      <c r="A177" s="2">
        <v>125</v>
      </c>
      <c r="B177" s="2" t="s">
        <v>525</v>
      </c>
      <c r="D177" s="88">
        <v>2011</v>
      </c>
      <c r="E177" s="88">
        <v>10</v>
      </c>
      <c r="F177" s="92"/>
      <c r="G177" s="88" t="s">
        <v>381</v>
      </c>
      <c r="H177" s="88">
        <v>5</v>
      </c>
      <c r="I177" s="2">
        <f t="shared" si="38"/>
        <v>2016</v>
      </c>
      <c r="J177" s="42">
        <v>1856</v>
      </c>
      <c r="K177" s="42">
        <f t="shared" si="39"/>
        <v>30.933333333333334</v>
      </c>
      <c r="L177" s="42">
        <f t="shared" si="40"/>
        <v>0</v>
      </c>
      <c r="M177" s="93">
        <v>1</v>
      </c>
      <c r="N177" s="42">
        <f t="shared" si="41"/>
        <v>1856</v>
      </c>
      <c r="O177" s="42">
        <f t="shared" si="42"/>
        <v>1856</v>
      </c>
      <c r="P177" s="42">
        <f t="shared" si="43"/>
        <v>0</v>
      </c>
      <c r="Q177" s="91">
        <f t="shared" si="44"/>
        <v>2011.75</v>
      </c>
      <c r="R177" s="91">
        <f t="shared" si="45"/>
        <v>2022.75</v>
      </c>
      <c r="S177" s="91">
        <f t="shared" si="46"/>
        <v>2016.75</v>
      </c>
      <c r="T177" s="91">
        <f t="shared" si="47"/>
        <v>2021.75</v>
      </c>
    </row>
    <row r="178" spans="1:20" s="2" customFormat="1" ht="15" x14ac:dyDescent="0.25">
      <c r="A178" s="2">
        <v>126</v>
      </c>
      <c r="B178" s="2" t="s">
        <v>526</v>
      </c>
      <c r="D178" s="88">
        <v>2011</v>
      </c>
      <c r="E178" s="88">
        <v>10</v>
      </c>
      <c r="F178" s="92"/>
      <c r="G178" s="88" t="s">
        <v>381</v>
      </c>
      <c r="H178" s="88">
        <v>5</v>
      </c>
      <c r="I178" s="2">
        <f t="shared" si="38"/>
        <v>2016</v>
      </c>
      <c r="J178" s="42">
        <v>395</v>
      </c>
      <c r="K178" s="42">
        <f t="shared" si="39"/>
        <v>6.583333333333333</v>
      </c>
      <c r="L178" s="42">
        <f t="shared" si="40"/>
        <v>0</v>
      </c>
      <c r="M178" s="93">
        <v>1</v>
      </c>
      <c r="N178" s="42">
        <f t="shared" si="41"/>
        <v>395</v>
      </c>
      <c r="O178" s="42">
        <f t="shared" si="42"/>
        <v>395</v>
      </c>
      <c r="P178" s="42">
        <f t="shared" si="43"/>
        <v>0</v>
      </c>
      <c r="Q178" s="91">
        <f t="shared" si="44"/>
        <v>2011.75</v>
      </c>
      <c r="R178" s="91">
        <f t="shared" si="45"/>
        <v>2022.75</v>
      </c>
      <c r="S178" s="91">
        <f t="shared" si="46"/>
        <v>2016.75</v>
      </c>
      <c r="T178" s="91">
        <f t="shared" si="47"/>
        <v>2021.75</v>
      </c>
    </row>
    <row r="179" spans="1:20" s="2" customFormat="1" ht="15" x14ac:dyDescent="0.25">
      <c r="A179" s="2">
        <v>127</v>
      </c>
      <c r="B179" s="2" t="s">
        <v>527</v>
      </c>
      <c r="D179" s="88">
        <v>2011</v>
      </c>
      <c r="E179" s="88">
        <v>10</v>
      </c>
      <c r="F179" s="92"/>
      <c r="G179" s="88" t="s">
        <v>381</v>
      </c>
      <c r="H179" s="88">
        <v>5</v>
      </c>
      <c r="I179" s="2">
        <f t="shared" si="38"/>
        <v>2016</v>
      </c>
      <c r="J179" s="42">
        <v>395</v>
      </c>
      <c r="K179" s="42">
        <f t="shared" si="39"/>
        <v>6.583333333333333</v>
      </c>
      <c r="L179" s="42">
        <f t="shared" si="40"/>
        <v>0</v>
      </c>
      <c r="M179" s="93">
        <v>1</v>
      </c>
      <c r="N179" s="42">
        <f t="shared" si="41"/>
        <v>395</v>
      </c>
      <c r="O179" s="42">
        <f t="shared" si="42"/>
        <v>395</v>
      </c>
      <c r="P179" s="42">
        <f t="shared" si="43"/>
        <v>0</v>
      </c>
      <c r="Q179" s="91">
        <f t="shared" si="44"/>
        <v>2011.75</v>
      </c>
      <c r="R179" s="91">
        <f t="shared" si="45"/>
        <v>2022.75</v>
      </c>
      <c r="S179" s="91">
        <f t="shared" si="46"/>
        <v>2016.75</v>
      </c>
      <c r="T179" s="91">
        <f t="shared" si="47"/>
        <v>2021.75</v>
      </c>
    </row>
    <row r="180" spans="1:20" s="2" customFormat="1" ht="15" x14ac:dyDescent="0.25">
      <c r="A180" s="2">
        <v>128</v>
      </c>
      <c r="B180" s="2" t="s">
        <v>528</v>
      </c>
      <c r="D180" s="88">
        <v>2011</v>
      </c>
      <c r="E180" s="88">
        <v>1</v>
      </c>
      <c r="F180" s="92"/>
      <c r="G180" s="88" t="s">
        <v>381</v>
      </c>
      <c r="H180" s="88">
        <v>7</v>
      </c>
      <c r="I180" s="2">
        <f t="shared" si="38"/>
        <v>2018</v>
      </c>
      <c r="J180" s="42">
        <v>2070</v>
      </c>
      <c r="K180" s="42">
        <f t="shared" si="39"/>
        <v>24.642857142857142</v>
      </c>
      <c r="L180" s="42">
        <f t="shared" si="40"/>
        <v>0</v>
      </c>
      <c r="M180" s="93">
        <v>1</v>
      </c>
      <c r="N180" s="42">
        <f t="shared" si="41"/>
        <v>2070</v>
      </c>
      <c r="O180" s="42">
        <f t="shared" si="42"/>
        <v>2070</v>
      </c>
      <c r="P180" s="42">
        <f t="shared" si="43"/>
        <v>0</v>
      </c>
      <c r="Q180" s="91">
        <f t="shared" si="44"/>
        <v>2011</v>
      </c>
      <c r="R180" s="91">
        <f t="shared" si="45"/>
        <v>2022.75</v>
      </c>
      <c r="S180" s="91">
        <f t="shared" si="46"/>
        <v>2018</v>
      </c>
      <c r="T180" s="91">
        <f t="shared" si="47"/>
        <v>2021.75</v>
      </c>
    </row>
    <row r="181" spans="1:20" s="2" customFormat="1" ht="15" x14ac:dyDescent="0.25">
      <c r="A181" s="2">
        <v>129</v>
      </c>
      <c r="B181" s="2" t="s">
        <v>529</v>
      </c>
      <c r="D181" s="88">
        <v>2011</v>
      </c>
      <c r="E181" s="88">
        <v>1</v>
      </c>
      <c r="F181" s="92"/>
      <c r="G181" s="88" t="s">
        <v>381</v>
      </c>
      <c r="H181" s="88">
        <v>5</v>
      </c>
      <c r="I181" s="2">
        <f t="shared" si="38"/>
        <v>2016</v>
      </c>
      <c r="J181" s="42">
        <v>283</v>
      </c>
      <c r="K181" s="42">
        <f t="shared" si="39"/>
        <v>4.7166666666666668</v>
      </c>
      <c r="L181" s="42">
        <f t="shared" si="40"/>
        <v>0</v>
      </c>
      <c r="M181" s="93">
        <v>1</v>
      </c>
      <c r="N181" s="42">
        <f t="shared" si="41"/>
        <v>283</v>
      </c>
      <c r="O181" s="42">
        <f t="shared" si="42"/>
        <v>283</v>
      </c>
      <c r="P181" s="42">
        <f t="shared" si="43"/>
        <v>0</v>
      </c>
      <c r="Q181" s="91">
        <f t="shared" si="44"/>
        <v>2011</v>
      </c>
      <c r="R181" s="91">
        <f t="shared" si="45"/>
        <v>2022.75</v>
      </c>
      <c r="S181" s="91">
        <f t="shared" si="46"/>
        <v>2016</v>
      </c>
      <c r="T181" s="91">
        <f t="shared" si="47"/>
        <v>2021.75</v>
      </c>
    </row>
    <row r="182" spans="1:20" s="2" customFormat="1" ht="15" x14ac:dyDescent="0.25">
      <c r="A182" s="2">
        <v>130</v>
      </c>
      <c r="B182" s="2" t="s">
        <v>530</v>
      </c>
      <c r="D182" s="88">
        <v>2011</v>
      </c>
      <c r="E182" s="88">
        <v>1</v>
      </c>
      <c r="F182" s="92"/>
      <c r="G182" s="88" t="s">
        <v>381</v>
      </c>
      <c r="H182" s="88">
        <v>5</v>
      </c>
      <c r="I182" s="2">
        <f t="shared" si="38"/>
        <v>2016</v>
      </c>
      <c r="J182" s="42">
        <v>8575</v>
      </c>
      <c r="K182" s="42">
        <f t="shared" si="39"/>
        <v>142.91666666666666</v>
      </c>
      <c r="L182" s="42">
        <f t="shared" si="40"/>
        <v>0</v>
      </c>
      <c r="M182" s="93">
        <v>1</v>
      </c>
      <c r="N182" s="42">
        <f t="shared" si="41"/>
        <v>8575</v>
      </c>
      <c r="O182" s="42">
        <f t="shared" si="42"/>
        <v>8575</v>
      </c>
      <c r="P182" s="42">
        <f t="shared" si="43"/>
        <v>0</v>
      </c>
      <c r="Q182" s="91">
        <f t="shared" si="44"/>
        <v>2011</v>
      </c>
      <c r="R182" s="91">
        <f t="shared" si="45"/>
        <v>2022.75</v>
      </c>
      <c r="S182" s="91">
        <f t="shared" si="46"/>
        <v>2016</v>
      </c>
      <c r="T182" s="91">
        <f t="shared" si="47"/>
        <v>2021.75</v>
      </c>
    </row>
    <row r="183" spans="1:20" s="2" customFormat="1" ht="15" x14ac:dyDescent="0.25">
      <c r="A183" s="2">
        <v>131</v>
      </c>
      <c r="B183" s="2" t="s">
        <v>531</v>
      </c>
      <c r="D183" s="88">
        <v>2011</v>
      </c>
      <c r="E183" s="88">
        <v>2</v>
      </c>
      <c r="F183" s="92"/>
      <c r="G183" s="88" t="s">
        <v>381</v>
      </c>
      <c r="H183" s="88">
        <v>5</v>
      </c>
      <c r="I183" s="2">
        <f t="shared" si="38"/>
        <v>2016</v>
      </c>
      <c r="J183" s="42">
        <v>1084</v>
      </c>
      <c r="K183" s="42">
        <f t="shared" si="39"/>
        <v>18.066666666666666</v>
      </c>
      <c r="L183" s="42">
        <f t="shared" si="40"/>
        <v>0</v>
      </c>
      <c r="M183" s="93">
        <v>1</v>
      </c>
      <c r="N183" s="42">
        <f t="shared" si="41"/>
        <v>1084</v>
      </c>
      <c r="O183" s="42">
        <f t="shared" si="42"/>
        <v>1084</v>
      </c>
      <c r="P183" s="42">
        <f t="shared" si="43"/>
        <v>0</v>
      </c>
      <c r="Q183" s="91">
        <f t="shared" si="44"/>
        <v>2011.0833333333333</v>
      </c>
      <c r="R183" s="91">
        <f t="shared" si="45"/>
        <v>2022.75</v>
      </c>
      <c r="S183" s="91">
        <f t="shared" si="46"/>
        <v>2016.0833333333333</v>
      </c>
      <c r="T183" s="91">
        <f t="shared" si="47"/>
        <v>2021.75</v>
      </c>
    </row>
    <row r="184" spans="1:20" s="2" customFormat="1" ht="15" x14ac:dyDescent="0.25">
      <c r="A184" s="2">
        <v>132</v>
      </c>
      <c r="B184" s="2" t="s">
        <v>531</v>
      </c>
      <c r="D184" s="88">
        <v>2011</v>
      </c>
      <c r="E184" s="88">
        <v>2</v>
      </c>
      <c r="F184" s="92"/>
      <c r="G184" s="88" t="s">
        <v>381</v>
      </c>
      <c r="H184" s="88">
        <v>5</v>
      </c>
      <c r="I184" s="2">
        <f t="shared" si="38"/>
        <v>2016</v>
      </c>
      <c r="J184" s="42">
        <v>1470</v>
      </c>
      <c r="K184" s="42">
        <f t="shared" si="39"/>
        <v>24.5</v>
      </c>
      <c r="L184" s="42">
        <f t="shared" si="40"/>
        <v>0</v>
      </c>
      <c r="M184" s="93">
        <v>1</v>
      </c>
      <c r="N184" s="42">
        <f t="shared" si="41"/>
        <v>1470</v>
      </c>
      <c r="O184" s="42">
        <f t="shared" si="42"/>
        <v>1470</v>
      </c>
      <c r="P184" s="42">
        <f t="shared" si="43"/>
        <v>0</v>
      </c>
      <c r="Q184" s="91">
        <f t="shared" si="44"/>
        <v>2011.0833333333333</v>
      </c>
      <c r="R184" s="91">
        <f t="shared" si="45"/>
        <v>2022.75</v>
      </c>
      <c r="S184" s="91">
        <f t="shared" si="46"/>
        <v>2016.0833333333333</v>
      </c>
      <c r="T184" s="91">
        <f t="shared" si="47"/>
        <v>2021.75</v>
      </c>
    </row>
    <row r="185" spans="1:20" s="2" customFormat="1" ht="15" x14ac:dyDescent="0.25">
      <c r="A185" s="2">
        <v>133</v>
      </c>
      <c r="B185" s="2" t="s">
        <v>532</v>
      </c>
      <c r="D185" s="88">
        <v>2011</v>
      </c>
      <c r="E185" s="88">
        <v>2</v>
      </c>
      <c r="F185" s="92"/>
      <c r="G185" s="88" t="s">
        <v>381</v>
      </c>
      <c r="H185" s="88">
        <v>5</v>
      </c>
      <c r="I185" s="2">
        <f t="shared" si="38"/>
        <v>2016</v>
      </c>
      <c r="J185" s="42">
        <v>3546</v>
      </c>
      <c r="K185" s="42">
        <f t="shared" si="39"/>
        <v>59.1</v>
      </c>
      <c r="L185" s="42">
        <f t="shared" si="40"/>
        <v>0</v>
      </c>
      <c r="M185" s="93">
        <v>1</v>
      </c>
      <c r="N185" s="42">
        <f t="shared" si="41"/>
        <v>3546</v>
      </c>
      <c r="O185" s="42">
        <f t="shared" si="42"/>
        <v>3546</v>
      </c>
      <c r="P185" s="42">
        <f t="shared" si="43"/>
        <v>0</v>
      </c>
      <c r="Q185" s="91">
        <f t="shared" si="44"/>
        <v>2011.0833333333333</v>
      </c>
      <c r="R185" s="91">
        <f t="shared" si="45"/>
        <v>2022.75</v>
      </c>
      <c r="S185" s="91">
        <f t="shared" si="46"/>
        <v>2016.0833333333333</v>
      </c>
      <c r="T185" s="91">
        <f t="shared" si="47"/>
        <v>2021.75</v>
      </c>
    </row>
    <row r="186" spans="1:20" s="2" customFormat="1" ht="15" x14ac:dyDescent="0.25">
      <c r="A186" s="2">
        <v>134</v>
      </c>
      <c r="B186" s="2" t="s">
        <v>533</v>
      </c>
      <c r="D186" s="88">
        <v>2011</v>
      </c>
      <c r="E186" s="88">
        <v>3</v>
      </c>
      <c r="F186" s="92"/>
      <c r="G186" s="88" t="s">
        <v>381</v>
      </c>
      <c r="H186" s="88">
        <v>5</v>
      </c>
      <c r="I186" s="2">
        <f t="shared" si="38"/>
        <v>2016</v>
      </c>
      <c r="J186" s="42">
        <v>540</v>
      </c>
      <c r="K186" s="42">
        <f t="shared" si="39"/>
        <v>9</v>
      </c>
      <c r="L186" s="42">
        <f t="shared" si="40"/>
        <v>0</v>
      </c>
      <c r="M186" s="93">
        <v>1</v>
      </c>
      <c r="N186" s="42">
        <f t="shared" si="41"/>
        <v>540</v>
      </c>
      <c r="O186" s="42">
        <f t="shared" si="42"/>
        <v>540</v>
      </c>
      <c r="P186" s="42">
        <f t="shared" si="43"/>
        <v>0</v>
      </c>
      <c r="Q186" s="91">
        <f t="shared" si="44"/>
        <v>2011.1666666666667</v>
      </c>
      <c r="R186" s="91">
        <f t="shared" si="45"/>
        <v>2022.75</v>
      </c>
      <c r="S186" s="91">
        <f t="shared" si="46"/>
        <v>2016.1666666666667</v>
      </c>
      <c r="T186" s="91">
        <f t="shared" si="47"/>
        <v>2021.75</v>
      </c>
    </row>
    <row r="187" spans="1:20" s="2" customFormat="1" ht="15" x14ac:dyDescent="0.25">
      <c r="A187" s="2">
        <v>142</v>
      </c>
      <c r="B187" s="2" t="s">
        <v>534</v>
      </c>
      <c r="D187" s="88">
        <v>2011</v>
      </c>
      <c r="E187" s="88">
        <v>1</v>
      </c>
      <c r="F187" s="92"/>
      <c r="G187" s="88" t="s">
        <v>381</v>
      </c>
      <c r="H187" s="88">
        <v>5</v>
      </c>
      <c r="I187" s="2">
        <f t="shared" si="38"/>
        <v>2016</v>
      </c>
      <c r="J187" s="42">
        <v>6992</v>
      </c>
      <c r="K187" s="42">
        <f t="shared" si="39"/>
        <v>116.53333333333335</v>
      </c>
      <c r="L187" s="42">
        <f t="shared" si="40"/>
        <v>0</v>
      </c>
      <c r="M187" s="93">
        <v>1</v>
      </c>
      <c r="N187" s="42">
        <f t="shared" si="41"/>
        <v>6992</v>
      </c>
      <c r="O187" s="42">
        <f t="shared" si="42"/>
        <v>6992</v>
      </c>
      <c r="P187" s="42">
        <f t="shared" si="43"/>
        <v>0</v>
      </c>
      <c r="Q187" s="91">
        <f t="shared" si="44"/>
        <v>2011</v>
      </c>
      <c r="R187" s="91">
        <f t="shared" si="45"/>
        <v>2022.75</v>
      </c>
      <c r="S187" s="91">
        <f t="shared" si="46"/>
        <v>2016</v>
      </c>
      <c r="T187" s="91">
        <f t="shared" si="47"/>
        <v>2021.75</v>
      </c>
    </row>
    <row r="188" spans="1:20" s="2" customFormat="1" ht="15" x14ac:dyDescent="0.25">
      <c r="A188" s="2">
        <v>143</v>
      </c>
      <c r="B188" s="2" t="s">
        <v>535</v>
      </c>
      <c r="D188" s="88">
        <v>2011</v>
      </c>
      <c r="E188" s="88">
        <v>2</v>
      </c>
      <c r="F188" s="92"/>
      <c r="G188" s="88" t="s">
        <v>381</v>
      </c>
      <c r="H188" s="88">
        <v>10</v>
      </c>
      <c r="I188" s="2">
        <f t="shared" si="38"/>
        <v>2021</v>
      </c>
      <c r="J188" s="42">
        <v>3760</v>
      </c>
      <c r="K188" s="42">
        <f t="shared" si="39"/>
        <v>31.333333333333332</v>
      </c>
      <c r="L188" s="42">
        <f t="shared" si="40"/>
        <v>0</v>
      </c>
      <c r="M188" s="93">
        <v>1</v>
      </c>
      <c r="N188" s="42">
        <f t="shared" si="41"/>
        <v>3760</v>
      </c>
      <c r="O188" s="42">
        <f t="shared" si="42"/>
        <v>3760</v>
      </c>
      <c r="P188" s="42">
        <f t="shared" si="43"/>
        <v>0</v>
      </c>
      <c r="Q188" s="91">
        <f t="shared" si="44"/>
        <v>2011.0833333333333</v>
      </c>
      <c r="R188" s="91">
        <f t="shared" si="45"/>
        <v>2022.75</v>
      </c>
      <c r="S188" s="91">
        <f t="shared" si="46"/>
        <v>2021.0833333333333</v>
      </c>
      <c r="T188" s="91">
        <f t="shared" si="47"/>
        <v>2021.75</v>
      </c>
    </row>
    <row r="189" spans="1:20" s="2" customFormat="1" ht="15" x14ac:dyDescent="0.25">
      <c r="A189" s="2">
        <v>146</v>
      </c>
      <c r="B189" s="2" t="s">
        <v>536</v>
      </c>
      <c r="D189" s="88">
        <v>2012</v>
      </c>
      <c r="E189" s="88">
        <v>10</v>
      </c>
      <c r="F189" s="92"/>
      <c r="G189" s="88" t="s">
        <v>381</v>
      </c>
      <c r="H189" s="88">
        <v>5</v>
      </c>
      <c r="I189" s="2">
        <f t="shared" si="38"/>
        <v>2017</v>
      </c>
      <c r="J189" s="42">
        <v>22230</v>
      </c>
      <c r="K189" s="42">
        <f t="shared" si="39"/>
        <v>370.5</v>
      </c>
      <c r="L189" s="42">
        <f t="shared" si="40"/>
        <v>0</v>
      </c>
      <c r="M189" s="93">
        <v>1</v>
      </c>
      <c r="N189" s="42">
        <f t="shared" si="41"/>
        <v>22230</v>
      </c>
      <c r="O189" s="42">
        <f t="shared" si="42"/>
        <v>22230</v>
      </c>
      <c r="P189" s="42">
        <f t="shared" si="43"/>
        <v>0</v>
      </c>
      <c r="Q189" s="91">
        <f t="shared" si="44"/>
        <v>2012.75</v>
      </c>
      <c r="R189" s="91">
        <f t="shared" si="45"/>
        <v>2022.75</v>
      </c>
      <c r="S189" s="91">
        <f t="shared" si="46"/>
        <v>2017.75</v>
      </c>
      <c r="T189" s="91">
        <f t="shared" si="47"/>
        <v>2021.75</v>
      </c>
    </row>
    <row r="190" spans="1:20" s="2" customFormat="1" ht="15" x14ac:dyDescent="0.25">
      <c r="A190" s="2">
        <v>147</v>
      </c>
      <c r="B190" s="2" t="s">
        <v>537</v>
      </c>
      <c r="D190" s="88">
        <v>2012</v>
      </c>
      <c r="E190" s="88">
        <v>1</v>
      </c>
      <c r="F190" s="92"/>
      <c r="G190" s="88" t="s">
        <v>381</v>
      </c>
      <c r="H190" s="88">
        <v>5</v>
      </c>
      <c r="I190" s="2">
        <f t="shared" si="38"/>
        <v>2017</v>
      </c>
      <c r="J190" s="42">
        <v>601</v>
      </c>
      <c r="K190" s="42">
        <f t="shared" si="39"/>
        <v>10.016666666666667</v>
      </c>
      <c r="L190" s="42">
        <f t="shared" si="40"/>
        <v>0</v>
      </c>
      <c r="M190" s="93">
        <v>1</v>
      </c>
      <c r="N190" s="42">
        <f t="shared" si="41"/>
        <v>601</v>
      </c>
      <c r="O190" s="42">
        <f t="shared" si="42"/>
        <v>601</v>
      </c>
      <c r="P190" s="42">
        <f t="shared" si="43"/>
        <v>0</v>
      </c>
      <c r="Q190" s="91">
        <f t="shared" si="44"/>
        <v>2012</v>
      </c>
      <c r="R190" s="91">
        <f t="shared" si="45"/>
        <v>2022.75</v>
      </c>
      <c r="S190" s="91">
        <f t="shared" si="46"/>
        <v>2017</v>
      </c>
      <c r="T190" s="91">
        <f t="shared" si="47"/>
        <v>2021.75</v>
      </c>
    </row>
    <row r="191" spans="1:20" s="2" customFormat="1" ht="15" x14ac:dyDescent="0.25">
      <c r="A191" s="2">
        <v>148</v>
      </c>
      <c r="B191" s="2" t="s">
        <v>538</v>
      </c>
      <c r="D191" s="88">
        <v>2012</v>
      </c>
      <c r="E191" s="88">
        <v>2</v>
      </c>
      <c r="F191" s="92"/>
      <c r="G191" s="88" t="s">
        <v>381</v>
      </c>
      <c r="H191" s="88">
        <v>5</v>
      </c>
      <c r="I191" s="2">
        <f t="shared" si="38"/>
        <v>2017</v>
      </c>
      <c r="J191" s="42">
        <v>14426</v>
      </c>
      <c r="K191" s="42">
        <f t="shared" si="39"/>
        <v>240.43333333333331</v>
      </c>
      <c r="L191" s="42">
        <f t="shared" si="40"/>
        <v>0</v>
      </c>
      <c r="M191" s="93">
        <v>1</v>
      </c>
      <c r="N191" s="42">
        <f t="shared" si="41"/>
        <v>14426</v>
      </c>
      <c r="O191" s="42">
        <f t="shared" si="42"/>
        <v>14426</v>
      </c>
      <c r="P191" s="42">
        <f t="shared" si="43"/>
        <v>0</v>
      </c>
      <c r="Q191" s="91">
        <f t="shared" si="44"/>
        <v>2012.0833333333333</v>
      </c>
      <c r="R191" s="91">
        <f t="shared" si="45"/>
        <v>2022.75</v>
      </c>
      <c r="S191" s="91">
        <f t="shared" si="46"/>
        <v>2017.0833333333333</v>
      </c>
      <c r="T191" s="91">
        <f t="shared" si="47"/>
        <v>2021.75</v>
      </c>
    </row>
    <row r="192" spans="1:20" s="2" customFormat="1" ht="15" x14ac:dyDescent="0.25">
      <c r="A192" s="2">
        <v>150</v>
      </c>
      <c r="B192" s="2" t="s">
        <v>539</v>
      </c>
      <c r="D192" s="88">
        <v>2012</v>
      </c>
      <c r="E192" s="88">
        <v>10</v>
      </c>
      <c r="F192" s="92"/>
      <c r="G192" s="88" t="s">
        <v>381</v>
      </c>
      <c r="H192" s="88">
        <v>5</v>
      </c>
      <c r="I192" s="2">
        <f t="shared" si="38"/>
        <v>2017</v>
      </c>
      <c r="J192" s="42">
        <v>18017</v>
      </c>
      <c r="K192" s="42">
        <f t="shared" si="39"/>
        <v>300.28333333333336</v>
      </c>
      <c r="L192" s="42">
        <f t="shared" si="40"/>
        <v>0</v>
      </c>
      <c r="M192" s="93">
        <v>1</v>
      </c>
      <c r="N192" s="42">
        <f t="shared" si="41"/>
        <v>18017</v>
      </c>
      <c r="O192" s="42">
        <f t="shared" si="42"/>
        <v>18017</v>
      </c>
      <c r="P192" s="42">
        <f t="shared" si="43"/>
        <v>0</v>
      </c>
      <c r="Q192" s="91">
        <f t="shared" si="44"/>
        <v>2012.75</v>
      </c>
      <c r="R192" s="91">
        <f t="shared" si="45"/>
        <v>2022.75</v>
      </c>
      <c r="S192" s="91">
        <f t="shared" si="46"/>
        <v>2017.75</v>
      </c>
      <c r="T192" s="91">
        <f t="shared" si="47"/>
        <v>2021.75</v>
      </c>
    </row>
    <row r="193" spans="1:20" s="2" customFormat="1" ht="15" x14ac:dyDescent="0.25">
      <c r="A193" s="2">
        <v>151</v>
      </c>
      <c r="B193" s="2" t="s">
        <v>540</v>
      </c>
      <c r="D193" s="88">
        <v>2012</v>
      </c>
      <c r="E193" s="88">
        <v>7</v>
      </c>
      <c r="F193" s="92"/>
      <c r="G193" s="88" t="s">
        <v>381</v>
      </c>
      <c r="H193" s="88">
        <v>5</v>
      </c>
      <c r="I193" s="2">
        <f t="shared" si="38"/>
        <v>2017</v>
      </c>
      <c r="J193" s="42">
        <v>5816</v>
      </c>
      <c r="K193" s="42">
        <f t="shared" si="39"/>
        <v>96.933333333333337</v>
      </c>
      <c r="L193" s="42">
        <f t="shared" si="40"/>
        <v>0</v>
      </c>
      <c r="M193" s="93">
        <v>1</v>
      </c>
      <c r="N193" s="42">
        <f t="shared" si="41"/>
        <v>5816</v>
      </c>
      <c r="O193" s="42">
        <f t="shared" si="42"/>
        <v>5816</v>
      </c>
      <c r="P193" s="42">
        <f t="shared" si="43"/>
        <v>0</v>
      </c>
      <c r="Q193" s="91">
        <f t="shared" si="44"/>
        <v>2012.5</v>
      </c>
      <c r="R193" s="91">
        <f t="shared" si="45"/>
        <v>2022.75</v>
      </c>
      <c r="S193" s="91">
        <f t="shared" si="46"/>
        <v>2017.5</v>
      </c>
      <c r="T193" s="91">
        <f t="shared" si="47"/>
        <v>2021.75</v>
      </c>
    </row>
    <row r="194" spans="1:20" s="2" customFormat="1" ht="15" x14ac:dyDescent="0.25">
      <c r="A194" s="2">
        <v>152</v>
      </c>
      <c r="B194" s="2" t="s">
        <v>541</v>
      </c>
      <c r="D194" s="88">
        <v>2012</v>
      </c>
      <c r="E194" s="88">
        <v>10</v>
      </c>
      <c r="F194" s="92"/>
      <c r="G194" s="88" t="s">
        <v>381</v>
      </c>
      <c r="H194" s="88">
        <v>5</v>
      </c>
      <c r="I194" s="2">
        <f t="shared" si="38"/>
        <v>2017</v>
      </c>
      <c r="J194" s="42">
        <v>8345</v>
      </c>
      <c r="K194" s="42">
        <f t="shared" si="39"/>
        <v>139.08333333333334</v>
      </c>
      <c r="L194" s="42">
        <f t="shared" si="40"/>
        <v>0</v>
      </c>
      <c r="M194" s="93">
        <v>1</v>
      </c>
      <c r="N194" s="42">
        <f t="shared" si="41"/>
        <v>8345</v>
      </c>
      <c r="O194" s="42">
        <f t="shared" si="42"/>
        <v>8345</v>
      </c>
      <c r="P194" s="42">
        <f t="shared" si="43"/>
        <v>0</v>
      </c>
      <c r="Q194" s="91">
        <f t="shared" si="44"/>
        <v>2012.75</v>
      </c>
      <c r="R194" s="91">
        <f t="shared" si="45"/>
        <v>2022.75</v>
      </c>
      <c r="S194" s="91">
        <f t="shared" si="46"/>
        <v>2017.75</v>
      </c>
      <c r="T194" s="91">
        <f t="shared" si="47"/>
        <v>2021.75</v>
      </c>
    </row>
    <row r="195" spans="1:20" s="2" customFormat="1" ht="15" x14ac:dyDescent="0.25">
      <c r="A195" s="2">
        <v>153</v>
      </c>
      <c r="B195" s="2" t="s">
        <v>542</v>
      </c>
      <c r="D195" s="88">
        <v>2012</v>
      </c>
      <c r="E195" s="88">
        <v>11</v>
      </c>
      <c r="F195" s="92"/>
      <c r="G195" s="88" t="s">
        <v>381</v>
      </c>
      <c r="H195" s="88">
        <v>7</v>
      </c>
      <c r="I195" s="2">
        <f t="shared" si="38"/>
        <v>2019</v>
      </c>
      <c r="J195" s="42">
        <v>13345</v>
      </c>
      <c r="K195" s="42">
        <f t="shared" si="39"/>
        <v>158.86904761904762</v>
      </c>
      <c r="L195" s="42">
        <f t="shared" si="40"/>
        <v>0</v>
      </c>
      <c r="M195" s="93">
        <v>1</v>
      </c>
      <c r="N195" s="42">
        <f t="shared" si="41"/>
        <v>13345</v>
      </c>
      <c r="O195" s="42">
        <f t="shared" si="42"/>
        <v>13345</v>
      </c>
      <c r="P195" s="42">
        <f t="shared" si="43"/>
        <v>0</v>
      </c>
      <c r="Q195" s="91">
        <f t="shared" si="44"/>
        <v>2012.8333333333333</v>
      </c>
      <c r="R195" s="91">
        <f t="shared" si="45"/>
        <v>2022.75</v>
      </c>
      <c r="S195" s="91">
        <f t="shared" si="46"/>
        <v>2019.8333333333333</v>
      </c>
      <c r="T195" s="91">
        <f t="shared" si="47"/>
        <v>2021.75</v>
      </c>
    </row>
    <row r="196" spans="1:20" s="2" customFormat="1" ht="15" x14ac:dyDescent="0.25">
      <c r="A196" s="2">
        <v>154</v>
      </c>
      <c r="B196" s="2" t="s">
        <v>543</v>
      </c>
      <c r="D196" s="88">
        <v>2012</v>
      </c>
      <c r="E196" s="88">
        <v>11</v>
      </c>
      <c r="F196" s="92"/>
      <c r="G196" s="88" t="s">
        <v>381</v>
      </c>
      <c r="H196" s="88">
        <v>7</v>
      </c>
      <c r="I196" s="2">
        <f t="shared" si="38"/>
        <v>2019</v>
      </c>
      <c r="J196" s="42">
        <v>17500</v>
      </c>
      <c r="K196" s="42">
        <f t="shared" si="39"/>
        <v>208.33333333333334</v>
      </c>
      <c r="L196" s="42">
        <f t="shared" si="40"/>
        <v>0</v>
      </c>
      <c r="M196" s="93">
        <v>1</v>
      </c>
      <c r="N196" s="42">
        <f t="shared" si="41"/>
        <v>17500</v>
      </c>
      <c r="O196" s="42">
        <f t="shared" si="42"/>
        <v>17500</v>
      </c>
      <c r="P196" s="42">
        <f t="shared" si="43"/>
        <v>0</v>
      </c>
      <c r="Q196" s="91">
        <f t="shared" si="44"/>
        <v>2012.8333333333333</v>
      </c>
      <c r="R196" s="91">
        <f t="shared" si="45"/>
        <v>2022.75</v>
      </c>
      <c r="S196" s="91">
        <f t="shared" si="46"/>
        <v>2019.8333333333333</v>
      </c>
      <c r="T196" s="91">
        <f t="shared" si="47"/>
        <v>2021.75</v>
      </c>
    </row>
    <row r="197" spans="1:20" s="2" customFormat="1" ht="15" x14ac:dyDescent="0.25">
      <c r="A197" s="2">
        <v>155</v>
      </c>
      <c r="B197" s="2" t="s">
        <v>544</v>
      </c>
      <c r="D197" s="88">
        <v>2012</v>
      </c>
      <c r="E197" s="88">
        <v>11</v>
      </c>
      <c r="F197" s="92"/>
      <c r="G197" s="88" t="s">
        <v>381</v>
      </c>
      <c r="H197" s="88">
        <v>7</v>
      </c>
      <c r="I197" s="2">
        <f t="shared" si="38"/>
        <v>2019</v>
      </c>
      <c r="J197" s="42">
        <v>17500</v>
      </c>
      <c r="K197" s="42">
        <f t="shared" si="39"/>
        <v>208.33333333333334</v>
      </c>
      <c r="L197" s="42">
        <f t="shared" si="40"/>
        <v>0</v>
      </c>
      <c r="M197" s="93">
        <v>1</v>
      </c>
      <c r="N197" s="42">
        <f t="shared" si="41"/>
        <v>17500</v>
      </c>
      <c r="O197" s="42">
        <f t="shared" si="42"/>
        <v>17500</v>
      </c>
      <c r="P197" s="42">
        <f t="shared" si="43"/>
        <v>0</v>
      </c>
      <c r="Q197" s="91">
        <f t="shared" si="44"/>
        <v>2012.8333333333333</v>
      </c>
      <c r="R197" s="91">
        <f t="shared" si="45"/>
        <v>2022.75</v>
      </c>
      <c r="S197" s="91">
        <f t="shared" si="46"/>
        <v>2019.8333333333333</v>
      </c>
      <c r="T197" s="91">
        <f t="shared" si="47"/>
        <v>2021.75</v>
      </c>
    </row>
    <row r="198" spans="1:20" s="2" customFormat="1" ht="15" x14ac:dyDescent="0.25">
      <c r="A198" s="2">
        <v>156</v>
      </c>
      <c r="B198" s="2" t="s">
        <v>545</v>
      </c>
      <c r="D198" s="88">
        <v>2012</v>
      </c>
      <c r="E198" s="88">
        <v>11</v>
      </c>
      <c r="F198" s="92"/>
      <c r="G198" s="88" t="s">
        <v>381</v>
      </c>
      <c r="H198" s="88">
        <v>7</v>
      </c>
      <c r="I198" s="2">
        <f t="shared" si="38"/>
        <v>2019</v>
      </c>
      <c r="J198" s="42">
        <v>6100</v>
      </c>
      <c r="K198" s="42">
        <f t="shared" si="39"/>
        <v>72.61904761904762</v>
      </c>
      <c r="L198" s="42">
        <f t="shared" si="40"/>
        <v>0</v>
      </c>
      <c r="M198" s="93">
        <v>1</v>
      </c>
      <c r="N198" s="42">
        <f t="shared" si="41"/>
        <v>6100</v>
      </c>
      <c r="O198" s="42">
        <f t="shared" si="42"/>
        <v>6100</v>
      </c>
      <c r="P198" s="42">
        <f t="shared" si="43"/>
        <v>0</v>
      </c>
      <c r="Q198" s="91">
        <f t="shared" si="44"/>
        <v>2012.8333333333333</v>
      </c>
      <c r="R198" s="91">
        <f t="shared" si="45"/>
        <v>2022.75</v>
      </c>
      <c r="S198" s="91">
        <f t="shared" si="46"/>
        <v>2019.8333333333333</v>
      </c>
      <c r="T198" s="91">
        <f t="shared" si="47"/>
        <v>2021.75</v>
      </c>
    </row>
    <row r="199" spans="1:20" s="2" customFormat="1" ht="15" x14ac:dyDescent="0.25">
      <c r="A199" s="2">
        <v>157</v>
      </c>
      <c r="B199" s="2" t="s">
        <v>545</v>
      </c>
      <c r="D199" s="88">
        <v>2012</v>
      </c>
      <c r="E199" s="88">
        <v>11</v>
      </c>
      <c r="F199" s="92"/>
      <c r="G199" s="88" t="s">
        <v>381</v>
      </c>
      <c r="H199" s="88">
        <v>7</v>
      </c>
      <c r="I199" s="2">
        <f t="shared" si="38"/>
        <v>2019</v>
      </c>
      <c r="J199" s="42">
        <v>6322</v>
      </c>
      <c r="K199" s="42">
        <f t="shared" si="39"/>
        <v>75.261904761904759</v>
      </c>
      <c r="L199" s="42">
        <f t="shared" si="40"/>
        <v>0</v>
      </c>
      <c r="M199" s="93">
        <v>1</v>
      </c>
      <c r="N199" s="42">
        <f t="shared" si="41"/>
        <v>6322</v>
      </c>
      <c r="O199" s="42">
        <f t="shared" si="42"/>
        <v>6322</v>
      </c>
      <c r="P199" s="42">
        <f t="shared" si="43"/>
        <v>0</v>
      </c>
      <c r="Q199" s="91">
        <f t="shared" si="44"/>
        <v>2012.8333333333333</v>
      </c>
      <c r="R199" s="91">
        <f t="shared" si="45"/>
        <v>2022.75</v>
      </c>
      <c r="S199" s="91">
        <f t="shared" si="46"/>
        <v>2019.8333333333333</v>
      </c>
      <c r="T199" s="91">
        <f t="shared" si="47"/>
        <v>2021.75</v>
      </c>
    </row>
    <row r="200" spans="1:20" s="2" customFormat="1" ht="15" x14ac:dyDescent="0.25">
      <c r="A200" s="2">
        <v>158</v>
      </c>
      <c r="B200" s="2" t="s">
        <v>545</v>
      </c>
      <c r="D200" s="88">
        <v>2012</v>
      </c>
      <c r="E200" s="88">
        <v>11</v>
      </c>
      <c r="F200" s="92"/>
      <c r="G200" s="88" t="s">
        <v>381</v>
      </c>
      <c r="H200" s="88">
        <v>7</v>
      </c>
      <c r="I200" s="2">
        <f t="shared" si="38"/>
        <v>2019</v>
      </c>
      <c r="J200" s="42">
        <v>16500</v>
      </c>
      <c r="K200" s="42">
        <f t="shared" si="39"/>
        <v>196.42857142857144</v>
      </c>
      <c r="L200" s="42">
        <f t="shared" si="40"/>
        <v>0</v>
      </c>
      <c r="M200" s="93">
        <v>1</v>
      </c>
      <c r="N200" s="42">
        <f t="shared" si="41"/>
        <v>16500</v>
      </c>
      <c r="O200" s="42">
        <f t="shared" si="42"/>
        <v>16500</v>
      </c>
      <c r="P200" s="42">
        <f t="shared" si="43"/>
        <v>0</v>
      </c>
      <c r="Q200" s="91">
        <f t="shared" si="44"/>
        <v>2012.8333333333333</v>
      </c>
      <c r="R200" s="91">
        <f t="shared" si="45"/>
        <v>2022.75</v>
      </c>
      <c r="S200" s="91">
        <f t="shared" si="46"/>
        <v>2019.8333333333333</v>
      </c>
      <c r="T200" s="91">
        <f t="shared" si="47"/>
        <v>2021.75</v>
      </c>
    </row>
    <row r="201" spans="1:20" s="2" customFormat="1" ht="15" x14ac:dyDescent="0.25">
      <c r="A201" s="2">
        <v>160</v>
      </c>
      <c r="B201" s="2" t="s">
        <v>546</v>
      </c>
      <c r="D201" s="88">
        <v>2012</v>
      </c>
      <c r="E201" s="88">
        <v>8</v>
      </c>
      <c r="F201" s="92"/>
      <c r="G201" s="88" t="s">
        <v>381</v>
      </c>
      <c r="H201" s="88">
        <v>7</v>
      </c>
      <c r="I201" s="2">
        <f t="shared" si="38"/>
        <v>2019</v>
      </c>
      <c r="J201" s="42">
        <v>1937</v>
      </c>
      <c r="K201" s="42">
        <f t="shared" si="39"/>
        <v>23.05952380952381</v>
      </c>
      <c r="L201" s="42">
        <f t="shared" si="40"/>
        <v>0</v>
      </c>
      <c r="M201" s="93">
        <v>1</v>
      </c>
      <c r="N201" s="42">
        <f t="shared" si="41"/>
        <v>1937</v>
      </c>
      <c r="O201" s="42">
        <f t="shared" si="42"/>
        <v>1937</v>
      </c>
      <c r="P201" s="42">
        <f t="shared" si="43"/>
        <v>0</v>
      </c>
      <c r="Q201" s="91">
        <f t="shared" si="44"/>
        <v>2012.5833333333333</v>
      </c>
      <c r="R201" s="91">
        <f t="shared" si="45"/>
        <v>2022.75</v>
      </c>
      <c r="S201" s="91">
        <f t="shared" si="46"/>
        <v>2019.5833333333333</v>
      </c>
      <c r="T201" s="91">
        <f t="shared" si="47"/>
        <v>2021.75</v>
      </c>
    </row>
    <row r="202" spans="1:20" s="2" customFormat="1" ht="15" x14ac:dyDescent="0.25">
      <c r="A202" s="2">
        <v>161</v>
      </c>
      <c r="B202" s="2" t="s">
        <v>546</v>
      </c>
      <c r="D202" s="88">
        <v>2012</v>
      </c>
      <c r="E202" s="88">
        <v>8</v>
      </c>
      <c r="F202" s="92"/>
      <c r="G202" s="88" t="s">
        <v>381</v>
      </c>
      <c r="H202" s="88">
        <v>7</v>
      </c>
      <c r="I202" s="2">
        <f t="shared" si="38"/>
        <v>2019</v>
      </c>
      <c r="J202" s="42">
        <v>6371</v>
      </c>
      <c r="K202" s="42">
        <f t="shared" si="39"/>
        <v>75.845238095238088</v>
      </c>
      <c r="L202" s="42">
        <f t="shared" si="40"/>
        <v>0</v>
      </c>
      <c r="M202" s="93">
        <v>1</v>
      </c>
      <c r="N202" s="42">
        <f t="shared" si="41"/>
        <v>6371</v>
      </c>
      <c r="O202" s="42">
        <f t="shared" si="42"/>
        <v>6371</v>
      </c>
      <c r="P202" s="42">
        <f t="shared" si="43"/>
        <v>0</v>
      </c>
      <c r="Q202" s="91">
        <f t="shared" si="44"/>
        <v>2012.5833333333333</v>
      </c>
      <c r="R202" s="91">
        <f t="shared" si="45"/>
        <v>2022.75</v>
      </c>
      <c r="S202" s="91">
        <f t="shared" si="46"/>
        <v>2019.5833333333333</v>
      </c>
      <c r="T202" s="91">
        <f t="shared" si="47"/>
        <v>2021.75</v>
      </c>
    </row>
    <row r="203" spans="1:20" s="2" customFormat="1" ht="15" x14ac:dyDescent="0.25">
      <c r="A203" s="2">
        <v>162</v>
      </c>
      <c r="B203" s="2" t="s">
        <v>547</v>
      </c>
      <c r="D203" s="88">
        <v>2012</v>
      </c>
      <c r="E203" s="88">
        <v>9</v>
      </c>
      <c r="F203" s="92"/>
      <c r="G203" s="88" t="s">
        <v>381</v>
      </c>
      <c r="H203" s="88">
        <v>7</v>
      </c>
      <c r="I203" s="2">
        <f t="shared" si="38"/>
        <v>2019</v>
      </c>
      <c r="J203" s="42">
        <v>6155</v>
      </c>
      <c r="K203" s="42">
        <f t="shared" si="39"/>
        <v>73.273809523809533</v>
      </c>
      <c r="L203" s="42">
        <f t="shared" si="40"/>
        <v>0</v>
      </c>
      <c r="M203" s="93">
        <v>1</v>
      </c>
      <c r="N203" s="42">
        <f t="shared" si="41"/>
        <v>6155</v>
      </c>
      <c r="O203" s="42">
        <f t="shared" si="42"/>
        <v>6155</v>
      </c>
      <c r="P203" s="42">
        <f t="shared" si="43"/>
        <v>0</v>
      </c>
      <c r="Q203" s="91">
        <f t="shared" si="44"/>
        <v>2012.6666666666667</v>
      </c>
      <c r="R203" s="91">
        <f t="shared" si="45"/>
        <v>2022.75</v>
      </c>
      <c r="S203" s="91">
        <f t="shared" si="46"/>
        <v>2019.6666666666667</v>
      </c>
      <c r="T203" s="91">
        <f t="shared" si="47"/>
        <v>2021.75</v>
      </c>
    </row>
    <row r="204" spans="1:20" s="2" customFormat="1" ht="15" x14ac:dyDescent="0.25">
      <c r="A204" s="2">
        <v>163</v>
      </c>
      <c r="B204" s="2" t="s">
        <v>548</v>
      </c>
      <c r="D204" s="88">
        <v>2012</v>
      </c>
      <c r="E204" s="88">
        <v>12</v>
      </c>
      <c r="F204" s="92"/>
      <c r="G204" s="88" t="s">
        <v>381</v>
      </c>
      <c r="H204" s="88">
        <v>7</v>
      </c>
      <c r="I204" s="2">
        <f t="shared" si="38"/>
        <v>2019</v>
      </c>
      <c r="J204" s="42">
        <v>1650</v>
      </c>
      <c r="K204" s="42">
        <f t="shared" si="39"/>
        <v>19.642857142857142</v>
      </c>
      <c r="L204" s="42">
        <f t="shared" si="40"/>
        <v>0</v>
      </c>
      <c r="M204" s="93">
        <v>1</v>
      </c>
      <c r="N204" s="42">
        <f t="shared" si="41"/>
        <v>1650</v>
      </c>
      <c r="O204" s="42">
        <f t="shared" si="42"/>
        <v>1650</v>
      </c>
      <c r="P204" s="42">
        <f t="shared" si="43"/>
        <v>0</v>
      </c>
      <c r="Q204" s="91">
        <f t="shared" si="44"/>
        <v>2012.9166666666667</v>
      </c>
      <c r="R204" s="91">
        <f t="shared" si="45"/>
        <v>2022.75</v>
      </c>
      <c r="S204" s="91">
        <f t="shared" si="46"/>
        <v>2019.9166666666667</v>
      </c>
      <c r="T204" s="91">
        <f t="shared" si="47"/>
        <v>2021.75</v>
      </c>
    </row>
    <row r="205" spans="1:20" s="2" customFormat="1" ht="15" x14ac:dyDescent="0.25">
      <c r="A205" s="2">
        <v>164</v>
      </c>
      <c r="B205" s="2" t="s">
        <v>549</v>
      </c>
      <c r="D205" s="88">
        <v>2012</v>
      </c>
      <c r="E205" s="88">
        <v>10</v>
      </c>
      <c r="F205" s="92"/>
      <c r="G205" s="88" t="s">
        <v>381</v>
      </c>
      <c r="H205" s="88">
        <v>7</v>
      </c>
      <c r="I205" s="2">
        <f t="shared" si="38"/>
        <v>2019</v>
      </c>
      <c r="J205" s="42">
        <v>8128</v>
      </c>
      <c r="K205" s="42">
        <f t="shared" si="39"/>
        <v>96.761904761904759</v>
      </c>
      <c r="L205" s="42">
        <f t="shared" si="40"/>
        <v>0</v>
      </c>
      <c r="M205" s="93">
        <v>1</v>
      </c>
      <c r="N205" s="42">
        <f t="shared" si="41"/>
        <v>8128</v>
      </c>
      <c r="O205" s="42">
        <f t="shared" si="42"/>
        <v>8128</v>
      </c>
      <c r="P205" s="42">
        <f t="shared" si="43"/>
        <v>0</v>
      </c>
      <c r="Q205" s="91">
        <f t="shared" si="44"/>
        <v>2012.75</v>
      </c>
      <c r="R205" s="91">
        <f t="shared" si="45"/>
        <v>2022.75</v>
      </c>
      <c r="S205" s="91">
        <f t="shared" si="46"/>
        <v>2019.75</v>
      </c>
      <c r="T205" s="91">
        <f t="shared" si="47"/>
        <v>2021.75</v>
      </c>
    </row>
    <row r="206" spans="1:20" s="2" customFormat="1" ht="15" x14ac:dyDescent="0.25">
      <c r="A206" s="2">
        <v>166</v>
      </c>
      <c r="B206" s="2" t="s">
        <v>550</v>
      </c>
      <c r="D206" s="88">
        <v>2012</v>
      </c>
      <c r="E206" s="88">
        <v>7</v>
      </c>
      <c r="F206" s="92"/>
      <c r="G206" s="88" t="s">
        <v>381</v>
      </c>
      <c r="H206" s="88">
        <v>5</v>
      </c>
      <c r="I206" s="2">
        <f t="shared" si="38"/>
        <v>2017</v>
      </c>
      <c r="J206" s="42">
        <v>628</v>
      </c>
      <c r="K206" s="42">
        <f t="shared" si="39"/>
        <v>10.466666666666667</v>
      </c>
      <c r="L206" s="42">
        <f t="shared" si="40"/>
        <v>0</v>
      </c>
      <c r="M206" s="93">
        <v>1</v>
      </c>
      <c r="N206" s="42">
        <f t="shared" si="41"/>
        <v>628</v>
      </c>
      <c r="O206" s="42">
        <f t="shared" si="42"/>
        <v>628</v>
      </c>
      <c r="P206" s="42">
        <f t="shared" si="43"/>
        <v>0</v>
      </c>
      <c r="Q206" s="91">
        <f t="shared" si="44"/>
        <v>2012.5</v>
      </c>
      <c r="R206" s="91">
        <f t="shared" si="45"/>
        <v>2022.75</v>
      </c>
      <c r="S206" s="91">
        <f t="shared" si="46"/>
        <v>2017.5</v>
      </c>
      <c r="T206" s="91">
        <f t="shared" si="47"/>
        <v>2021.75</v>
      </c>
    </row>
    <row r="207" spans="1:20" s="2" customFormat="1" ht="15" x14ac:dyDescent="0.25">
      <c r="A207" s="2">
        <v>167</v>
      </c>
      <c r="B207" s="2" t="s">
        <v>551</v>
      </c>
      <c r="D207" s="88">
        <v>2012</v>
      </c>
      <c r="E207" s="88">
        <v>2</v>
      </c>
      <c r="F207" s="92"/>
      <c r="G207" s="88" t="s">
        <v>381</v>
      </c>
      <c r="H207" s="88">
        <v>7</v>
      </c>
      <c r="I207" s="2">
        <f t="shared" si="38"/>
        <v>2019</v>
      </c>
      <c r="J207" s="42">
        <v>10545</v>
      </c>
      <c r="K207" s="42">
        <f t="shared" si="39"/>
        <v>125.53571428571428</v>
      </c>
      <c r="L207" s="42">
        <f t="shared" si="40"/>
        <v>0</v>
      </c>
      <c r="M207" s="93">
        <v>1</v>
      </c>
      <c r="N207" s="42">
        <f t="shared" si="41"/>
        <v>10545</v>
      </c>
      <c r="O207" s="42">
        <f t="shared" si="42"/>
        <v>10545</v>
      </c>
      <c r="P207" s="42">
        <f t="shared" si="43"/>
        <v>0</v>
      </c>
      <c r="Q207" s="91">
        <f t="shared" si="44"/>
        <v>2012.0833333333333</v>
      </c>
      <c r="R207" s="91">
        <f t="shared" si="45"/>
        <v>2022.75</v>
      </c>
      <c r="S207" s="91">
        <f t="shared" si="46"/>
        <v>2019.0833333333333</v>
      </c>
      <c r="T207" s="91">
        <f t="shared" si="47"/>
        <v>2021.75</v>
      </c>
    </row>
    <row r="208" spans="1:20" s="2" customFormat="1" ht="15" x14ac:dyDescent="0.25">
      <c r="A208" s="2">
        <v>171</v>
      </c>
      <c r="B208" s="2" t="s">
        <v>552</v>
      </c>
      <c r="D208" s="88">
        <v>2012</v>
      </c>
      <c r="E208" s="88">
        <v>5</v>
      </c>
      <c r="F208" s="92"/>
      <c r="G208" s="88" t="s">
        <v>381</v>
      </c>
      <c r="H208" s="88">
        <v>7</v>
      </c>
      <c r="I208" s="2">
        <f t="shared" si="38"/>
        <v>2019</v>
      </c>
      <c r="J208" s="42">
        <v>1000</v>
      </c>
      <c r="K208" s="42">
        <f t="shared" si="39"/>
        <v>11.904761904761905</v>
      </c>
      <c r="L208" s="42">
        <f t="shared" si="40"/>
        <v>0</v>
      </c>
      <c r="M208" s="93">
        <v>1</v>
      </c>
      <c r="N208" s="42">
        <f t="shared" si="41"/>
        <v>1000</v>
      </c>
      <c r="O208" s="42">
        <f t="shared" si="42"/>
        <v>1000</v>
      </c>
      <c r="P208" s="42">
        <f t="shared" si="43"/>
        <v>0</v>
      </c>
      <c r="Q208" s="91">
        <f t="shared" si="44"/>
        <v>2012.3333333333333</v>
      </c>
      <c r="R208" s="91">
        <f t="shared" si="45"/>
        <v>2022.75</v>
      </c>
      <c r="S208" s="91">
        <f t="shared" si="46"/>
        <v>2019.3333333333333</v>
      </c>
      <c r="T208" s="91">
        <f t="shared" si="47"/>
        <v>2021.75</v>
      </c>
    </row>
    <row r="209" spans="1:20" s="2" customFormat="1" ht="15" x14ac:dyDescent="0.25">
      <c r="A209" s="2">
        <v>172</v>
      </c>
      <c r="B209" s="2" t="s">
        <v>553</v>
      </c>
      <c r="D209" s="88">
        <v>2013</v>
      </c>
      <c r="E209" s="88">
        <v>1</v>
      </c>
      <c r="F209" s="92"/>
      <c r="G209" s="88" t="s">
        <v>381</v>
      </c>
      <c r="H209" s="88">
        <v>5</v>
      </c>
      <c r="I209" s="2">
        <f t="shared" si="38"/>
        <v>2018</v>
      </c>
      <c r="J209" s="42">
        <v>2043.61</v>
      </c>
      <c r="K209" s="42">
        <f t="shared" si="39"/>
        <v>34.060166666666667</v>
      </c>
      <c r="L209" s="42">
        <f t="shared" si="40"/>
        <v>0</v>
      </c>
      <c r="M209" s="93">
        <v>1</v>
      </c>
      <c r="N209" s="42">
        <f t="shared" si="41"/>
        <v>2043.61</v>
      </c>
      <c r="O209" s="42">
        <f t="shared" si="42"/>
        <v>2043.61</v>
      </c>
      <c r="P209" s="42">
        <f t="shared" si="43"/>
        <v>0</v>
      </c>
      <c r="Q209" s="91">
        <f t="shared" si="44"/>
        <v>2013</v>
      </c>
      <c r="R209" s="91">
        <f t="shared" si="45"/>
        <v>2022.75</v>
      </c>
      <c r="S209" s="91">
        <f t="shared" si="46"/>
        <v>2018</v>
      </c>
      <c r="T209" s="91">
        <f t="shared" si="47"/>
        <v>2021.75</v>
      </c>
    </row>
    <row r="210" spans="1:20" s="2" customFormat="1" ht="15" x14ac:dyDescent="0.25">
      <c r="A210" s="2">
        <v>173</v>
      </c>
      <c r="B210" s="2" t="s">
        <v>554</v>
      </c>
      <c r="D210" s="88">
        <v>2013</v>
      </c>
      <c r="E210" s="88">
        <v>2</v>
      </c>
      <c r="F210" s="92"/>
      <c r="G210" s="88" t="s">
        <v>381</v>
      </c>
      <c r="H210" s="88">
        <v>7</v>
      </c>
      <c r="I210" s="2">
        <f t="shared" si="38"/>
        <v>2020</v>
      </c>
      <c r="J210" s="42">
        <v>6092.2</v>
      </c>
      <c r="K210" s="42">
        <f t="shared" si="39"/>
        <v>72.526190476190479</v>
      </c>
      <c r="L210" s="42">
        <f t="shared" si="40"/>
        <v>0</v>
      </c>
      <c r="M210" s="93">
        <v>1</v>
      </c>
      <c r="N210" s="42">
        <f t="shared" si="41"/>
        <v>6092.2</v>
      </c>
      <c r="O210" s="42">
        <f t="shared" si="42"/>
        <v>6092.2</v>
      </c>
      <c r="P210" s="42">
        <f t="shared" si="43"/>
        <v>0</v>
      </c>
      <c r="Q210" s="91">
        <f t="shared" si="44"/>
        <v>2013.0833333333333</v>
      </c>
      <c r="R210" s="91">
        <f t="shared" si="45"/>
        <v>2022.75</v>
      </c>
      <c r="S210" s="91">
        <f t="shared" si="46"/>
        <v>2020.0833333333333</v>
      </c>
      <c r="T210" s="91">
        <f t="shared" si="47"/>
        <v>2021.75</v>
      </c>
    </row>
    <row r="211" spans="1:20" s="2" customFormat="1" ht="15" x14ac:dyDescent="0.25">
      <c r="A211" s="2">
        <v>174</v>
      </c>
      <c r="B211" s="2" t="s">
        <v>555</v>
      </c>
      <c r="D211" s="88">
        <v>2013</v>
      </c>
      <c r="E211" s="88">
        <v>2</v>
      </c>
      <c r="F211" s="92"/>
      <c r="G211" s="88" t="s">
        <v>381</v>
      </c>
      <c r="H211" s="88">
        <v>5</v>
      </c>
      <c r="I211" s="2">
        <f t="shared" si="38"/>
        <v>2018</v>
      </c>
      <c r="J211" s="42">
        <v>651.53</v>
      </c>
      <c r="K211" s="42">
        <f t="shared" si="39"/>
        <v>10.858833333333331</v>
      </c>
      <c r="L211" s="42">
        <f t="shared" si="40"/>
        <v>0</v>
      </c>
      <c r="M211" s="93">
        <v>1</v>
      </c>
      <c r="N211" s="42">
        <f t="shared" si="41"/>
        <v>651.53</v>
      </c>
      <c r="O211" s="42">
        <f t="shared" si="42"/>
        <v>651.53</v>
      </c>
      <c r="P211" s="42">
        <f t="shared" si="43"/>
        <v>0</v>
      </c>
      <c r="Q211" s="91">
        <f t="shared" si="44"/>
        <v>2013.0833333333333</v>
      </c>
      <c r="R211" s="91">
        <f t="shared" si="45"/>
        <v>2022.75</v>
      </c>
      <c r="S211" s="91">
        <f t="shared" si="46"/>
        <v>2018.0833333333333</v>
      </c>
      <c r="T211" s="91">
        <f t="shared" si="47"/>
        <v>2021.75</v>
      </c>
    </row>
    <row r="212" spans="1:20" s="2" customFormat="1" ht="15" x14ac:dyDescent="0.25">
      <c r="A212" s="2">
        <v>177</v>
      </c>
      <c r="B212" s="2" t="s">
        <v>556</v>
      </c>
      <c r="D212" s="88">
        <v>2013</v>
      </c>
      <c r="E212" s="88">
        <v>7</v>
      </c>
      <c r="F212" s="92"/>
      <c r="G212" s="88" t="s">
        <v>381</v>
      </c>
      <c r="H212" s="88">
        <v>7</v>
      </c>
      <c r="I212" s="2">
        <f t="shared" si="38"/>
        <v>2020</v>
      </c>
      <c r="J212" s="42">
        <v>32552.52</v>
      </c>
      <c r="K212" s="42">
        <f t="shared" si="39"/>
        <v>387.53</v>
      </c>
      <c r="L212" s="42">
        <f t="shared" si="40"/>
        <v>0</v>
      </c>
      <c r="M212" s="93">
        <v>1</v>
      </c>
      <c r="N212" s="42">
        <f t="shared" si="41"/>
        <v>32552.52</v>
      </c>
      <c r="O212" s="42">
        <f t="shared" si="42"/>
        <v>32552.52</v>
      </c>
      <c r="P212" s="42">
        <f t="shared" si="43"/>
        <v>0</v>
      </c>
      <c r="Q212" s="91">
        <f t="shared" si="44"/>
        <v>2013.5</v>
      </c>
      <c r="R212" s="91">
        <f t="shared" si="45"/>
        <v>2022.75</v>
      </c>
      <c r="S212" s="91">
        <f t="shared" si="46"/>
        <v>2020.5</v>
      </c>
      <c r="T212" s="91">
        <f t="shared" si="47"/>
        <v>2021.75</v>
      </c>
    </row>
    <row r="213" spans="1:20" s="2" customFormat="1" ht="15" x14ac:dyDescent="0.25">
      <c r="A213" s="2">
        <v>178</v>
      </c>
      <c r="B213" s="2" t="s">
        <v>557</v>
      </c>
      <c r="D213" s="88">
        <v>2013</v>
      </c>
      <c r="E213" s="88">
        <v>7</v>
      </c>
      <c r="F213" s="92"/>
      <c r="G213" s="88" t="s">
        <v>381</v>
      </c>
      <c r="H213" s="88">
        <v>10</v>
      </c>
      <c r="I213" s="2">
        <f t="shared" si="38"/>
        <v>2023</v>
      </c>
      <c r="J213" s="42">
        <v>11059.5</v>
      </c>
      <c r="K213" s="42">
        <f t="shared" si="39"/>
        <v>92.162500000000009</v>
      </c>
      <c r="L213" s="42">
        <f t="shared" si="40"/>
        <v>1105.95</v>
      </c>
      <c r="M213" s="93">
        <v>1</v>
      </c>
      <c r="N213" s="42">
        <f t="shared" si="41"/>
        <v>9124.0875000000015</v>
      </c>
      <c r="O213" s="42">
        <f t="shared" si="42"/>
        <v>10230.037500000002</v>
      </c>
      <c r="P213" s="42">
        <f t="shared" si="43"/>
        <v>829.46249999999782</v>
      </c>
      <c r="Q213" s="91">
        <f t="shared" si="44"/>
        <v>2013.5</v>
      </c>
      <c r="R213" s="91">
        <f t="shared" si="45"/>
        <v>2022.75</v>
      </c>
      <c r="S213" s="91">
        <f t="shared" si="46"/>
        <v>2023.5</v>
      </c>
      <c r="T213" s="91">
        <f t="shared" si="47"/>
        <v>2021.75</v>
      </c>
    </row>
    <row r="214" spans="1:20" s="2" customFormat="1" ht="15" x14ac:dyDescent="0.25">
      <c r="A214" s="2">
        <v>179</v>
      </c>
      <c r="B214" s="2" t="s">
        <v>558</v>
      </c>
      <c r="D214" s="88">
        <v>2013</v>
      </c>
      <c r="E214" s="88">
        <v>11</v>
      </c>
      <c r="F214" s="92"/>
      <c r="G214" s="88" t="s">
        <v>381</v>
      </c>
      <c r="H214" s="88">
        <v>7</v>
      </c>
      <c r="I214" s="2">
        <f t="shared" si="38"/>
        <v>2020</v>
      </c>
      <c r="J214" s="42">
        <v>1540.06</v>
      </c>
      <c r="K214" s="42">
        <f t="shared" si="39"/>
        <v>18.33404761904762</v>
      </c>
      <c r="L214" s="42">
        <f t="shared" si="40"/>
        <v>0</v>
      </c>
      <c r="M214" s="93">
        <v>1</v>
      </c>
      <c r="N214" s="42">
        <f t="shared" si="41"/>
        <v>1540.06</v>
      </c>
      <c r="O214" s="42">
        <f t="shared" si="42"/>
        <v>1540.06</v>
      </c>
      <c r="P214" s="42">
        <f t="shared" si="43"/>
        <v>0</v>
      </c>
      <c r="Q214" s="91">
        <f t="shared" si="44"/>
        <v>2013.8333333333333</v>
      </c>
      <c r="R214" s="91">
        <f t="shared" si="45"/>
        <v>2022.75</v>
      </c>
      <c r="S214" s="91">
        <f t="shared" si="46"/>
        <v>2020.8333333333333</v>
      </c>
      <c r="T214" s="91">
        <f t="shared" si="47"/>
        <v>2021.75</v>
      </c>
    </row>
    <row r="215" spans="1:20" s="2" customFormat="1" ht="15" x14ac:dyDescent="0.25">
      <c r="A215" s="2">
        <v>183</v>
      </c>
      <c r="B215" s="2" t="s">
        <v>559</v>
      </c>
      <c r="D215" s="88">
        <v>2013</v>
      </c>
      <c r="E215" s="88">
        <v>7</v>
      </c>
      <c r="F215" s="92"/>
      <c r="G215" s="88" t="s">
        <v>381</v>
      </c>
      <c r="H215" s="88">
        <v>5</v>
      </c>
      <c r="I215" s="2">
        <f t="shared" si="38"/>
        <v>2018</v>
      </c>
      <c r="J215" s="42">
        <v>2411.5700000000002</v>
      </c>
      <c r="K215" s="42">
        <f t="shared" si="39"/>
        <v>40.192833333333333</v>
      </c>
      <c r="L215" s="42">
        <f t="shared" si="40"/>
        <v>0</v>
      </c>
      <c r="M215" s="93">
        <v>1</v>
      </c>
      <c r="N215" s="42">
        <f t="shared" si="41"/>
        <v>2411.5700000000002</v>
      </c>
      <c r="O215" s="42">
        <f t="shared" si="42"/>
        <v>2411.5700000000002</v>
      </c>
      <c r="P215" s="42">
        <f t="shared" si="43"/>
        <v>0</v>
      </c>
      <c r="Q215" s="91">
        <f t="shared" si="44"/>
        <v>2013.5</v>
      </c>
      <c r="R215" s="91">
        <f t="shared" si="45"/>
        <v>2022.75</v>
      </c>
      <c r="S215" s="91">
        <f t="shared" si="46"/>
        <v>2018.5</v>
      </c>
      <c r="T215" s="91">
        <f t="shared" si="47"/>
        <v>2021.75</v>
      </c>
    </row>
    <row r="216" spans="1:20" s="2" customFormat="1" ht="15" x14ac:dyDescent="0.25">
      <c r="A216" s="2">
        <v>184</v>
      </c>
      <c r="B216" s="2" t="s">
        <v>560</v>
      </c>
      <c r="D216" s="88">
        <v>2013</v>
      </c>
      <c r="E216" s="88">
        <v>6</v>
      </c>
      <c r="F216" s="92"/>
      <c r="G216" s="88" t="s">
        <v>381</v>
      </c>
      <c r="H216" s="88">
        <v>5</v>
      </c>
      <c r="I216" s="2">
        <f t="shared" si="38"/>
        <v>2018</v>
      </c>
      <c r="J216" s="42">
        <v>1788.5</v>
      </c>
      <c r="K216" s="42">
        <f t="shared" si="39"/>
        <v>29.808333333333334</v>
      </c>
      <c r="L216" s="42">
        <f t="shared" si="40"/>
        <v>0</v>
      </c>
      <c r="M216" s="93">
        <v>1</v>
      </c>
      <c r="N216" s="42">
        <f t="shared" si="41"/>
        <v>1788.5</v>
      </c>
      <c r="O216" s="42">
        <f t="shared" si="42"/>
        <v>1788.5</v>
      </c>
      <c r="P216" s="42">
        <f t="shared" si="43"/>
        <v>0</v>
      </c>
      <c r="Q216" s="91">
        <f t="shared" si="44"/>
        <v>2013.4166666666667</v>
      </c>
      <c r="R216" s="91">
        <f t="shared" si="45"/>
        <v>2022.75</v>
      </c>
      <c r="S216" s="91">
        <f t="shared" si="46"/>
        <v>2018.4166666666667</v>
      </c>
      <c r="T216" s="91">
        <f t="shared" si="47"/>
        <v>2021.75</v>
      </c>
    </row>
    <row r="217" spans="1:20" s="2" customFormat="1" ht="15" x14ac:dyDescent="0.25">
      <c r="A217" s="2">
        <v>211</v>
      </c>
      <c r="B217" s="2" t="s">
        <v>561</v>
      </c>
      <c r="D217" s="88">
        <v>2014</v>
      </c>
      <c r="E217" s="88">
        <v>12</v>
      </c>
      <c r="F217" s="92"/>
      <c r="G217" s="88" t="s">
        <v>381</v>
      </c>
      <c r="H217" s="88">
        <v>20</v>
      </c>
      <c r="I217" s="2">
        <f t="shared" si="38"/>
        <v>2034</v>
      </c>
      <c r="J217" s="42">
        <v>227000</v>
      </c>
      <c r="K217" s="42">
        <f t="shared" si="39"/>
        <v>945.83333333333337</v>
      </c>
      <c r="L217" s="42">
        <f t="shared" si="40"/>
        <v>11350</v>
      </c>
      <c r="M217" s="93">
        <v>1</v>
      </c>
      <c r="N217" s="42">
        <f t="shared" si="41"/>
        <v>77558.33333333247</v>
      </c>
      <c r="O217" s="42">
        <f t="shared" si="42"/>
        <v>88908.33333333247</v>
      </c>
      <c r="P217" s="42">
        <f t="shared" si="43"/>
        <v>138091.66666666753</v>
      </c>
      <c r="Q217" s="91">
        <f t="shared" si="44"/>
        <v>2014.9166666666667</v>
      </c>
      <c r="R217" s="91">
        <f t="shared" si="45"/>
        <v>2022.75</v>
      </c>
      <c r="S217" s="91">
        <f t="shared" si="46"/>
        <v>2034.9166666666667</v>
      </c>
      <c r="T217" s="91">
        <f t="shared" si="47"/>
        <v>2021.75</v>
      </c>
    </row>
    <row r="218" spans="1:20" s="2" customFormat="1" ht="15" x14ac:dyDescent="0.25">
      <c r="A218" s="2">
        <v>212</v>
      </c>
      <c r="B218" s="2" t="s">
        <v>562</v>
      </c>
      <c r="D218" s="88">
        <v>2014</v>
      </c>
      <c r="E218" s="88">
        <v>12</v>
      </c>
      <c r="F218" s="92"/>
      <c r="G218" s="88" t="s">
        <v>381</v>
      </c>
      <c r="H218" s="88">
        <v>20</v>
      </c>
      <c r="I218" s="2">
        <f t="shared" si="38"/>
        <v>2034</v>
      </c>
      <c r="J218" s="42">
        <v>71613.960000000006</v>
      </c>
      <c r="K218" s="42">
        <f t="shared" si="39"/>
        <v>298.39150000000001</v>
      </c>
      <c r="L218" s="42">
        <f t="shared" si="40"/>
        <v>3580.6980000000003</v>
      </c>
      <c r="M218" s="93">
        <v>1</v>
      </c>
      <c r="N218" s="42">
        <f t="shared" si="41"/>
        <v>24468.10299999973</v>
      </c>
      <c r="O218" s="42">
        <f t="shared" si="42"/>
        <v>28048.80099999973</v>
      </c>
      <c r="P218" s="42">
        <f t="shared" si="43"/>
        <v>43565.159000000276</v>
      </c>
      <c r="Q218" s="91">
        <f t="shared" si="44"/>
        <v>2014.9166666666667</v>
      </c>
      <c r="R218" s="91">
        <f t="shared" si="45"/>
        <v>2022.75</v>
      </c>
      <c r="S218" s="91">
        <f t="shared" si="46"/>
        <v>2034.9166666666667</v>
      </c>
      <c r="T218" s="91">
        <f t="shared" si="47"/>
        <v>2021.75</v>
      </c>
    </row>
    <row r="219" spans="1:20" s="2" customFormat="1" ht="15" x14ac:dyDescent="0.25">
      <c r="A219" s="2">
        <v>213</v>
      </c>
      <c r="B219" s="2" t="s">
        <v>563</v>
      </c>
      <c r="D219" s="88">
        <v>2014</v>
      </c>
      <c r="E219" s="88">
        <v>12</v>
      </c>
      <c r="F219" s="92"/>
      <c r="G219" s="88" t="s">
        <v>381</v>
      </c>
      <c r="H219" s="88">
        <v>20</v>
      </c>
      <c r="I219" s="2">
        <f t="shared" ref="I219:I275" si="48">+D219+H219</f>
        <v>2034</v>
      </c>
      <c r="J219" s="42">
        <v>19068</v>
      </c>
      <c r="K219" s="42">
        <f t="shared" ref="K219:K275" si="49">J219/H219/12</f>
        <v>79.45</v>
      </c>
      <c r="L219" s="42">
        <f t="shared" ref="L219:L275" si="50">IF(S219&lt;=R219,0,J219/H219)</f>
        <v>953.4</v>
      </c>
      <c r="M219" s="93">
        <v>1</v>
      </c>
      <c r="N219" s="42">
        <f t="shared" ref="N219:N275" si="51">IF(Q219&gt;R219,0,IF(S219&lt;T219,J219,IF((AND((S219&gt;=T219),(S219&lt;=R219))),(J219-L219),IF((AND((T219&lt;=Q219),(R219&gt;=Q219))),0,IF(S219&gt;R219,((T219-Q219)*12)*K219,0)))))</f>
        <v>6514.8999999999278</v>
      </c>
      <c r="O219" s="42">
        <f t="shared" ref="O219:O275" si="52">N219+L219</f>
        <v>7468.2999999999274</v>
      </c>
      <c r="P219" s="42">
        <f t="shared" ref="P219:P275" si="53">+J219-O219</f>
        <v>11599.700000000073</v>
      </c>
      <c r="Q219" s="91">
        <f t="shared" ref="Q219:Q275" si="54">$D219+(($E219-1)/12)</f>
        <v>2014.9166666666667</v>
      </c>
      <c r="R219" s="91">
        <f t="shared" ref="R219:R275" si="55">($K$5+1)-($K$2/12)</f>
        <v>2022.75</v>
      </c>
      <c r="S219" s="91">
        <f t="shared" ref="S219:S275" si="56">$I219+(($E219-1)/12)</f>
        <v>2034.9166666666667</v>
      </c>
      <c r="T219" s="91">
        <f t="shared" ref="T219:T275" si="57">$K$4+($K$3/12)</f>
        <v>2021.75</v>
      </c>
    </row>
    <row r="220" spans="1:20" s="2" customFormat="1" ht="15" x14ac:dyDescent="0.25">
      <c r="A220" s="2">
        <v>214</v>
      </c>
      <c r="B220" s="2" t="s">
        <v>564</v>
      </c>
      <c r="D220" s="88">
        <v>2014</v>
      </c>
      <c r="E220" s="88">
        <v>12</v>
      </c>
      <c r="F220" s="92"/>
      <c r="G220" s="88" t="s">
        <v>381</v>
      </c>
      <c r="H220" s="88">
        <v>20</v>
      </c>
      <c r="I220" s="2">
        <f t="shared" si="48"/>
        <v>2034</v>
      </c>
      <c r="J220" s="42">
        <v>273000</v>
      </c>
      <c r="K220" s="42">
        <f t="shared" si="49"/>
        <v>1137.5</v>
      </c>
      <c r="L220" s="42">
        <f t="shared" si="50"/>
        <v>13650</v>
      </c>
      <c r="M220" s="93">
        <v>1</v>
      </c>
      <c r="N220" s="42">
        <f t="shared" si="51"/>
        <v>93274.999999998967</v>
      </c>
      <c r="O220" s="42">
        <f t="shared" si="52"/>
        <v>106924.99999999897</v>
      </c>
      <c r="P220" s="42">
        <f t="shared" si="53"/>
        <v>166075.00000000105</v>
      </c>
      <c r="Q220" s="91">
        <f t="shared" si="54"/>
        <v>2014.9166666666667</v>
      </c>
      <c r="R220" s="91">
        <f t="shared" si="55"/>
        <v>2022.75</v>
      </c>
      <c r="S220" s="91">
        <f t="shared" si="56"/>
        <v>2034.9166666666667</v>
      </c>
      <c r="T220" s="91">
        <f t="shared" si="57"/>
        <v>2021.75</v>
      </c>
    </row>
    <row r="221" spans="1:20" s="2" customFormat="1" ht="15" x14ac:dyDescent="0.25">
      <c r="A221" s="2">
        <v>215</v>
      </c>
      <c r="B221" s="2" t="s">
        <v>565</v>
      </c>
      <c r="D221" s="88">
        <v>2014</v>
      </c>
      <c r="E221" s="88">
        <v>12</v>
      </c>
      <c r="F221" s="92"/>
      <c r="G221" s="88" t="s">
        <v>381</v>
      </c>
      <c r="H221" s="88">
        <v>20</v>
      </c>
      <c r="I221" s="2">
        <f t="shared" si="48"/>
        <v>2034</v>
      </c>
      <c r="J221" s="42">
        <v>86126.04</v>
      </c>
      <c r="K221" s="42">
        <f t="shared" si="49"/>
        <v>358.85849999999999</v>
      </c>
      <c r="L221" s="42">
        <f t="shared" si="50"/>
        <v>4306.3019999999997</v>
      </c>
      <c r="M221" s="93">
        <v>1</v>
      </c>
      <c r="N221" s="42">
        <f t="shared" si="51"/>
        <v>29426.396999999673</v>
      </c>
      <c r="O221" s="42">
        <f t="shared" si="52"/>
        <v>33732.698999999673</v>
      </c>
      <c r="P221" s="42">
        <f t="shared" si="53"/>
        <v>52393.34100000032</v>
      </c>
      <c r="Q221" s="91">
        <f t="shared" si="54"/>
        <v>2014.9166666666667</v>
      </c>
      <c r="R221" s="91">
        <f t="shared" si="55"/>
        <v>2022.75</v>
      </c>
      <c r="S221" s="91">
        <f t="shared" si="56"/>
        <v>2034.9166666666667</v>
      </c>
      <c r="T221" s="91">
        <f t="shared" si="57"/>
        <v>2021.75</v>
      </c>
    </row>
    <row r="222" spans="1:20" s="2" customFormat="1" ht="15" x14ac:dyDescent="0.25">
      <c r="A222" s="2">
        <v>216</v>
      </c>
      <c r="B222" s="2" t="s">
        <v>566</v>
      </c>
      <c r="D222" s="88">
        <v>2014</v>
      </c>
      <c r="E222" s="88">
        <v>12</v>
      </c>
      <c r="F222" s="92"/>
      <c r="G222" s="88" t="s">
        <v>381</v>
      </c>
      <c r="H222" s="88">
        <v>20</v>
      </c>
      <c r="I222" s="2">
        <f t="shared" si="48"/>
        <v>2034</v>
      </c>
      <c r="J222" s="42">
        <v>22932</v>
      </c>
      <c r="K222" s="42">
        <f t="shared" si="49"/>
        <v>95.55</v>
      </c>
      <c r="L222" s="42">
        <f t="shared" si="50"/>
        <v>1146.5999999999999</v>
      </c>
      <c r="M222" s="93">
        <v>1</v>
      </c>
      <c r="N222" s="42">
        <f t="shared" si="51"/>
        <v>7835.0999999999131</v>
      </c>
      <c r="O222" s="42">
        <f t="shared" si="52"/>
        <v>8981.6999999999134</v>
      </c>
      <c r="P222" s="42">
        <f t="shared" si="53"/>
        <v>13950.300000000087</v>
      </c>
      <c r="Q222" s="91">
        <f t="shared" si="54"/>
        <v>2014.9166666666667</v>
      </c>
      <c r="R222" s="91">
        <f t="shared" si="55"/>
        <v>2022.75</v>
      </c>
      <c r="S222" s="91">
        <f t="shared" si="56"/>
        <v>2034.9166666666667</v>
      </c>
      <c r="T222" s="91">
        <f t="shared" si="57"/>
        <v>2021.75</v>
      </c>
    </row>
    <row r="223" spans="1:20" s="2" customFormat="1" ht="15" x14ac:dyDescent="0.25">
      <c r="A223" s="2">
        <v>217</v>
      </c>
      <c r="B223" s="2" t="s">
        <v>567</v>
      </c>
      <c r="D223" s="88">
        <v>2014</v>
      </c>
      <c r="E223" s="88">
        <v>12</v>
      </c>
      <c r="F223" s="92"/>
      <c r="G223" s="88" t="s">
        <v>381</v>
      </c>
      <c r="H223" s="88">
        <v>20</v>
      </c>
      <c r="I223" s="2">
        <f t="shared" si="48"/>
        <v>2034</v>
      </c>
      <c r="J223" s="42">
        <v>11982.19</v>
      </c>
      <c r="K223" s="42">
        <f t="shared" si="49"/>
        <v>49.925791666666669</v>
      </c>
      <c r="L223" s="42">
        <f t="shared" si="50"/>
        <v>599.10950000000003</v>
      </c>
      <c r="M223" s="93">
        <v>1</v>
      </c>
      <c r="N223" s="42">
        <f t="shared" si="51"/>
        <v>4093.9149166666216</v>
      </c>
      <c r="O223" s="42">
        <f t="shared" si="52"/>
        <v>4693.0244166666216</v>
      </c>
      <c r="P223" s="42">
        <f t="shared" si="53"/>
        <v>7289.1655833333789</v>
      </c>
      <c r="Q223" s="91">
        <f t="shared" si="54"/>
        <v>2014.9166666666667</v>
      </c>
      <c r="R223" s="91">
        <f t="shared" si="55"/>
        <v>2022.75</v>
      </c>
      <c r="S223" s="91">
        <f t="shared" si="56"/>
        <v>2034.9166666666667</v>
      </c>
      <c r="T223" s="91">
        <f t="shared" si="57"/>
        <v>2021.75</v>
      </c>
    </row>
    <row r="224" spans="1:20" s="2" customFormat="1" ht="15" x14ac:dyDescent="0.25">
      <c r="A224" s="2">
        <v>218</v>
      </c>
      <c r="B224" s="2" t="s">
        <v>568</v>
      </c>
      <c r="D224" s="88">
        <v>2014</v>
      </c>
      <c r="E224" s="88">
        <v>12</v>
      </c>
      <c r="F224" s="92"/>
      <c r="G224" s="88" t="s">
        <v>381</v>
      </c>
      <c r="H224" s="88">
        <v>5</v>
      </c>
      <c r="I224" s="2">
        <f t="shared" si="48"/>
        <v>2019</v>
      </c>
      <c r="J224" s="42">
        <v>2780.95</v>
      </c>
      <c r="K224" s="42">
        <f t="shared" si="49"/>
        <v>46.349166666666662</v>
      </c>
      <c r="L224" s="42">
        <f t="shared" si="50"/>
        <v>0</v>
      </c>
      <c r="M224" s="93">
        <v>1</v>
      </c>
      <c r="N224" s="42">
        <f t="shared" si="51"/>
        <v>2780.95</v>
      </c>
      <c r="O224" s="42">
        <f t="shared" si="52"/>
        <v>2780.95</v>
      </c>
      <c r="P224" s="42">
        <f t="shared" si="53"/>
        <v>0</v>
      </c>
      <c r="Q224" s="91">
        <f t="shared" si="54"/>
        <v>2014.9166666666667</v>
      </c>
      <c r="R224" s="91">
        <f t="shared" si="55"/>
        <v>2022.75</v>
      </c>
      <c r="S224" s="91">
        <f t="shared" si="56"/>
        <v>2019.9166666666667</v>
      </c>
      <c r="T224" s="91">
        <f t="shared" si="57"/>
        <v>2021.75</v>
      </c>
    </row>
    <row r="225" spans="1:20" s="2" customFormat="1" ht="15" x14ac:dyDescent="0.25">
      <c r="A225" s="2">
        <v>219</v>
      </c>
      <c r="B225" s="2" t="s">
        <v>569</v>
      </c>
      <c r="D225" s="88">
        <v>2014</v>
      </c>
      <c r="E225" s="88">
        <v>12</v>
      </c>
      <c r="F225" s="92"/>
      <c r="G225" s="88" t="s">
        <v>381</v>
      </c>
      <c r="H225" s="88">
        <v>10</v>
      </c>
      <c r="I225" s="2">
        <f t="shared" si="48"/>
        <v>2024</v>
      </c>
      <c r="J225" s="42">
        <v>25741.25</v>
      </c>
      <c r="K225" s="42">
        <f t="shared" si="49"/>
        <v>214.51041666666666</v>
      </c>
      <c r="L225" s="42">
        <f t="shared" si="50"/>
        <v>2574.125</v>
      </c>
      <c r="M225" s="93">
        <v>1</v>
      </c>
      <c r="N225" s="42">
        <f t="shared" si="51"/>
        <v>17589.854166666471</v>
      </c>
      <c r="O225" s="42">
        <f t="shared" si="52"/>
        <v>20163.979166666471</v>
      </c>
      <c r="P225" s="42">
        <f t="shared" si="53"/>
        <v>5577.2708333335286</v>
      </c>
      <c r="Q225" s="91">
        <f t="shared" si="54"/>
        <v>2014.9166666666667</v>
      </c>
      <c r="R225" s="91">
        <f t="shared" si="55"/>
        <v>2022.75</v>
      </c>
      <c r="S225" s="91">
        <f t="shared" si="56"/>
        <v>2024.9166666666667</v>
      </c>
      <c r="T225" s="91">
        <f t="shared" si="57"/>
        <v>2021.75</v>
      </c>
    </row>
    <row r="226" spans="1:20" s="2" customFormat="1" ht="15" x14ac:dyDescent="0.25">
      <c r="A226" s="2">
        <v>220</v>
      </c>
      <c r="B226" s="2" t="s">
        <v>570</v>
      </c>
      <c r="D226" s="88">
        <v>2014</v>
      </c>
      <c r="E226" s="88">
        <v>12</v>
      </c>
      <c r="F226" s="92"/>
      <c r="G226" s="88" t="s">
        <v>381</v>
      </c>
      <c r="H226" s="88">
        <v>5</v>
      </c>
      <c r="I226" s="2">
        <f t="shared" si="48"/>
        <v>2019</v>
      </c>
      <c r="J226" s="42">
        <v>2780.94</v>
      </c>
      <c r="K226" s="42">
        <f t="shared" si="49"/>
        <v>46.348999999999997</v>
      </c>
      <c r="L226" s="42">
        <f t="shared" si="50"/>
        <v>0</v>
      </c>
      <c r="M226" s="93">
        <v>1</v>
      </c>
      <c r="N226" s="42">
        <f t="shared" si="51"/>
        <v>2780.94</v>
      </c>
      <c r="O226" s="42">
        <f t="shared" si="52"/>
        <v>2780.94</v>
      </c>
      <c r="P226" s="42">
        <f t="shared" si="53"/>
        <v>0</v>
      </c>
      <c r="Q226" s="91">
        <f t="shared" si="54"/>
        <v>2014.9166666666667</v>
      </c>
      <c r="R226" s="91">
        <f t="shared" si="55"/>
        <v>2022.75</v>
      </c>
      <c r="S226" s="91">
        <f t="shared" si="56"/>
        <v>2019.9166666666667</v>
      </c>
      <c r="T226" s="91">
        <f t="shared" si="57"/>
        <v>2021.75</v>
      </c>
    </row>
    <row r="227" spans="1:20" s="2" customFormat="1" ht="15" x14ac:dyDescent="0.25">
      <c r="A227" s="2">
        <v>224</v>
      </c>
      <c r="B227" s="2" t="s">
        <v>571</v>
      </c>
      <c r="D227" s="88">
        <v>2015</v>
      </c>
      <c r="E227" s="88">
        <v>12</v>
      </c>
      <c r="F227" s="92"/>
      <c r="G227" s="88" t="s">
        <v>381</v>
      </c>
      <c r="H227" s="88">
        <v>10</v>
      </c>
      <c r="I227" s="2">
        <f t="shared" si="48"/>
        <v>2025</v>
      </c>
      <c r="J227" s="42">
        <v>129118</v>
      </c>
      <c r="K227" s="42">
        <f t="shared" si="49"/>
        <v>1075.9833333333333</v>
      </c>
      <c r="L227" s="42">
        <f t="shared" si="50"/>
        <v>12911.8</v>
      </c>
      <c r="M227" s="93">
        <v>1</v>
      </c>
      <c r="N227" s="42">
        <f t="shared" si="51"/>
        <v>75318.833333332354</v>
      </c>
      <c r="O227" s="42">
        <f t="shared" si="52"/>
        <v>88230.633333332356</v>
      </c>
      <c r="P227" s="42">
        <f t="shared" si="53"/>
        <v>40887.366666667644</v>
      </c>
      <c r="Q227" s="91">
        <f t="shared" si="54"/>
        <v>2015.9166666666667</v>
      </c>
      <c r="R227" s="91">
        <f t="shared" si="55"/>
        <v>2022.75</v>
      </c>
      <c r="S227" s="91">
        <f t="shared" si="56"/>
        <v>2025.9166666666667</v>
      </c>
      <c r="T227" s="91">
        <f t="shared" si="57"/>
        <v>2021.75</v>
      </c>
    </row>
    <row r="228" spans="1:20" s="2" customFormat="1" ht="15" x14ac:dyDescent="0.25">
      <c r="A228" s="2">
        <v>225</v>
      </c>
      <c r="B228" s="2" t="s">
        <v>569</v>
      </c>
      <c r="D228" s="88">
        <v>2015</v>
      </c>
      <c r="E228" s="88">
        <v>15</v>
      </c>
      <c r="F228" s="92"/>
      <c r="G228" s="88" t="s">
        <v>381</v>
      </c>
      <c r="H228" s="88">
        <v>10</v>
      </c>
      <c r="I228" s="2">
        <f t="shared" si="48"/>
        <v>2025</v>
      </c>
      <c r="J228" s="42">
        <v>195489</v>
      </c>
      <c r="K228" s="42">
        <f t="shared" si="49"/>
        <v>1629.075</v>
      </c>
      <c r="L228" s="42">
        <f t="shared" si="50"/>
        <v>19548.900000000001</v>
      </c>
      <c r="M228" s="93">
        <v>1</v>
      </c>
      <c r="N228" s="42">
        <f t="shared" si="51"/>
        <v>109148.02499999852</v>
      </c>
      <c r="O228" s="42">
        <f t="shared" si="52"/>
        <v>128696.92499999853</v>
      </c>
      <c r="P228" s="42">
        <f t="shared" si="53"/>
        <v>66792.075000001467</v>
      </c>
      <c r="Q228" s="91">
        <f t="shared" si="54"/>
        <v>2016.1666666666667</v>
      </c>
      <c r="R228" s="91">
        <f t="shared" si="55"/>
        <v>2022.75</v>
      </c>
      <c r="S228" s="91">
        <f t="shared" si="56"/>
        <v>2026.1666666666667</v>
      </c>
      <c r="T228" s="91">
        <f t="shared" si="57"/>
        <v>2021.75</v>
      </c>
    </row>
    <row r="229" spans="1:20" s="2" customFormat="1" ht="15" x14ac:dyDescent="0.25">
      <c r="A229" s="2">
        <v>227</v>
      </c>
      <c r="B229" s="2" t="s">
        <v>572</v>
      </c>
      <c r="D229" s="88">
        <v>2015</v>
      </c>
      <c r="E229" s="88">
        <v>5</v>
      </c>
      <c r="F229" s="92"/>
      <c r="G229" s="88" t="s">
        <v>381</v>
      </c>
      <c r="H229" s="88">
        <v>5</v>
      </c>
      <c r="I229" s="2">
        <f t="shared" si="48"/>
        <v>2020</v>
      </c>
      <c r="J229" s="42">
        <v>25404</v>
      </c>
      <c r="K229" s="42">
        <f t="shared" si="49"/>
        <v>423.40000000000003</v>
      </c>
      <c r="L229" s="42">
        <f t="shared" si="50"/>
        <v>0</v>
      </c>
      <c r="M229" s="93">
        <v>1</v>
      </c>
      <c r="N229" s="42">
        <f t="shared" si="51"/>
        <v>25404</v>
      </c>
      <c r="O229" s="42">
        <f t="shared" si="52"/>
        <v>25404</v>
      </c>
      <c r="P229" s="42">
        <f t="shared" si="53"/>
        <v>0</v>
      </c>
      <c r="Q229" s="91">
        <f t="shared" si="54"/>
        <v>2015.3333333333333</v>
      </c>
      <c r="R229" s="91">
        <f t="shared" si="55"/>
        <v>2022.75</v>
      </c>
      <c r="S229" s="91">
        <f t="shared" si="56"/>
        <v>2020.3333333333333</v>
      </c>
      <c r="T229" s="91">
        <f t="shared" si="57"/>
        <v>2021.75</v>
      </c>
    </row>
    <row r="230" spans="1:20" s="2" customFormat="1" ht="15" x14ac:dyDescent="0.25">
      <c r="A230" s="2">
        <v>228</v>
      </c>
      <c r="B230" s="2" t="s">
        <v>573</v>
      </c>
      <c r="D230" s="88">
        <v>2015</v>
      </c>
      <c r="E230" s="88">
        <v>10</v>
      </c>
      <c r="F230" s="92"/>
      <c r="G230" s="88" t="s">
        <v>381</v>
      </c>
      <c r="H230" s="88">
        <v>5</v>
      </c>
      <c r="I230" s="2">
        <f t="shared" si="48"/>
        <v>2020</v>
      </c>
      <c r="J230" s="42">
        <v>11905</v>
      </c>
      <c r="K230" s="42">
        <f t="shared" si="49"/>
        <v>198.41666666666666</v>
      </c>
      <c r="L230" s="42">
        <f t="shared" si="50"/>
        <v>0</v>
      </c>
      <c r="M230" s="93">
        <v>1</v>
      </c>
      <c r="N230" s="42">
        <f t="shared" si="51"/>
        <v>11905</v>
      </c>
      <c r="O230" s="42">
        <f t="shared" si="52"/>
        <v>11905</v>
      </c>
      <c r="P230" s="42">
        <f t="shared" si="53"/>
        <v>0</v>
      </c>
      <c r="Q230" s="91">
        <f t="shared" si="54"/>
        <v>2015.75</v>
      </c>
      <c r="R230" s="91">
        <f t="shared" si="55"/>
        <v>2022.75</v>
      </c>
      <c r="S230" s="91">
        <f t="shared" si="56"/>
        <v>2020.75</v>
      </c>
      <c r="T230" s="91">
        <f t="shared" si="57"/>
        <v>2021.75</v>
      </c>
    </row>
    <row r="231" spans="1:20" s="2" customFormat="1" ht="15" x14ac:dyDescent="0.25">
      <c r="A231" s="2">
        <v>230</v>
      </c>
      <c r="B231" s="2" t="s">
        <v>574</v>
      </c>
      <c r="D231" s="88">
        <v>2015</v>
      </c>
      <c r="E231" s="88">
        <v>9</v>
      </c>
      <c r="F231" s="92"/>
      <c r="G231" s="88" t="s">
        <v>381</v>
      </c>
      <c r="H231" s="88">
        <v>5</v>
      </c>
      <c r="I231" s="2">
        <f t="shared" si="48"/>
        <v>2020</v>
      </c>
      <c r="J231" s="42">
        <v>6982</v>
      </c>
      <c r="K231" s="42">
        <f t="shared" si="49"/>
        <v>116.36666666666667</v>
      </c>
      <c r="L231" s="42">
        <f t="shared" si="50"/>
        <v>0</v>
      </c>
      <c r="M231" s="93">
        <v>1</v>
      </c>
      <c r="N231" s="42">
        <f t="shared" si="51"/>
        <v>6982</v>
      </c>
      <c r="O231" s="42">
        <f t="shared" si="52"/>
        <v>6982</v>
      </c>
      <c r="P231" s="42">
        <f t="shared" si="53"/>
        <v>0</v>
      </c>
      <c r="Q231" s="91">
        <f t="shared" si="54"/>
        <v>2015.6666666666667</v>
      </c>
      <c r="R231" s="91">
        <f t="shared" si="55"/>
        <v>2022.75</v>
      </c>
      <c r="S231" s="91">
        <f t="shared" si="56"/>
        <v>2020.6666666666667</v>
      </c>
      <c r="T231" s="91">
        <f t="shared" si="57"/>
        <v>2021.75</v>
      </c>
    </row>
    <row r="232" spans="1:20" s="2" customFormat="1" ht="15" x14ac:dyDescent="0.25">
      <c r="A232" s="2">
        <v>231</v>
      </c>
      <c r="B232" s="2" t="s">
        <v>575</v>
      </c>
      <c r="D232" s="88">
        <v>2015</v>
      </c>
      <c r="E232" s="88">
        <v>7</v>
      </c>
      <c r="F232" s="92"/>
      <c r="G232" s="88" t="s">
        <v>381</v>
      </c>
      <c r="H232" s="88">
        <v>7</v>
      </c>
      <c r="I232" s="2">
        <f t="shared" si="48"/>
        <v>2022</v>
      </c>
      <c r="J232" s="42">
        <v>21505</v>
      </c>
      <c r="K232" s="42">
        <f t="shared" si="49"/>
        <v>256.01190476190476</v>
      </c>
      <c r="L232" s="42">
        <f t="shared" si="50"/>
        <v>0</v>
      </c>
      <c r="M232" s="93">
        <v>1</v>
      </c>
      <c r="N232" s="42">
        <f t="shared" si="51"/>
        <v>21505</v>
      </c>
      <c r="O232" s="42">
        <f t="shared" si="52"/>
        <v>21505</v>
      </c>
      <c r="P232" s="42">
        <f t="shared" si="53"/>
        <v>0</v>
      </c>
      <c r="Q232" s="91">
        <f t="shared" si="54"/>
        <v>2015.5</v>
      </c>
      <c r="R232" s="91">
        <f t="shared" si="55"/>
        <v>2022.75</v>
      </c>
      <c r="S232" s="91">
        <f t="shared" si="56"/>
        <v>2022.5</v>
      </c>
      <c r="T232" s="91">
        <f t="shared" si="57"/>
        <v>2021.75</v>
      </c>
    </row>
    <row r="233" spans="1:20" s="2" customFormat="1" ht="15" x14ac:dyDescent="0.25">
      <c r="A233" s="2">
        <v>232</v>
      </c>
      <c r="B233" s="2" t="s">
        <v>576</v>
      </c>
      <c r="D233" s="88">
        <v>2015</v>
      </c>
      <c r="E233" s="88">
        <v>12</v>
      </c>
      <c r="F233" s="92"/>
      <c r="G233" s="88" t="s">
        <v>381</v>
      </c>
      <c r="H233" s="88">
        <v>7</v>
      </c>
      <c r="I233" s="2">
        <f t="shared" si="48"/>
        <v>2022</v>
      </c>
      <c r="J233" s="42">
        <v>3000</v>
      </c>
      <c r="K233" s="42">
        <f t="shared" si="49"/>
        <v>35.714285714285715</v>
      </c>
      <c r="L233" s="42">
        <f t="shared" si="50"/>
        <v>428.57142857142856</v>
      </c>
      <c r="M233" s="93">
        <v>1</v>
      </c>
      <c r="N233" s="42">
        <f t="shared" si="51"/>
        <v>2499.9999999999677</v>
      </c>
      <c r="O233" s="42">
        <f t="shared" si="52"/>
        <v>2928.5714285713962</v>
      </c>
      <c r="P233" s="42">
        <f t="shared" si="53"/>
        <v>71.428571428603846</v>
      </c>
      <c r="Q233" s="91">
        <f t="shared" si="54"/>
        <v>2015.9166666666667</v>
      </c>
      <c r="R233" s="91">
        <f t="shared" si="55"/>
        <v>2022.75</v>
      </c>
      <c r="S233" s="91">
        <f t="shared" si="56"/>
        <v>2022.9166666666667</v>
      </c>
      <c r="T233" s="91">
        <f t="shared" si="57"/>
        <v>2021.75</v>
      </c>
    </row>
    <row r="234" spans="1:20" s="2" customFormat="1" ht="15" x14ac:dyDescent="0.25">
      <c r="A234" s="2">
        <v>233</v>
      </c>
      <c r="B234" s="2" t="s">
        <v>577</v>
      </c>
      <c r="D234" s="88">
        <v>2015</v>
      </c>
      <c r="E234" s="88">
        <v>9</v>
      </c>
      <c r="F234" s="92"/>
      <c r="G234" s="88" t="s">
        <v>381</v>
      </c>
      <c r="H234" s="88">
        <v>5</v>
      </c>
      <c r="I234" s="2">
        <f t="shared" si="48"/>
        <v>2020</v>
      </c>
      <c r="J234" s="42">
        <v>6746</v>
      </c>
      <c r="K234" s="42">
        <f t="shared" si="49"/>
        <v>112.43333333333334</v>
      </c>
      <c r="L234" s="42">
        <f t="shared" si="50"/>
        <v>0</v>
      </c>
      <c r="M234" s="93">
        <v>1</v>
      </c>
      <c r="N234" s="42">
        <f t="shared" si="51"/>
        <v>6746</v>
      </c>
      <c r="O234" s="42">
        <f t="shared" si="52"/>
        <v>6746</v>
      </c>
      <c r="P234" s="42">
        <f t="shared" si="53"/>
        <v>0</v>
      </c>
      <c r="Q234" s="91">
        <f t="shared" si="54"/>
        <v>2015.6666666666667</v>
      </c>
      <c r="R234" s="91">
        <f t="shared" si="55"/>
        <v>2022.75</v>
      </c>
      <c r="S234" s="91">
        <f t="shared" si="56"/>
        <v>2020.6666666666667</v>
      </c>
      <c r="T234" s="91">
        <f t="shared" si="57"/>
        <v>2021.75</v>
      </c>
    </row>
    <row r="235" spans="1:20" s="2" customFormat="1" ht="15" x14ac:dyDescent="0.25">
      <c r="A235" s="2">
        <v>235</v>
      </c>
      <c r="B235" s="2" t="s">
        <v>578</v>
      </c>
      <c r="D235" s="88">
        <v>2016</v>
      </c>
      <c r="E235" s="88">
        <v>6</v>
      </c>
      <c r="F235" s="92"/>
      <c r="G235" s="88" t="s">
        <v>381</v>
      </c>
      <c r="H235" s="88">
        <v>5</v>
      </c>
      <c r="I235" s="2">
        <f t="shared" si="48"/>
        <v>2021</v>
      </c>
      <c r="J235" s="42">
        <v>4131</v>
      </c>
      <c r="K235" s="42">
        <f t="shared" si="49"/>
        <v>68.850000000000009</v>
      </c>
      <c r="L235" s="42">
        <f t="shared" si="50"/>
        <v>0</v>
      </c>
      <c r="M235" s="93">
        <v>1</v>
      </c>
      <c r="N235" s="42">
        <f t="shared" si="51"/>
        <v>4131</v>
      </c>
      <c r="O235" s="42">
        <f t="shared" si="52"/>
        <v>4131</v>
      </c>
      <c r="P235" s="42">
        <f t="shared" si="53"/>
        <v>0</v>
      </c>
      <c r="Q235" s="91">
        <f t="shared" si="54"/>
        <v>2016.4166666666667</v>
      </c>
      <c r="R235" s="91">
        <f t="shared" si="55"/>
        <v>2022.75</v>
      </c>
      <c r="S235" s="91">
        <f t="shared" si="56"/>
        <v>2021.4166666666667</v>
      </c>
      <c r="T235" s="91">
        <f t="shared" si="57"/>
        <v>2021.75</v>
      </c>
    </row>
    <row r="236" spans="1:20" s="2" customFormat="1" ht="15" x14ac:dyDescent="0.25">
      <c r="A236" s="2">
        <v>236</v>
      </c>
      <c r="B236" s="2" t="s">
        <v>579</v>
      </c>
      <c r="D236" s="88">
        <v>2016</v>
      </c>
      <c r="E236" s="88">
        <v>6</v>
      </c>
      <c r="F236" s="92"/>
      <c r="G236" s="88" t="s">
        <v>381</v>
      </c>
      <c r="H236" s="88">
        <v>10</v>
      </c>
      <c r="I236" s="2">
        <f t="shared" si="48"/>
        <v>2026</v>
      </c>
      <c r="J236" s="42">
        <v>53839</v>
      </c>
      <c r="K236" s="42">
        <f t="shared" si="49"/>
        <v>448.6583333333333</v>
      </c>
      <c r="L236" s="42">
        <f t="shared" si="50"/>
        <v>5383.9</v>
      </c>
      <c r="M236" s="93">
        <v>1</v>
      </c>
      <c r="N236" s="42">
        <f t="shared" si="51"/>
        <v>28714.133333332924</v>
      </c>
      <c r="O236" s="42">
        <f t="shared" si="52"/>
        <v>34098.033333332925</v>
      </c>
      <c r="P236" s="42">
        <f t="shared" si="53"/>
        <v>19740.966666667075</v>
      </c>
      <c r="Q236" s="91">
        <f t="shared" si="54"/>
        <v>2016.4166666666667</v>
      </c>
      <c r="R236" s="91">
        <f t="shared" si="55"/>
        <v>2022.75</v>
      </c>
      <c r="S236" s="91">
        <f t="shared" si="56"/>
        <v>2026.4166666666667</v>
      </c>
      <c r="T236" s="91">
        <f t="shared" si="57"/>
        <v>2021.75</v>
      </c>
    </row>
    <row r="237" spans="1:20" s="2" customFormat="1" ht="15" x14ac:dyDescent="0.25">
      <c r="A237" s="2">
        <v>237</v>
      </c>
      <c r="B237" s="2" t="s">
        <v>580</v>
      </c>
      <c r="D237" s="88">
        <v>2016</v>
      </c>
      <c r="E237" s="88">
        <v>1</v>
      </c>
      <c r="F237" s="92"/>
      <c r="G237" s="88" t="s">
        <v>381</v>
      </c>
      <c r="H237" s="88">
        <v>10</v>
      </c>
      <c r="I237" s="2">
        <f t="shared" si="48"/>
        <v>2026</v>
      </c>
      <c r="J237" s="42">
        <v>47628</v>
      </c>
      <c r="K237" s="42">
        <f t="shared" si="49"/>
        <v>396.90000000000003</v>
      </c>
      <c r="L237" s="42">
        <f t="shared" si="50"/>
        <v>4762.8</v>
      </c>
      <c r="M237" s="93">
        <v>1</v>
      </c>
      <c r="N237" s="42">
        <f t="shared" si="51"/>
        <v>27386.100000000002</v>
      </c>
      <c r="O237" s="42">
        <f t="shared" si="52"/>
        <v>32148.9</v>
      </c>
      <c r="P237" s="42">
        <f t="shared" si="53"/>
        <v>15479.099999999999</v>
      </c>
      <c r="Q237" s="91">
        <f t="shared" si="54"/>
        <v>2016</v>
      </c>
      <c r="R237" s="91">
        <f t="shared" si="55"/>
        <v>2022.75</v>
      </c>
      <c r="S237" s="91">
        <f t="shared" si="56"/>
        <v>2026</v>
      </c>
      <c r="T237" s="91">
        <f t="shared" si="57"/>
        <v>2021.75</v>
      </c>
    </row>
    <row r="238" spans="1:20" s="2" customFormat="1" ht="15" x14ac:dyDescent="0.25">
      <c r="A238" s="2">
        <v>239</v>
      </c>
      <c r="B238" s="2" t="s">
        <v>577</v>
      </c>
      <c r="D238" s="88">
        <v>2016</v>
      </c>
      <c r="E238" s="88">
        <v>6</v>
      </c>
      <c r="F238" s="92"/>
      <c r="G238" s="88" t="s">
        <v>381</v>
      </c>
      <c r="H238" s="88">
        <v>5</v>
      </c>
      <c r="I238" s="2">
        <f t="shared" si="48"/>
        <v>2021</v>
      </c>
      <c r="J238" s="42">
        <v>2428</v>
      </c>
      <c r="K238" s="42">
        <f t="shared" si="49"/>
        <v>40.466666666666669</v>
      </c>
      <c r="L238" s="42">
        <f t="shared" si="50"/>
        <v>0</v>
      </c>
      <c r="M238" s="93">
        <v>1</v>
      </c>
      <c r="N238" s="42">
        <f t="shared" si="51"/>
        <v>2428</v>
      </c>
      <c r="O238" s="42">
        <f t="shared" si="52"/>
        <v>2428</v>
      </c>
      <c r="P238" s="42">
        <f t="shared" si="53"/>
        <v>0</v>
      </c>
      <c r="Q238" s="91">
        <f t="shared" si="54"/>
        <v>2016.4166666666667</v>
      </c>
      <c r="R238" s="91">
        <f t="shared" si="55"/>
        <v>2022.75</v>
      </c>
      <c r="S238" s="91">
        <f t="shared" si="56"/>
        <v>2021.4166666666667</v>
      </c>
      <c r="T238" s="91">
        <f t="shared" si="57"/>
        <v>2021.75</v>
      </c>
    </row>
    <row r="239" spans="1:20" s="2" customFormat="1" ht="15" x14ac:dyDescent="0.25">
      <c r="A239" s="2">
        <v>240</v>
      </c>
      <c r="B239" s="2" t="s">
        <v>581</v>
      </c>
      <c r="D239" s="88">
        <v>2016</v>
      </c>
      <c r="E239" s="88">
        <v>12</v>
      </c>
      <c r="F239" s="92"/>
      <c r="G239" s="88" t="s">
        <v>381</v>
      </c>
      <c r="H239" s="88">
        <v>5</v>
      </c>
      <c r="I239" s="2">
        <f t="shared" si="48"/>
        <v>2021</v>
      </c>
      <c r="J239" s="42">
        <v>15332</v>
      </c>
      <c r="K239" s="42">
        <f t="shared" si="49"/>
        <v>255.53333333333333</v>
      </c>
      <c r="L239" s="42">
        <f t="shared" si="50"/>
        <v>0</v>
      </c>
      <c r="M239" s="93">
        <v>1</v>
      </c>
      <c r="N239" s="42">
        <f t="shared" si="51"/>
        <v>15332</v>
      </c>
      <c r="O239" s="42">
        <f t="shared" si="52"/>
        <v>15332</v>
      </c>
      <c r="P239" s="42">
        <f t="shared" si="53"/>
        <v>0</v>
      </c>
      <c r="Q239" s="91">
        <f t="shared" si="54"/>
        <v>2016.9166666666667</v>
      </c>
      <c r="R239" s="91">
        <f t="shared" si="55"/>
        <v>2022.75</v>
      </c>
      <c r="S239" s="91">
        <f t="shared" si="56"/>
        <v>2021.9166666666667</v>
      </c>
      <c r="T239" s="91">
        <f t="shared" si="57"/>
        <v>2021.75</v>
      </c>
    </row>
    <row r="240" spans="1:20" s="2" customFormat="1" ht="15" x14ac:dyDescent="0.25">
      <c r="A240" s="2">
        <v>246</v>
      </c>
      <c r="B240" s="2" t="s">
        <v>397</v>
      </c>
      <c r="D240" s="88">
        <v>2016</v>
      </c>
      <c r="E240" s="88">
        <v>11</v>
      </c>
      <c r="F240" s="92"/>
      <c r="G240" s="88" t="s">
        <v>381</v>
      </c>
      <c r="H240" s="88">
        <v>7</v>
      </c>
      <c r="I240" s="2">
        <f t="shared" si="48"/>
        <v>2023</v>
      </c>
      <c r="J240" s="42">
        <v>3144</v>
      </c>
      <c r="K240" s="42">
        <f t="shared" si="49"/>
        <v>37.428571428571431</v>
      </c>
      <c r="L240" s="42">
        <f t="shared" si="50"/>
        <v>449.14285714285717</v>
      </c>
      <c r="M240" s="93">
        <v>1</v>
      </c>
      <c r="N240" s="42">
        <f t="shared" si="51"/>
        <v>2208.2857142857483</v>
      </c>
      <c r="O240" s="42">
        <f t="shared" si="52"/>
        <v>2657.4285714286057</v>
      </c>
      <c r="P240" s="42">
        <f t="shared" si="53"/>
        <v>486.57142857139434</v>
      </c>
      <c r="Q240" s="91">
        <f t="shared" si="54"/>
        <v>2016.8333333333333</v>
      </c>
      <c r="R240" s="91">
        <f t="shared" si="55"/>
        <v>2022.75</v>
      </c>
      <c r="S240" s="91">
        <f t="shared" si="56"/>
        <v>2023.8333333333333</v>
      </c>
      <c r="T240" s="91">
        <f t="shared" si="57"/>
        <v>2021.75</v>
      </c>
    </row>
    <row r="241" spans="1:20" s="2" customFormat="1" ht="15" x14ac:dyDescent="0.25">
      <c r="A241" s="2">
        <v>251</v>
      </c>
      <c r="B241" s="2" t="s">
        <v>582</v>
      </c>
      <c r="D241" s="88">
        <v>2016</v>
      </c>
      <c r="E241" s="88">
        <v>2</v>
      </c>
      <c r="F241" s="92"/>
      <c r="G241" s="88" t="s">
        <v>381</v>
      </c>
      <c r="H241" s="88">
        <v>5</v>
      </c>
      <c r="I241" s="2">
        <f t="shared" si="48"/>
        <v>2021</v>
      </c>
      <c r="J241" s="42">
        <v>19046</v>
      </c>
      <c r="K241" s="42">
        <f t="shared" si="49"/>
        <v>317.43333333333334</v>
      </c>
      <c r="L241" s="42">
        <f t="shared" si="50"/>
        <v>0</v>
      </c>
      <c r="M241" s="93">
        <v>1</v>
      </c>
      <c r="N241" s="42">
        <f t="shared" si="51"/>
        <v>19046</v>
      </c>
      <c r="O241" s="42">
        <f t="shared" si="52"/>
        <v>19046</v>
      </c>
      <c r="P241" s="42">
        <f t="shared" si="53"/>
        <v>0</v>
      </c>
      <c r="Q241" s="91">
        <f t="shared" si="54"/>
        <v>2016.0833333333333</v>
      </c>
      <c r="R241" s="91">
        <f t="shared" si="55"/>
        <v>2022.75</v>
      </c>
      <c r="S241" s="91">
        <f t="shared" si="56"/>
        <v>2021.0833333333333</v>
      </c>
      <c r="T241" s="91">
        <f t="shared" si="57"/>
        <v>2021.75</v>
      </c>
    </row>
    <row r="242" spans="1:20" s="2" customFormat="1" ht="15" x14ac:dyDescent="0.25">
      <c r="A242" s="2">
        <v>252</v>
      </c>
      <c r="B242" s="2" t="s">
        <v>583</v>
      </c>
      <c r="D242" s="88">
        <v>2016</v>
      </c>
      <c r="E242" s="88">
        <v>5</v>
      </c>
      <c r="F242" s="92"/>
      <c r="G242" s="88" t="s">
        <v>381</v>
      </c>
      <c r="H242" s="88">
        <v>5</v>
      </c>
      <c r="I242" s="2">
        <f t="shared" si="48"/>
        <v>2021</v>
      </c>
      <c r="J242" s="42">
        <v>20054</v>
      </c>
      <c r="K242" s="42">
        <f t="shared" si="49"/>
        <v>334.23333333333335</v>
      </c>
      <c r="L242" s="42">
        <f t="shared" si="50"/>
        <v>0</v>
      </c>
      <c r="M242" s="93">
        <v>1</v>
      </c>
      <c r="N242" s="42">
        <f t="shared" si="51"/>
        <v>20054</v>
      </c>
      <c r="O242" s="42">
        <f t="shared" si="52"/>
        <v>20054</v>
      </c>
      <c r="P242" s="42">
        <f t="shared" si="53"/>
        <v>0</v>
      </c>
      <c r="Q242" s="91">
        <f t="shared" si="54"/>
        <v>2016.3333333333333</v>
      </c>
      <c r="R242" s="91">
        <f t="shared" si="55"/>
        <v>2022.75</v>
      </c>
      <c r="S242" s="91">
        <f t="shared" si="56"/>
        <v>2021.3333333333333</v>
      </c>
      <c r="T242" s="91">
        <f t="shared" si="57"/>
        <v>2021.75</v>
      </c>
    </row>
    <row r="243" spans="1:20" s="2" customFormat="1" ht="15" x14ac:dyDescent="0.25">
      <c r="A243" s="2">
        <v>255</v>
      </c>
      <c r="B243" s="2" t="s">
        <v>584</v>
      </c>
      <c r="D243" s="88">
        <v>2017</v>
      </c>
      <c r="E243" s="88">
        <v>3</v>
      </c>
      <c r="F243" s="92"/>
      <c r="G243" s="88" t="s">
        <v>381</v>
      </c>
      <c r="H243" s="88">
        <v>5</v>
      </c>
      <c r="I243" s="2">
        <f t="shared" si="48"/>
        <v>2022</v>
      </c>
      <c r="J243" s="42">
        <v>105450</v>
      </c>
      <c r="K243" s="42">
        <f t="shared" si="49"/>
        <v>1757.5</v>
      </c>
      <c r="L243" s="42">
        <f t="shared" si="50"/>
        <v>0</v>
      </c>
      <c r="M243" s="93">
        <v>1</v>
      </c>
      <c r="N243" s="42">
        <f t="shared" si="51"/>
        <v>105450</v>
      </c>
      <c r="O243" s="42">
        <f t="shared" si="52"/>
        <v>105450</v>
      </c>
      <c r="P243" s="42">
        <f t="shared" si="53"/>
        <v>0</v>
      </c>
      <c r="Q243" s="91">
        <f t="shared" si="54"/>
        <v>2017.1666666666667</v>
      </c>
      <c r="R243" s="91">
        <f t="shared" si="55"/>
        <v>2022.75</v>
      </c>
      <c r="S243" s="91">
        <f t="shared" si="56"/>
        <v>2022.1666666666667</v>
      </c>
      <c r="T243" s="91">
        <f t="shared" si="57"/>
        <v>2021.75</v>
      </c>
    </row>
    <row r="244" spans="1:20" s="2" customFormat="1" ht="15" x14ac:dyDescent="0.25">
      <c r="A244" s="2">
        <v>260</v>
      </c>
      <c r="B244" s="2" t="s">
        <v>585</v>
      </c>
      <c r="D244" s="88">
        <v>2017</v>
      </c>
      <c r="E244" s="88">
        <v>12</v>
      </c>
      <c r="F244" s="92"/>
      <c r="G244" s="88" t="s">
        <v>381</v>
      </c>
      <c r="H244" s="88">
        <v>5</v>
      </c>
      <c r="I244" s="2">
        <f t="shared" si="48"/>
        <v>2022</v>
      </c>
      <c r="J244" s="42">
        <v>33872.6</v>
      </c>
      <c r="K244" s="42">
        <f t="shared" si="49"/>
        <v>564.54333333333329</v>
      </c>
      <c r="L244" s="42">
        <f t="shared" si="50"/>
        <v>6774.5199999999995</v>
      </c>
      <c r="M244" s="93">
        <v>1</v>
      </c>
      <c r="N244" s="42">
        <f t="shared" si="51"/>
        <v>25968.993333332819</v>
      </c>
      <c r="O244" s="42">
        <f t="shared" si="52"/>
        <v>32743.513333332819</v>
      </c>
      <c r="P244" s="42">
        <f t="shared" si="53"/>
        <v>1129.0866666671791</v>
      </c>
      <c r="Q244" s="91">
        <f t="shared" si="54"/>
        <v>2017.9166666666667</v>
      </c>
      <c r="R244" s="91">
        <f t="shared" si="55"/>
        <v>2022.75</v>
      </c>
      <c r="S244" s="91">
        <f t="shared" si="56"/>
        <v>2022.9166666666667</v>
      </c>
      <c r="T244" s="91">
        <f t="shared" si="57"/>
        <v>2021.75</v>
      </c>
    </row>
    <row r="245" spans="1:20" s="2" customFormat="1" ht="15" x14ac:dyDescent="0.25">
      <c r="A245" s="2">
        <v>261</v>
      </c>
      <c r="B245" s="2" t="s">
        <v>585</v>
      </c>
      <c r="D245" s="88">
        <v>2018</v>
      </c>
      <c r="E245" s="88">
        <v>1</v>
      </c>
      <c r="F245" s="92"/>
      <c r="G245" s="88" t="s">
        <v>381</v>
      </c>
      <c r="H245" s="88">
        <v>5</v>
      </c>
      <c r="I245" s="2">
        <f t="shared" si="48"/>
        <v>2023</v>
      </c>
      <c r="J245" s="42">
        <v>56142</v>
      </c>
      <c r="K245" s="42">
        <f t="shared" si="49"/>
        <v>935.69999999999993</v>
      </c>
      <c r="L245" s="42">
        <f t="shared" si="50"/>
        <v>11228.4</v>
      </c>
      <c r="M245" s="93">
        <v>1</v>
      </c>
      <c r="N245" s="42">
        <f t="shared" si="51"/>
        <v>42106.5</v>
      </c>
      <c r="O245" s="42">
        <f t="shared" si="52"/>
        <v>53334.9</v>
      </c>
      <c r="P245" s="42">
        <f t="shared" si="53"/>
        <v>2807.0999999999985</v>
      </c>
      <c r="Q245" s="91">
        <f t="shared" si="54"/>
        <v>2018</v>
      </c>
      <c r="R245" s="91">
        <f t="shared" si="55"/>
        <v>2022.75</v>
      </c>
      <c r="S245" s="91">
        <f t="shared" si="56"/>
        <v>2023</v>
      </c>
      <c r="T245" s="91">
        <f t="shared" si="57"/>
        <v>2021.75</v>
      </c>
    </row>
    <row r="246" spans="1:20" s="2" customFormat="1" ht="15" x14ac:dyDescent="0.25">
      <c r="A246" s="2">
        <v>262</v>
      </c>
      <c r="B246" s="2" t="s">
        <v>586</v>
      </c>
      <c r="D246" s="88">
        <v>2018</v>
      </c>
      <c r="E246" s="88">
        <v>6</v>
      </c>
      <c r="F246" s="92"/>
      <c r="G246" s="88" t="s">
        <v>381</v>
      </c>
      <c r="H246" s="88">
        <v>5</v>
      </c>
      <c r="I246" s="2">
        <f t="shared" si="48"/>
        <v>2023</v>
      </c>
      <c r="J246" s="42">
        <v>16250</v>
      </c>
      <c r="K246" s="42">
        <f t="shared" si="49"/>
        <v>270.83333333333331</v>
      </c>
      <c r="L246" s="42">
        <f t="shared" si="50"/>
        <v>3250</v>
      </c>
      <c r="M246" s="93">
        <v>1</v>
      </c>
      <c r="N246" s="42">
        <f t="shared" si="51"/>
        <v>10833.333333333087</v>
      </c>
      <c r="O246" s="42">
        <f t="shared" si="52"/>
        <v>14083.333333333087</v>
      </c>
      <c r="P246" s="42">
        <f t="shared" si="53"/>
        <v>2166.6666666669134</v>
      </c>
      <c r="Q246" s="91">
        <f t="shared" si="54"/>
        <v>2018.4166666666667</v>
      </c>
      <c r="R246" s="91">
        <f t="shared" si="55"/>
        <v>2022.75</v>
      </c>
      <c r="S246" s="91">
        <f t="shared" si="56"/>
        <v>2023.4166666666667</v>
      </c>
      <c r="T246" s="91">
        <f t="shared" si="57"/>
        <v>2021.75</v>
      </c>
    </row>
    <row r="247" spans="1:20" s="2" customFormat="1" ht="15" x14ac:dyDescent="0.25">
      <c r="A247" s="2">
        <v>263</v>
      </c>
      <c r="B247" s="2" t="s">
        <v>581</v>
      </c>
      <c r="D247" s="88">
        <v>2018</v>
      </c>
      <c r="E247" s="88">
        <v>6</v>
      </c>
      <c r="F247" s="92"/>
      <c r="G247" s="88" t="s">
        <v>381</v>
      </c>
      <c r="H247" s="88">
        <v>5</v>
      </c>
      <c r="I247" s="2">
        <f t="shared" si="48"/>
        <v>2023</v>
      </c>
      <c r="J247" s="42">
        <v>13242</v>
      </c>
      <c r="K247" s="42">
        <f t="shared" si="49"/>
        <v>220.70000000000002</v>
      </c>
      <c r="L247" s="42">
        <f t="shared" si="50"/>
        <v>2648.4</v>
      </c>
      <c r="M247" s="93">
        <v>1</v>
      </c>
      <c r="N247" s="42">
        <f t="shared" si="51"/>
        <v>8827.9999999997999</v>
      </c>
      <c r="O247" s="42">
        <f t="shared" si="52"/>
        <v>11476.3999999998</v>
      </c>
      <c r="P247" s="42">
        <f t="shared" si="53"/>
        <v>1765.6000000002005</v>
      </c>
      <c r="Q247" s="91">
        <f t="shared" si="54"/>
        <v>2018.4166666666667</v>
      </c>
      <c r="R247" s="91">
        <f t="shared" si="55"/>
        <v>2022.75</v>
      </c>
      <c r="S247" s="91">
        <f t="shared" si="56"/>
        <v>2023.4166666666667</v>
      </c>
      <c r="T247" s="91">
        <f t="shared" si="57"/>
        <v>2021.75</v>
      </c>
    </row>
    <row r="248" spans="1:20" s="2" customFormat="1" ht="15" x14ac:dyDescent="0.25">
      <c r="A248" s="2">
        <v>264</v>
      </c>
      <c r="B248" s="2" t="s">
        <v>587</v>
      </c>
      <c r="D248" s="88">
        <v>2018</v>
      </c>
      <c r="E248" s="88">
        <v>10</v>
      </c>
      <c r="F248" s="92"/>
      <c r="G248" s="88" t="s">
        <v>381</v>
      </c>
      <c r="H248" s="88">
        <v>5</v>
      </c>
      <c r="I248" s="2">
        <f t="shared" si="48"/>
        <v>2023</v>
      </c>
      <c r="J248" s="42">
        <v>37637.54</v>
      </c>
      <c r="K248" s="42">
        <f t="shared" si="49"/>
        <v>627.29233333333332</v>
      </c>
      <c r="L248" s="42">
        <f t="shared" si="50"/>
        <v>7527.5079999999998</v>
      </c>
      <c r="M248" s="93">
        <v>1</v>
      </c>
      <c r="N248" s="42">
        <f t="shared" si="51"/>
        <v>22582.523999999998</v>
      </c>
      <c r="O248" s="42">
        <f t="shared" si="52"/>
        <v>30110.031999999999</v>
      </c>
      <c r="P248" s="42">
        <f t="shared" si="53"/>
        <v>7527.5080000000016</v>
      </c>
      <c r="Q248" s="91">
        <f t="shared" si="54"/>
        <v>2018.75</v>
      </c>
      <c r="R248" s="91">
        <f t="shared" si="55"/>
        <v>2022.75</v>
      </c>
      <c r="S248" s="91">
        <f t="shared" si="56"/>
        <v>2023.75</v>
      </c>
      <c r="T248" s="91">
        <f t="shared" si="57"/>
        <v>2021.75</v>
      </c>
    </row>
    <row r="249" spans="1:20" s="2" customFormat="1" ht="15" x14ac:dyDescent="0.25">
      <c r="A249" s="2">
        <v>267</v>
      </c>
      <c r="B249" s="2" t="s">
        <v>588</v>
      </c>
      <c r="D249" s="88">
        <v>2018</v>
      </c>
      <c r="E249" s="88">
        <v>4</v>
      </c>
      <c r="F249" s="92"/>
      <c r="G249" s="88" t="s">
        <v>381</v>
      </c>
      <c r="H249" s="88">
        <v>5</v>
      </c>
      <c r="I249" s="2">
        <f t="shared" si="48"/>
        <v>2023</v>
      </c>
      <c r="J249" s="42">
        <v>9068</v>
      </c>
      <c r="K249" s="42">
        <f t="shared" si="49"/>
        <v>151.13333333333333</v>
      </c>
      <c r="L249" s="42">
        <f t="shared" si="50"/>
        <v>1813.6</v>
      </c>
      <c r="M249" s="93">
        <v>1</v>
      </c>
      <c r="N249" s="42">
        <f t="shared" si="51"/>
        <v>6347.5999999999995</v>
      </c>
      <c r="O249" s="42">
        <f t="shared" si="52"/>
        <v>8161.1999999999989</v>
      </c>
      <c r="P249" s="42">
        <f t="shared" si="53"/>
        <v>906.80000000000109</v>
      </c>
      <c r="Q249" s="91">
        <f t="shared" si="54"/>
        <v>2018.25</v>
      </c>
      <c r="R249" s="91">
        <f t="shared" si="55"/>
        <v>2022.75</v>
      </c>
      <c r="S249" s="91">
        <f t="shared" si="56"/>
        <v>2023.25</v>
      </c>
      <c r="T249" s="91">
        <f t="shared" si="57"/>
        <v>2021.75</v>
      </c>
    </row>
    <row r="250" spans="1:20" s="2" customFormat="1" ht="15" x14ac:dyDescent="0.25">
      <c r="A250" s="2">
        <v>270</v>
      </c>
      <c r="B250" s="2" t="s">
        <v>588</v>
      </c>
      <c r="D250" s="88">
        <v>2018</v>
      </c>
      <c r="E250" s="88">
        <v>7</v>
      </c>
      <c r="F250" s="92"/>
      <c r="G250" s="88" t="s">
        <v>381</v>
      </c>
      <c r="H250" s="88">
        <v>5</v>
      </c>
      <c r="I250" s="2">
        <f t="shared" si="48"/>
        <v>2023</v>
      </c>
      <c r="J250" s="42">
        <v>5239</v>
      </c>
      <c r="K250" s="42">
        <f t="shared" si="49"/>
        <v>87.316666666666663</v>
      </c>
      <c r="L250" s="42">
        <f t="shared" si="50"/>
        <v>1047.8</v>
      </c>
      <c r="M250" s="93">
        <v>1</v>
      </c>
      <c r="N250" s="42">
        <f t="shared" si="51"/>
        <v>3405.35</v>
      </c>
      <c r="O250" s="42">
        <f t="shared" si="52"/>
        <v>4453.1499999999996</v>
      </c>
      <c r="P250" s="42">
        <f t="shared" si="53"/>
        <v>785.85000000000036</v>
      </c>
      <c r="Q250" s="91">
        <f t="shared" si="54"/>
        <v>2018.5</v>
      </c>
      <c r="R250" s="91">
        <f t="shared" si="55"/>
        <v>2022.75</v>
      </c>
      <c r="S250" s="91">
        <f t="shared" si="56"/>
        <v>2023.5</v>
      </c>
      <c r="T250" s="91">
        <f t="shared" si="57"/>
        <v>2021.75</v>
      </c>
    </row>
    <row r="251" spans="1:20" s="2" customFormat="1" ht="15" x14ac:dyDescent="0.25">
      <c r="A251" s="2">
        <v>271</v>
      </c>
      <c r="B251" s="2" t="s">
        <v>589</v>
      </c>
      <c r="D251" s="88">
        <v>2018</v>
      </c>
      <c r="E251" s="88">
        <v>10</v>
      </c>
      <c r="F251" s="92"/>
      <c r="G251" s="88" t="s">
        <v>381</v>
      </c>
      <c r="H251" s="88">
        <v>5</v>
      </c>
      <c r="I251" s="2">
        <f t="shared" si="48"/>
        <v>2023</v>
      </c>
      <c r="J251" s="42">
        <v>14621</v>
      </c>
      <c r="K251" s="42">
        <f t="shared" si="49"/>
        <v>243.68333333333331</v>
      </c>
      <c r="L251" s="42">
        <f t="shared" si="50"/>
        <v>2924.2</v>
      </c>
      <c r="M251" s="93">
        <v>1</v>
      </c>
      <c r="N251" s="42">
        <f t="shared" si="51"/>
        <v>8772.5999999999985</v>
      </c>
      <c r="O251" s="42">
        <f t="shared" si="52"/>
        <v>11696.8</v>
      </c>
      <c r="P251" s="42">
        <f t="shared" si="53"/>
        <v>2924.2000000000007</v>
      </c>
      <c r="Q251" s="91">
        <f t="shared" si="54"/>
        <v>2018.75</v>
      </c>
      <c r="R251" s="91">
        <f t="shared" si="55"/>
        <v>2022.75</v>
      </c>
      <c r="S251" s="91">
        <f t="shared" si="56"/>
        <v>2023.75</v>
      </c>
      <c r="T251" s="91">
        <f t="shared" si="57"/>
        <v>2021.75</v>
      </c>
    </row>
    <row r="252" spans="1:20" s="2" customFormat="1" ht="15" x14ac:dyDescent="0.25">
      <c r="A252" s="2">
        <v>272</v>
      </c>
      <c r="B252" s="2" t="s">
        <v>590</v>
      </c>
      <c r="D252" s="88">
        <v>2018</v>
      </c>
      <c r="E252" s="88">
        <v>5</v>
      </c>
      <c r="F252" s="92"/>
      <c r="G252" s="88" t="s">
        <v>381</v>
      </c>
      <c r="H252" s="88">
        <v>5</v>
      </c>
      <c r="I252" s="2">
        <f t="shared" si="48"/>
        <v>2023</v>
      </c>
      <c r="J252" s="42">
        <v>11742</v>
      </c>
      <c r="K252" s="42">
        <f t="shared" si="49"/>
        <v>195.70000000000002</v>
      </c>
      <c r="L252" s="42">
        <f t="shared" si="50"/>
        <v>2348.4</v>
      </c>
      <c r="M252" s="93">
        <v>1</v>
      </c>
      <c r="N252" s="42">
        <f t="shared" si="51"/>
        <v>8023.700000000179</v>
      </c>
      <c r="O252" s="42">
        <f t="shared" si="52"/>
        <v>10372.100000000179</v>
      </c>
      <c r="P252" s="42">
        <f t="shared" si="53"/>
        <v>1369.8999999998214</v>
      </c>
      <c r="Q252" s="91">
        <f t="shared" si="54"/>
        <v>2018.3333333333333</v>
      </c>
      <c r="R252" s="91">
        <f t="shared" si="55"/>
        <v>2022.75</v>
      </c>
      <c r="S252" s="91">
        <f t="shared" si="56"/>
        <v>2023.3333333333333</v>
      </c>
      <c r="T252" s="91">
        <f t="shared" si="57"/>
        <v>2021.75</v>
      </c>
    </row>
    <row r="253" spans="1:20" s="2" customFormat="1" ht="15" x14ac:dyDescent="0.25">
      <c r="A253" s="2">
        <v>274</v>
      </c>
      <c r="B253" s="2" t="s">
        <v>591</v>
      </c>
      <c r="D253" s="88">
        <v>2018</v>
      </c>
      <c r="E253" s="88">
        <v>7</v>
      </c>
      <c r="F253" s="92"/>
      <c r="G253" s="88" t="s">
        <v>381</v>
      </c>
      <c r="H253" s="88">
        <v>5</v>
      </c>
      <c r="I253" s="2">
        <f t="shared" si="48"/>
        <v>2023</v>
      </c>
      <c r="J253" s="42">
        <v>9800</v>
      </c>
      <c r="K253" s="42">
        <f t="shared" si="49"/>
        <v>163.33333333333334</v>
      </c>
      <c r="L253" s="42">
        <f t="shared" si="50"/>
        <v>1960</v>
      </c>
      <c r="M253" s="93">
        <v>1</v>
      </c>
      <c r="N253" s="42">
        <f t="shared" si="51"/>
        <v>6370</v>
      </c>
      <c r="O253" s="42">
        <f t="shared" si="52"/>
        <v>8330</v>
      </c>
      <c r="P253" s="42">
        <f t="shared" si="53"/>
        <v>1470</v>
      </c>
      <c r="Q253" s="91">
        <f t="shared" si="54"/>
        <v>2018.5</v>
      </c>
      <c r="R253" s="91">
        <f t="shared" si="55"/>
        <v>2022.75</v>
      </c>
      <c r="S253" s="91">
        <f t="shared" si="56"/>
        <v>2023.5</v>
      </c>
      <c r="T253" s="91">
        <f t="shared" si="57"/>
        <v>2021.75</v>
      </c>
    </row>
    <row r="254" spans="1:20" s="2" customFormat="1" ht="15" x14ac:dyDescent="0.25">
      <c r="A254" s="2">
        <v>275</v>
      </c>
      <c r="B254" s="2" t="s">
        <v>592</v>
      </c>
      <c r="D254" s="88">
        <v>2018</v>
      </c>
      <c r="E254" s="88">
        <v>7</v>
      </c>
      <c r="F254" s="92"/>
      <c r="G254" s="88" t="s">
        <v>381</v>
      </c>
      <c r="H254" s="88">
        <v>5</v>
      </c>
      <c r="I254" s="2">
        <f t="shared" si="48"/>
        <v>2023</v>
      </c>
      <c r="J254" s="42">
        <v>5855</v>
      </c>
      <c r="K254" s="42">
        <f t="shared" si="49"/>
        <v>97.583333333333329</v>
      </c>
      <c r="L254" s="42">
        <f t="shared" si="50"/>
        <v>1171</v>
      </c>
      <c r="M254" s="93">
        <v>1</v>
      </c>
      <c r="N254" s="42">
        <f t="shared" si="51"/>
        <v>3805.75</v>
      </c>
      <c r="O254" s="42">
        <f t="shared" si="52"/>
        <v>4976.75</v>
      </c>
      <c r="P254" s="42">
        <f t="shared" si="53"/>
        <v>878.25</v>
      </c>
      <c r="Q254" s="91">
        <f t="shared" si="54"/>
        <v>2018.5</v>
      </c>
      <c r="R254" s="91">
        <f t="shared" si="55"/>
        <v>2022.75</v>
      </c>
      <c r="S254" s="91">
        <f t="shared" si="56"/>
        <v>2023.5</v>
      </c>
      <c r="T254" s="91">
        <f t="shared" si="57"/>
        <v>2021.75</v>
      </c>
    </row>
    <row r="255" spans="1:20" s="2" customFormat="1" ht="15" x14ac:dyDescent="0.25">
      <c r="A255" s="2">
        <v>279</v>
      </c>
      <c r="B255" s="2" t="s">
        <v>593</v>
      </c>
      <c r="D255" s="88">
        <v>2019</v>
      </c>
      <c r="E255" s="88">
        <v>9</v>
      </c>
      <c r="F255" s="92"/>
      <c r="G255" s="88" t="s">
        <v>381</v>
      </c>
      <c r="H255" s="88">
        <v>10</v>
      </c>
      <c r="I255" s="2">
        <f t="shared" si="48"/>
        <v>2029</v>
      </c>
      <c r="J255" s="42">
        <v>7768</v>
      </c>
      <c r="K255" s="42">
        <f t="shared" si="49"/>
        <v>64.733333333333334</v>
      </c>
      <c r="L255" s="42">
        <f t="shared" si="50"/>
        <v>776.8</v>
      </c>
      <c r="M255" s="93">
        <v>1</v>
      </c>
      <c r="N255" s="42">
        <f t="shared" si="51"/>
        <v>1618.3333333332746</v>
      </c>
      <c r="O255" s="42">
        <f t="shared" si="52"/>
        <v>2395.1333333332745</v>
      </c>
      <c r="P255" s="42">
        <f t="shared" si="53"/>
        <v>5372.866666666725</v>
      </c>
      <c r="Q255" s="91">
        <f t="shared" si="54"/>
        <v>2019.6666666666667</v>
      </c>
      <c r="R255" s="91">
        <f t="shared" si="55"/>
        <v>2022.75</v>
      </c>
      <c r="S255" s="91">
        <f t="shared" si="56"/>
        <v>2029.6666666666667</v>
      </c>
      <c r="T255" s="91">
        <f t="shared" si="57"/>
        <v>2021.75</v>
      </c>
    </row>
    <row r="256" spans="1:20" s="2" customFormat="1" ht="15" x14ac:dyDescent="0.25">
      <c r="A256" s="2">
        <v>280</v>
      </c>
      <c r="B256" s="2" t="s">
        <v>594</v>
      </c>
      <c r="D256" s="88">
        <v>2019</v>
      </c>
      <c r="E256" s="88">
        <v>10</v>
      </c>
      <c r="F256" s="92"/>
      <c r="G256" s="88" t="s">
        <v>381</v>
      </c>
      <c r="H256" s="88">
        <v>5</v>
      </c>
      <c r="I256" s="2">
        <f t="shared" si="48"/>
        <v>2024</v>
      </c>
      <c r="J256" s="42">
        <v>8573.7099999999991</v>
      </c>
      <c r="K256" s="42">
        <f t="shared" si="49"/>
        <v>142.89516666666665</v>
      </c>
      <c r="L256" s="42">
        <f t="shared" si="50"/>
        <v>1714.7419999999997</v>
      </c>
      <c r="M256" s="93">
        <v>1</v>
      </c>
      <c r="N256" s="42">
        <f t="shared" si="51"/>
        <v>3429.4839999999995</v>
      </c>
      <c r="O256" s="42">
        <f t="shared" si="52"/>
        <v>5144.2259999999987</v>
      </c>
      <c r="P256" s="42">
        <f t="shared" si="53"/>
        <v>3429.4840000000004</v>
      </c>
      <c r="Q256" s="91">
        <f t="shared" si="54"/>
        <v>2019.75</v>
      </c>
      <c r="R256" s="91">
        <f t="shared" si="55"/>
        <v>2022.75</v>
      </c>
      <c r="S256" s="91">
        <f t="shared" si="56"/>
        <v>2024.75</v>
      </c>
      <c r="T256" s="91">
        <f t="shared" si="57"/>
        <v>2021.75</v>
      </c>
    </row>
    <row r="257" spans="1:20" s="2" customFormat="1" ht="15" x14ac:dyDescent="0.25">
      <c r="A257" s="2">
        <v>284</v>
      </c>
      <c r="B257" s="2" t="s">
        <v>595</v>
      </c>
      <c r="D257" s="88">
        <v>2020</v>
      </c>
      <c r="E257" s="88">
        <v>6</v>
      </c>
      <c r="F257" s="92"/>
      <c r="G257" s="88" t="s">
        <v>381</v>
      </c>
      <c r="H257" s="88">
        <v>5</v>
      </c>
      <c r="I257" s="2">
        <f t="shared" si="48"/>
        <v>2025</v>
      </c>
      <c r="J257" s="42">
        <v>15196</v>
      </c>
      <c r="K257" s="42">
        <f t="shared" si="49"/>
        <v>253.26666666666665</v>
      </c>
      <c r="L257" s="42">
        <f t="shared" si="50"/>
        <v>3039.2</v>
      </c>
      <c r="M257" s="93">
        <v>1</v>
      </c>
      <c r="N257" s="42">
        <f t="shared" si="51"/>
        <v>4052.2666666664359</v>
      </c>
      <c r="O257" s="42">
        <f t="shared" si="52"/>
        <v>7091.4666666664361</v>
      </c>
      <c r="P257" s="42">
        <f t="shared" si="53"/>
        <v>8104.5333333335639</v>
      </c>
      <c r="Q257" s="91">
        <f t="shared" si="54"/>
        <v>2020.4166666666667</v>
      </c>
      <c r="R257" s="91">
        <f t="shared" si="55"/>
        <v>2022.75</v>
      </c>
      <c r="S257" s="91">
        <f t="shared" si="56"/>
        <v>2025.4166666666667</v>
      </c>
      <c r="T257" s="91">
        <f t="shared" si="57"/>
        <v>2021.75</v>
      </c>
    </row>
    <row r="258" spans="1:20" s="2" customFormat="1" ht="15" x14ac:dyDescent="0.25">
      <c r="A258" s="2">
        <v>286</v>
      </c>
      <c r="B258" s="2" t="s">
        <v>596</v>
      </c>
      <c r="D258" s="88">
        <v>2020</v>
      </c>
      <c r="E258" s="88">
        <v>1</v>
      </c>
      <c r="F258" s="92"/>
      <c r="G258" s="88" t="s">
        <v>381</v>
      </c>
      <c r="H258" s="88">
        <v>5</v>
      </c>
      <c r="I258" s="2">
        <f t="shared" si="48"/>
        <v>2025</v>
      </c>
      <c r="J258" s="42">
        <v>27406</v>
      </c>
      <c r="K258" s="42">
        <f t="shared" si="49"/>
        <v>456.76666666666665</v>
      </c>
      <c r="L258" s="42">
        <f t="shared" si="50"/>
        <v>5481.2</v>
      </c>
      <c r="M258" s="93">
        <v>1</v>
      </c>
      <c r="N258" s="42">
        <f t="shared" si="51"/>
        <v>9592.1</v>
      </c>
      <c r="O258" s="42">
        <f t="shared" si="52"/>
        <v>15073.3</v>
      </c>
      <c r="P258" s="42">
        <f t="shared" si="53"/>
        <v>12332.7</v>
      </c>
      <c r="Q258" s="91">
        <f t="shared" si="54"/>
        <v>2020</v>
      </c>
      <c r="R258" s="91">
        <f t="shared" si="55"/>
        <v>2022.75</v>
      </c>
      <c r="S258" s="91">
        <f t="shared" si="56"/>
        <v>2025</v>
      </c>
      <c r="T258" s="91">
        <f t="shared" si="57"/>
        <v>2021.75</v>
      </c>
    </row>
    <row r="259" spans="1:20" s="2" customFormat="1" ht="15" x14ac:dyDescent="0.25">
      <c r="A259" s="2">
        <v>287</v>
      </c>
      <c r="B259" s="2" t="s">
        <v>597</v>
      </c>
      <c r="D259" s="88">
        <v>2020</v>
      </c>
      <c r="E259" s="88">
        <v>6</v>
      </c>
      <c r="F259" s="92"/>
      <c r="G259" s="88" t="s">
        <v>381</v>
      </c>
      <c r="H259" s="88">
        <v>5</v>
      </c>
      <c r="I259" s="2">
        <f t="shared" si="48"/>
        <v>2025</v>
      </c>
      <c r="J259" s="42">
        <v>16283</v>
      </c>
      <c r="K259" s="42">
        <f t="shared" si="49"/>
        <v>271.38333333333333</v>
      </c>
      <c r="L259" s="42">
        <f t="shared" si="50"/>
        <v>3256.6</v>
      </c>
      <c r="M259" s="93">
        <v>1</v>
      </c>
      <c r="N259" s="42">
        <f t="shared" si="51"/>
        <v>4342.1333333330867</v>
      </c>
      <c r="O259" s="42">
        <f t="shared" si="52"/>
        <v>7598.7333333330862</v>
      </c>
      <c r="P259" s="42">
        <f t="shared" si="53"/>
        <v>8684.2666666669138</v>
      </c>
      <c r="Q259" s="91">
        <f t="shared" si="54"/>
        <v>2020.4166666666667</v>
      </c>
      <c r="R259" s="91">
        <f t="shared" si="55"/>
        <v>2022.75</v>
      </c>
      <c r="S259" s="91">
        <f t="shared" si="56"/>
        <v>2025.4166666666667</v>
      </c>
      <c r="T259" s="91">
        <f t="shared" si="57"/>
        <v>2021.75</v>
      </c>
    </row>
    <row r="260" spans="1:20" s="2" customFormat="1" ht="15" x14ac:dyDescent="0.25">
      <c r="A260" s="2">
        <v>288</v>
      </c>
      <c r="B260" s="2" t="s">
        <v>598</v>
      </c>
      <c r="D260" s="88">
        <v>2020</v>
      </c>
      <c r="E260" s="88">
        <v>1</v>
      </c>
      <c r="F260" s="92"/>
      <c r="G260" s="88" t="s">
        <v>381</v>
      </c>
      <c r="H260" s="88">
        <v>5</v>
      </c>
      <c r="I260" s="2">
        <f t="shared" si="48"/>
        <v>2025</v>
      </c>
      <c r="J260" s="42">
        <v>45820</v>
      </c>
      <c r="K260" s="42">
        <f t="shared" si="49"/>
        <v>763.66666666666663</v>
      </c>
      <c r="L260" s="42">
        <f t="shared" si="50"/>
        <v>9164</v>
      </c>
      <c r="M260" s="93">
        <v>1</v>
      </c>
      <c r="N260" s="42">
        <f t="shared" si="51"/>
        <v>16037</v>
      </c>
      <c r="O260" s="42">
        <f t="shared" si="52"/>
        <v>25201</v>
      </c>
      <c r="P260" s="42">
        <f t="shared" si="53"/>
        <v>20619</v>
      </c>
      <c r="Q260" s="91">
        <f t="shared" si="54"/>
        <v>2020</v>
      </c>
      <c r="R260" s="91">
        <f t="shared" si="55"/>
        <v>2022.75</v>
      </c>
      <c r="S260" s="91">
        <f t="shared" si="56"/>
        <v>2025</v>
      </c>
      <c r="T260" s="91">
        <f t="shared" si="57"/>
        <v>2021.75</v>
      </c>
    </row>
    <row r="261" spans="1:20" s="2" customFormat="1" ht="15" x14ac:dyDescent="0.25">
      <c r="A261" s="2">
        <v>289</v>
      </c>
      <c r="B261" s="2" t="s">
        <v>599</v>
      </c>
      <c r="D261" s="88">
        <v>2020</v>
      </c>
      <c r="E261" s="88">
        <v>6</v>
      </c>
      <c r="F261" s="92"/>
      <c r="G261" s="88" t="s">
        <v>381</v>
      </c>
      <c r="H261" s="88">
        <v>5</v>
      </c>
      <c r="I261" s="2">
        <f t="shared" si="48"/>
        <v>2025</v>
      </c>
      <c r="J261" s="42">
        <v>9922</v>
      </c>
      <c r="K261" s="42">
        <f t="shared" si="49"/>
        <v>165.36666666666667</v>
      </c>
      <c r="L261" s="42">
        <f t="shared" si="50"/>
        <v>1984.4</v>
      </c>
      <c r="M261" s="93">
        <v>1</v>
      </c>
      <c r="N261" s="42">
        <f t="shared" si="51"/>
        <v>2645.8666666665163</v>
      </c>
      <c r="O261" s="42">
        <f t="shared" si="52"/>
        <v>4630.2666666665164</v>
      </c>
      <c r="P261" s="42">
        <f t="shared" si="53"/>
        <v>5291.7333333334836</v>
      </c>
      <c r="Q261" s="91">
        <f t="shared" si="54"/>
        <v>2020.4166666666667</v>
      </c>
      <c r="R261" s="91">
        <f t="shared" si="55"/>
        <v>2022.75</v>
      </c>
      <c r="S261" s="91">
        <f t="shared" si="56"/>
        <v>2025.4166666666667</v>
      </c>
      <c r="T261" s="91">
        <f t="shared" si="57"/>
        <v>2021.75</v>
      </c>
    </row>
    <row r="262" spans="1:20" s="2" customFormat="1" ht="15" x14ac:dyDescent="0.25">
      <c r="A262" s="2">
        <v>296</v>
      </c>
      <c r="B262" s="2" t="s">
        <v>600</v>
      </c>
      <c r="D262" s="88">
        <v>2021</v>
      </c>
      <c r="E262" s="88">
        <v>12</v>
      </c>
      <c r="F262" s="92"/>
      <c r="G262" s="88" t="s">
        <v>381</v>
      </c>
      <c r="H262" s="88">
        <v>20</v>
      </c>
      <c r="I262" s="2">
        <f t="shared" si="48"/>
        <v>2041</v>
      </c>
      <c r="J262" s="42">
        <v>582264</v>
      </c>
      <c r="K262" s="42">
        <f t="shared" si="49"/>
        <v>2426.1</v>
      </c>
      <c r="L262" s="42">
        <f t="shared" si="50"/>
        <v>29113.200000000001</v>
      </c>
      <c r="M262" s="93">
        <v>1</v>
      </c>
      <c r="N262" s="42">
        <f t="shared" si="51"/>
        <v>0</v>
      </c>
      <c r="O262" s="42">
        <f t="shared" si="52"/>
        <v>29113.200000000001</v>
      </c>
      <c r="P262" s="42">
        <f t="shared" si="53"/>
        <v>553150.80000000005</v>
      </c>
      <c r="Q262" s="91">
        <f t="shared" si="54"/>
        <v>2021.9166666666667</v>
      </c>
      <c r="R262" s="91">
        <f t="shared" si="55"/>
        <v>2022.75</v>
      </c>
      <c r="S262" s="91">
        <f t="shared" si="56"/>
        <v>2041.9166666666667</v>
      </c>
      <c r="T262" s="91">
        <f t="shared" si="57"/>
        <v>2021.75</v>
      </c>
    </row>
    <row r="263" spans="1:20" s="2" customFormat="1" ht="15" x14ac:dyDescent="0.25">
      <c r="A263" s="2">
        <v>297</v>
      </c>
      <c r="B263" s="2" t="s">
        <v>601</v>
      </c>
      <c r="D263" s="88">
        <v>2021</v>
      </c>
      <c r="E263" s="88">
        <v>12</v>
      </c>
      <c r="F263" s="92"/>
      <c r="G263" s="88" t="s">
        <v>381</v>
      </c>
      <c r="H263" s="88">
        <v>20</v>
      </c>
      <c r="I263" s="2">
        <f t="shared" si="48"/>
        <v>2041</v>
      </c>
      <c r="J263" s="42">
        <v>516986</v>
      </c>
      <c r="K263" s="42">
        <f t="shared" si="49"/>
        <v>2154.1083333333331</v>
      </c>
      <c r="L263" s="42">
        <f t="shared" si="50"/>
        <v>25849.3</v>
      </c>
      <c r="M263" s="93">
        <v>1</v>
      </c>
      <c r="N263" s="42">
        <f t="shared" si="51"/>
        <v>0</v>
      </c>
      <c r="O263" s="42">
        <f t="shared" si="52"/>
        <v>25849.3</v>
      </c>
      <c r="P263" s="42">
        <f t="shared" si="53"/>
        <v>491136.7</v>
      </c>
      <c r="Q263" s="91">
        <f t="shared" si="54"/>
        <v>2021.9166666666667</v>
      </c>
      <c r="R263" s="91">
        <f t="shared" si="55"/>
        <v>2022.75</v>
      </c>
      <c r="S263" s="91">
        <f t="shared" si="56"/>
        <v>2041.9166666666667</v>
      </c>
      <c r="T263" s="91">
        <f t="shared" si="57"/>
        <v>2021.75</v>
      </c>
    </row>
    <row r="264" spans="1:20" s="2" customFormat="1" ht="15" x14ac:dyDescent="0.25">
      <c r="A264" s="2">
        <v>299</v>
      </c>
      <c r="B264" s="2" t="s">
        <v>602</v>
      </c>
      <c r="D264" s="88">
        <v>2021</v>
      </c>
      <c r="E264" s="88">
        <v>9</v>
      </c>
      <c r="F264" s="92"/>
      <c r="G264" s="88" t="s">
        <v>381</v>
      </c>
      <c r="H264" s="88">
        <v>5</v>
      </c>
      <c r="I264" s="2">
        <f t="shared" si="48"/>
        <v>2026</v>
      </c>
      <c r="J264" s="42">
        <v>55901</v>
      </c>
      <c r="K264" s="42">
        <f t="shared" si="49"/>
        <v>931.68333333333339</v>
      </c>
      <c r="L264" s="42">
        <f t="shared" si="50"/>
        <v>11180.2</v>
      </c>
      <c r="M264" s="93">
        <v>1</v>
      </c>
      <c r="N264" s="42">
        <f t="shared" si="51"/>
        <v>931.68333333248609</v>
      </c>
      <c r="O264" s="42">
        <f t="shared" si="52"/>
        <v>12111.883333332487</v>
      </c>
      <c r="P264" s="42">
        <f t="shared" si="53"/>
        <v>43789.116666667513</v>
      </c>
      <c r="Q264" s="91">
        <f t="shared" si="54"/>
        <v>2021.6666666666667</v>
      </c>
      <c r="R264" s="91">
        <f t="shared" si="55"/>
        <v>2022.75</v>
      </c>
      <c r="S264" s="91">
        <f t="shared" si="56"/>
        <v>2026.6666666666667</v>
      </c>
      <c r="T264" s="91">
        <f t="shared" si="57"/>
        <v>2021.75</v>
      </c>
    </row>
    <row r="265" spans="1:20" s="2" customFormat="1" ht="15" x14ac:dyDescent="0.25">
      <c r="A265" s="2">
        <v>300</v>
      </c>
      <c r="B265" s="2" t="s">
        <v>603</v>
      </c>
      <c r="D265" s="88">
        <v>2021</v>
      </c>
      <c r="E265" s="88">
        <v>12</v>
      </c>
      <c r="F265" s="92"/>
      <c r="G265" s="88" t="s">
        <v>381</v>
      </c>
      <c r="H265" s="88">
        <v>5</v>
      </c>
      <c r="I265" s="2">
        <f t="shared" si="48"/>
        <v>2026</v>
      </c>
      <c r="J265" s="42">
        <v>42375</v>
      </c>
      <c r="K265" s="42">
        <f t="shared" si="49"/>
        <v>706.25</v>
      </c>
      <c r="L265" s="42">
        <f t="shared" si="50"/>
        <v>8475</v>
      </c>
      <c r="M265" s="93">
        <v>1</v>
      </c>
      <c r="N265" s="42">
        <f t="shared" si="51"/>
        <v>0</v>
      </c>
      <c r="O265" s="42">
        <f t="shared" si="52"/>
        <v>8475</v>
      </c>
      <c r="P265" s="42">
        <f t="shared" si="53"/>
        <v>33900</v>
      </c>
      <c r="Q265" s="91">
        <f t="shared" si="54"/>
        <v>2021.9166666666667</v>
      </c>
      <c r="R265" s="91">
        <f t="shared" si="55"/>
        <v>2022.75</v>
      </c>
      <c r="S265" s="91">
        <f t="shared" si="56"/>
        <v>2026.9166666666667</v>
      </c>
      <c r="T265" s="91">
        <f t="shared" si="57"/>
        <v>2021.75</v>
      </c>
    </row>
    <row r="266" spans="1:20" s="2" customFormat="1" ht="15" x14ac:dyDescent="0.25">
      <c r="A266" s="2">
        <v>301</v>
      </c>
      <c r="B266" s="2" t="s">
        <v>604</v>
      </c>
      <c r="D266" s="88">
        <v>2021</v>
      </c>
      <c r="E266" s="88">
        <v>12</v>
      </c>
      <c r="F266" s="92"/>
      <c r="G266" s="88" t="s">
        <v>381</v>
      </c>
      <c r="H266" s="88">
        <v>5</v>
      </c>
      <c r="I266" s="2">
        <f t="shared" si="48"/>
        <v>2026</v>
      </c>
      <c r="J266" s="42">
        <v>25000</v>
      </c>
      <c r="K266" s="42">
        <f t="shared" si="49"/>
        <v>416.66666666666669</v>
      </c>
      <c r="L266" s="42">
        <f t="shared" si="50"/>
        <v>5000</v>
      </c>
      <c r="M266" s="93">
        <v>1</v>
      </c>
      <c r="N266" s="42">
        <f t="shared" si="51"/>
        <v>0</v>
      </c>
      <c r="O266" s="42">
        <f t="shared" si="52"/>
        <v>5000</v>
      </c>
      <c r="P266" s="42">
        <f t="shared" si="53"/>
        <v>20000</v>
      </c>
      <c r="Q266" s="91">
        <f t="shared" si="54"/>
        <v>2021.9166666666667</v>
      </c>
      <c r="R266" s="91">
        <f>($K$5+1)-($K$2/12)</f>
        <v>2022.75</v>
      </c>
      <c r="S266" s="91">
        <f>$I266+(($E266-1)/12)</f>
        <v>2026.9166666666667</v>
      </c>
      <c r="T266" s="91">
        <f>$K$4+($K$3/12)</f>
        <v>2021.75</v>
      </c>
    </row>
    <row r="267" spans="1:20" s="2" customFormat="1" ht="15" x14ac:dyDescent="0.25">
      <c r="A267" s="2">
        <v>302</v>
      </c>
      <c r="B267" s="2" t="s">
        <v>605</v>
      </c>
      <c r="D267" s="88">
        <v>2021</v>
      </c>
      <c r="E267" s="88">
        <v>12</v>
      </c>
      <c r="F267" s="92"/>
      <c r="G267" s="88" t="s">
        <v>381</v>
      </c>
      <c r="H267" s="88">
        <v>5</v>
      </c>
      <c r="I267" s="2">
        <f t="shared" si="48"/>
        <v>2026</v>
      </c>
      <c r="J267" s="42">
        <v>4375</v>
      </c>
      <c r="K267" s="42">
        <f t="shared" si="49"/>
        <v>72.916666666666671</v>
      </c>
      <c r="L267" s="42">
        <f t="shared" si="50"/>
        <v>875</v>
      </c>
      <c r="M267" s="93">
        <v>1</v>
      </c>
      <c r="N267" s="42">
        <f t="shared" si="51"/>
        <v>0</v>
      </c>
      <c r="O267" s="42">
        <f t="shared" si="52"/>
        <v>875</v>
      </c>
      <c r="P267" s="42">
        <f t="shared" si="53"/>
        <v>3500</v>
      </c>
      <c r="Q267" s="91">
        <f t="shared" si="54"/>
        <v>2021.9166666666667</v>
      </c>
      <c r="R267" s="91">
        <f t="shared" si="55"/>
        <v>2022.75</v>
      </c>
      <c r="S267" s="91">
        <f t="shared" si="56"/>
        <v>2026.9166666666667</v>
      </c>
      <c r="T267" s="91">
        <f t="shared" si="57"/>
        <v>2021.75</v>
      </c>
    </row>
    <row r="268" spans="1:20" s="2" customFormat="1" ht="15" x14ac:dyDescent="0.25">
      <c r="B268" s="2" t="s">
        <v>606</v>
      </c>
      <c r="D268" s="88">
        <v>2022</v>
      </c>
      <c r="E268" s="88">
        <v>1</v>
      </c>
      <c r="F268" s="92"/>
      <c r="G268" s="88" t="s">
        <v>381</v>
      </c>
      <c r="H268" s="88">
        <v>20</v>
      </c>
      <c r="I268" s="2">
        <f t="shared" si="48"/>
        <v>2042</v>
      </c>
      <c r="J268" s="42">
        <v>56096</v>
      </c>
      <c r="K268" s="42">
        <f t="shared" si="49"/>
        <v>233.73333333333335</v>
      </c>
      <c r="L268" s="42">
        <f t="shared" si="50"/>
        <v>2804.8</v>
      </c>
      <c r="M268" s="93">
        <v>1</v>
      </c>
      <c r="N268" s="42">
        <f t="shared" si="51"/>
        <v>0</v>
      </c>
      <c r="O268" s="42">
        <f t="shared" si="52"/>
        <v>2804.8</v>
      </c>
      <c r="P268" s="42">
        <f t="shared" si="53"/>
        <v>53291.199999999997</v>
      </c>
      <c r="Q268" s="91">
        <f t="shared" si="54"/>
        <v>2022</v>
      </c>
      <c r="R268" s="91">
        <f t="shared" si="55"/>
        <v>2022.75</v>
      </c>
      <c r="S268" s="91">
        <f t="shared" si="56"/>
        <v>2042</v>
      </c>
      <c r="T268" s="91">
        <f t="shared" si="57"/>
        <v>2021.75</v>
      </c>
    </row>
    <row r="269" spans="1:20" s="2" customFormat="1" ht="15" x14ac:dyDescent="0.25">
      <c r="B269" s="2" t="s">
        <v>607</v>
      </c>
      <c r="D269" s="88">
        <v>2022</v>
      </c>
      <c r="E269" s="88">
        <v>1</v>
      </c>
      <c r="F269" s="92"/>
      <c r="G269" s="88" t="s">
        <v>381</v>
      </c>
      <c r="H269" s="88">
        <v>20</v>
      </c>
      <c r="I269" s="2">
        <f t="shared" si="48"/>
        <v>2042</v>
      </c>
      <c r="J269" s="42">
        <v>73595</v>
      </c>
      <c r="K269" s="42">
        <f t="shared" si="49"/>
        <v>306.64583333333331</v>
      </c>
      <c r="L269" s="42">
        <f t="shared" si="50"/>
        <v>3679.75</v>
      </c>
      <c r="M269" s="93">
        <v>1</v>
      </c>
      <c r="N269" s="42">
        <f t="shared" si="51"/>
        <v>0</v>
      </c>
      <c r="O269" s="42">
        <f t="shared" si="52"/>
        <v>3679.75</v>
      </c>
      <c r="P269" s="42">
        <f t="shared" si="53"/>
        <v>69915.25</v>
      </c>
      <c r="Q269" s="91">
        <f t="shared" si="54"/>
        <v>2022</v>
      </c>
      <c r="R269" s="91">
        <f t="shared" si="55"/>
        <v>2022.75</v>
      </c>
      <c r="S269" s="91">
        <f t="shared" si="56"/>
        <v>2042</v>
      </c>
      <c r="T269" s="91">
        <f t="shared" si="57"/>
        <v>2021.75</v>
      </c>
    </row>
    <row r="270" spans="1:20" s="2" customFormat="1" ht="15" x14ac:dyDescent="0.25">
      <c r="B270" s="2" t="s">
        <v>608</v>
      </c>
      <c r="D270" s="88">
        <v>2022</v>
      </c>
      <c r="E270" s="88">
        <v>8</v>
      </c>
      <c r="F270" s="92"/>
      <c r="G270" s="88" t="s">
        <v>381</v>
      </c>
      <c r="H270" s="88">
        <v>5</v>
      </c>
      <c r="I270" s="2">
        <f t="shared" si="48"/>
        <v>2027</v>
      </c>
      <c r="J270" s="42">
        <v>52004</v>
      </c>
      <c r="K270" s="42">
        <f t="shared" si="49"/>
        <v>866.73333333333323</v>
      </c>
      <c r="L270" s="42">
        <f t="shared" si="50"/>
        <v>10400.799999999999</v>
      </c>
      <c r="M270" s="93">
        <v>1</v>
      </c>
      <c r="N270" s="42">
        <f t="shared" si="51"/>
        <v>0</v>
      </c>
      <c r="O270" s="42">
        <f t="shared" si="52"/>
        <v>10400.799999999999</v>
      </c>
      <c r="P270" s="42">
        <f t="shared" si="53"/>
        <v>41603.199999999997</v>
      </c>
      <c r="Q270" s="91">
        <f t="shared" si="54"/>
        <v>2022.5833333333333</v>
      </c>
      <c r="R270" s="91">
        <f t="shared" si="55"/>
        <v>2022.75</v>
      </c>
      <c r="S270" s="91">
        <f t="shared" si="56"/>
        <v>2027.5833333333333</v>
      </c>
      <c r="T270" s="91">
        <f t="shared" si="57"/>
        <v>2021.75</v>
      </c>
    </row>
    <row r="271" spans="1:20" s="2" customFormat="1" ht="15" x14ac:dyDescent="0.25">
      <c r="B271" s="2" t="s">
        <v>609</v>
      </c>
      <c r="D271" s="88">
        <v>2022</v>
      </c>
      <c r="E271" s="88">
        <v>8</v>
      </c>
      <c r="F271" s="92"/>
      <c r="G271" s="88" t="s">
        <v>381</v>
      </c>
      <c r="H271" s="88">
        <v>5</v>
      </c>
      <c r="I271" s="2">
        <f t="shared" si="48"/>
        <v>2027</v>
      </c>
      <c r="J271" s="42">
        <v>10110</v>
      </c>
      <c r="K271" s="42">
        <f>J271/H271/12</f>
        <v>168.5</v>
      </c>
      <c r="L271" s="42">
        <f t="shared" si="50"/>
        <v>2022</v>
      </c>
      <c r="M271" s="93">
        <v>1</v>
      </c>
      <c r="N271" s="42">
        <f t="shared" si="51"/>
        <v>0</v>
      </c>
      <c r="O271" s="42">
        <f t="shared" si="52"/>
        <v>2022</v>
      </c>
      <c r="P271" s="42">
        <f t="shared" si="53"/>
        <v>8088</v>
      </c>
      <c r="Q271" s="91">
        <f t="shared" si="54"/>
        <v>2022.5833333333333</v>
      </c>
      <c r="R271" s="91">
        <f t="shared" si="55"/>
        <v>2022.75</v>
      </c>
      <c r="S271" s="91">
        <f t="shared" si="56"/>
        <v>2027.5833333333333</v>
      </c>
      <c r="T271" s="91">
        <f t="shared" si="57"/>
        <v>2021.75</v>
      </c>
    </row>
    <row r="272" spans="1:20" s="2" customFormat="1" ht="15" x14ac:dyDescent="0.25">
      <c r="B272" s="2" t="s">
        <v>610</v>
      </c>
      <c r="D272" s="88">
        <v>2022</v>
      </c>
      <c r="E272" s="88">
        <v>8</v>
      </c>
      <c r="F272" s="92"/>
      <c r="G272" s="88" t="s">
        <v>381</v>
      </c>
      <c r="H272" s="88">
        <v>5</v>
      </c>
      <c r="I272" s="2">
        <f t="shared" si="48"/>
        <v>2027</v>
      </c>
      <c r="J272" s="42">
        <v>38360</v>
      </c>
      <c r="K272" s="42">
        <f t="shared" si="49"/>
        <v>639.33333333333337</v>
      </c>
      <c r="L272" s="42">
        <f t="shared" si="50"/>
        <v>7672</v>
      </c>
      <c r="M272" s="93">
        <v>1</v>
      </c>
      <c r="N272" s="42">
        <f t="shared" si="51"/>
        <v>0</v>
      </c>
      <c r="O272" s="42">
        <f t="shared" si="52"/>
        <v>7672</v>
      </c>
      <c r="P272" s="42">
        <f t="shared" si="53"/>
        <v>30688</v>
      </c>
      <c r="Q272" s="91">
        <f t="shared" si="54"/>
        <v>2022.5833333333333</v>
      </c>
      <c r="R272" s="91">
        <f t="shared" si="55"/>
        <v>2022.75</v>
      </c>
      <c r="S272" s="91">
        <f t="shared" si="56"/>
        <v>2027.5833333333333</v>
      </c>
      <c r="T272" s="91">
        <f t="shared" si="57"/>
        <v>2021.75</v>
      </c>
    </row>
    <row r="273" spans="1:20" s="2" customFormat="1" ht="15" x14ac:dyDescent="0.25">
      <c r="B273" s="2" t="s">
        <v>611</v>
      </c>
      <c r="D273" s="88">
        <v>2022</v>
      </c>
      <c r="E273" s="88">
        <v>3</v>
      </c>
      <c r="F273" s="92"/>
      <c r="G273" s="88" t="s">
        <v>381</v>
      </c>
      <c r="H273" s="88">
        <v>5</v>
      </c>
      <c r="I273" s="2">
        <f t="shared" si="48"/>
        <v>2027</v>
      </c>
      <c r="J273" s="42">
        <v>45000</v>
      </c>
      <c r="K273" s="42">
        <f t="shared" si="49"/>
        <v>750</v>
      </c>
      <c r="L273" s="42">
        <f t="shared" si="50"/>
        <v>9000</v>
      </c>
      <c r="M273" s="93">
        <v>1</v>
      </c>
      <c r="N273" s="42">
        <f t="shared" si="51"/>
        <v>0</v>
      </c>
      <c r="O273" s="42">
        <f t="shared" si="52"/>
        <v>9000</v>
      </c>
      <c r="P273" s="42">
        <f t="shared" si="53"/>
        <v>36000</v>
      </c>
      <c r="Q273" s="91">
        <f t="shared" si="54"/>
        <v>2022.1666666666667</v>
      </c>
      <c r="R273" s="91">
        <f t="shared" si="55"/>
        <v>2022.75</v>
      </c>
      <c r="S273" s="91">
        <f t="shared" si="56"/>
        <v>2027.1666666666667</v>
      </c>
      <c r="T273" s="91">
        <f t="shared" si="57"/>
        <v>2021.75</v>
      </c>
    </row>
    <row r="274" spans="1:20" s="2" customFormat="1" ht="15" x14ac:dyDescent="0.25">
      <c r="B274" s="2" t="s">
        <v>612</v>
      </c>
      <c r="D274" s="88">
        <v>2022</v>
      </c>
      <c r="E274" s="88">
        <v>3</v>
      </c>
      <c r="F274" s="92"/>
      <c r="G274" s="88" t="s">
        <v>381</v>
      </c>
      <c r="H274" s="88">
        <v>5</v>
      </c>
      <c r="I274" s="2">
        <f t="shared" si="48"/>
        <v>2027</v>
      </c>
      <c r="J274" s="42">
        <v>12000</v>
      </c>
      <c r="K274" s="42">
        <f t="shared" si="49"/>
        <v>200</v>
      </c>
      <c r="L274" s="42">
        <f t="shared" si="50"/>
        <v>2400</v>
      </c>
      <c r="M274" s="93">
        <v>1</v>
      </c>
      <c r="N274" s="42">
        <f t="shared" si="51"/>
        <v>0</v>
      </c>
      <c r="O274" s="42">
        <f t="shared" si="52"/>
        <v>2400</v>
      </c>
      <c r="P274" s="42">
        <f t="shared" si="53"/>
        <v>9600</v>
      </c>
      <c r="Q274" s="91">
        <f t="shared" si="54"/>
        <v>2022.1666666666667</v>
      </c>
      <c r="R274" s="91">
        <f t="shared" si="55"/>
        <v>2022.75</v>
      </c>
      <c r="S274" s="91">
        <f t="shared" si="56"/>
        <v>2027.1666666666667</v>
      </c>
      <c r="T274" s="91">
        <f t="shared" si="57"/>
        <v>2021.75</v>
      </c>
    </row>
    <row r="275" spans="1:20" s="2" customFormat="1" ht="15" x14ac:dyDescent="0.25">
      <c r="B275" s="2" t="s">
        <v>613</v>
      </c>
      <c r="D275" s="88">
        <v>2022</v>
      </c>
      <c r="E275" s="88">
        <v>5</v>
      </c>
      <c r="F275" s="92"/>
      <c r="G275" s="88" t="s">
        <v>381</v>
      </c>
      <c r="H275" s="88">
        <v>5</v>
      </c>
      <c r="I275" s="2">
        <f t="shared" si="48"/>
        <v>2027</v>
      </c>
      <c r="J275" s="42">
        <v>28528</v>
      </c>
      <c r="K275" s="42">
        <f t="shared" si="49"/>
        <v>475.4666666666667</v>
      </c>
      <c r="L275" s="42">
        <f t="shared" si="50"/>
        <v>5705.6</v>
      </c>
      <c r="M275" s="93">
        <v>1</v>
      </c>
      <c r="N275" s="42">
        <f t="shared" si="51"/>
        <v>0</v>
      </c>
      <c r="O275" s="42">
        <f t="shared" si="52"/>
        <v>5705.6</v>
      </c>
      <c r="P275" s="42">
        <f t="shared" si="53"/>
        <v>22822.400000000001</v>
      </c>
      <c r="Q275" s="91">
        <f t="shared" si="54"/>
        <v>2022.3333333333333</v>
      </c>
      <c r="R275" s="91">
        <f t="shared" si="55"/>
        <v>2022.75</v>
      </c>
      <c r="S275" s="91">
        <f t="shared" si="56"/>
        <v>2027.3333333333333</v>
      </c>
      <c r="T275" s="91">
        <f t="shared" si="57"/>
        <v>2021.75</v>
      </c>
    </row>
    <row r="276" spans="1:20" s="94" customFormat="1" ht="15" x14ac:dyDescent="0.25">
      <c r="B276" s="94" t="s">
        <v>614</v>
      </c>
      <c r="D276" s="57"/>
      <c r="E276" s="57"/>
      <c r="F276" s="95"/>
      <c r="G276" s="57"/>
      <c r="H276" s="57"/>
      <c r="J276" s="96">
        <f>SUM(J91:J275)</f>
        <v>4820834.67</v>
      </c>
      <c r="K276" s="100"/>
      <c r="L276" s="101">
        <f>SUM(L91:L275)</f>
        <v>278087.01878571429</v>
      </c>
      <c r="M276" s="102"/>
      <c r="N276" s="101">
        <f t="shared" ref="N276:P276" si="58">SUM(N91:N275)</f>
        <v>2429982.5819642795</v>
      </c>
      <c r="O276" s="101">
        <f t="shared" si="58"/>
        <v>2708069.6007499909</v>
      </c>
      <c r="P276" s="101">
        <f t="shared" si="58"/>
        <v>2112765.0692500076</v>
      </c>
      <c r="Q276" s="99"/>
      <c r="R276" s="99"/>
      <c r="S276" s="99"/>
      <c r="T276" s="99"/>
    </row>
    <row r="277" spans="1:20" s="94" customFormat="1" ht="15" x14ac:dyDescent="0.25">
      <c r="D277" s="57"/>
      <c r="E277" s="57"/>
      <c r="F277" s="95"/>
      <c r="G277" s="57"/>
      <c r="H277" s="57"/>
      <c r="J277" s="97"/>
      <c r="K277" s="100"/>
      <c r="L277" s="100"/>
      <c r="M277" s="102"/>
      <c r="N277" s="100"/>
      <c r="O277" s="100"/>
      <c r="P277" s="100"/>
      <c r="Q277" s="99"/>
      <c r="R277" s="99"/>
      <c r="S277" s="99"/>
      <c r="T277" s="99"/>
    </row>
    <row r="278" spans="1:20" s="94" customFormat="1" ht="15" x14ac:dyDescent="0.25">
      <c r="B278" s="94" t="s">
        <v>615</v>
      </c>
      <c r="D278" s="57"/>
      <c r="E278" s="57"/>
      <c r="H278" s="57"/>
      <c r="J278" s="103">
        <f>+J89+J276</f>
        <v>6791873.2300000004</v>
      </c>
      <c r="K278" s="97"/>
      <c r="L278" s="103">
        <f>+L89+L276</f>
        <v>375555.29792857141</v>
      </c>
      <c r="M278" s="98"/>
      <c r="N278" s="103">
        <f t="shared" ref="N278:P278" si="59">+N89+N276</f>
        <v>3701941.4085476082</v>
      </c>
      <c r="O278" s="103">
        <f t="shared" si="59"/>
        <v>4077496.7064761762</v>
      </c>
      <c r="P278" s="103">
        <f t="shared" si="59"/>
        <v>2714376.5235238224</v>
      </c>
      <c r="Q278" s="99"/>
      <c r="R278" s="99"/>
      <c r="S278" s="99"/>
      <c r="T278" s="99"/>
    </row>
    <row r="279" spans="1:20" s="2" customFormat="1" ht="15" x14ac:dyDescent="0.25">
      <c r="D279" s="88"/>
      <c r="E279" s="88"/>
      <c r="H279" s="88"/>
      <c r="J279" s="42"/>
      <c r="K279" s="42"/>
      <c r="L279" s="42"/>
      <c r="M279" s="104"/>
      <c r="N279" s="42"/>
      <c r="O279" s="42"/>
      <c r="P279" s="42"/>
      <c r="Q279" s="91"/>
      <c r="R279" s="91"/>
      <c r="S279" s="91"/>
      <c r="T279" s="91"/>
    </row>
    <row r="280" spans="1:20" s="2" customFormat="1" ht="15" x14ac:dyDescent="0.25">
      <c r="A280" s="2">
        <v>64</v>
      </c>
      <c r="B280" s="2" t="s">
        <v>616</v>
      </c>
      <c r="D280" s="88">
        <v>1999</v>
      </c>
      <c r="E280" s="88">
        <v>11</v>
      </c>
      <c r="F280" s="92"/>
      <c r="G280" s="88" t="s">
        <v>381</v>
      </c>
      <c r="H280" s="88">
        <v>7</v>
      </c>
      <c r="I280" s="2">
        <f t="shared" ref="I280:I300" si="60">+D280+H280</f>
        <v>2006</v>
      </c>
      <c r="J280" s="42">
        <v>40000</v>
      </c>
      <c r="K280" s="42">
        <f t="shared" ref="K280:K300" si="61">J280/H280/12</f>
        <v>476.1904761904762</v>
      </c>
      <c r="L280" s="42">
        <f t="shared" ref="L280:L300" si="62">IF(S280&lt;=R280,0,J280/H280)</f>
        <v>0</v>
      </c>
      <c r="M280" s="93">
        <v>1</v>
      </c>
      <c r="N280" s="42">
        <f t="shared" ref="N280:N300" si="63">IF(Q280&gt;R280,0,IF(S280&lt;T280,J280,IF((AND((S280&gt;=T280),(S280&lt;=R280))),(J280-L280),IF((AND((T280&lt;=Q280),(R280&gt;=Q280))),0,IF(S280&gt;R280,((T280-Q280)*12)*K280,0)))))</f>
        <v>40000</v>
      </c>
      <c r="O280" s="42">
        <f t="shared" ref="O280:O300" si="64">N280+L280</f>
        <v>40000</v>
      </c>
      <c r="P280" s="42">
        <f t="shared" ref="P280:P300" si="65">+J280-O280</f>
        <v>0</v>
      </c>
      <c r="Q280" s="91">
        <f t="shared" ref="Q280:Q300" si="66">$D280+(($E280-1)/12)</f>
        <v>1999.8333333333333</v>
      </c>
      <c r="R280" s="91">
        <f t="shared" ref="R280:R300" si="67">($K$5+1)-($K$2/12)</f>
        <v>2022.75</v>
      </c>
      <c r="S280" s="91">
        <f t="shared" ref="S280:S300" si="68">$I280+(($E280-1)/12)</f>
        <v>2006.8333333333333</v>
      </c>
      <c r="T280" s="91">
        <f t="shared" ref="T280:T300" si="69">$K$4+($K$3/12)</f>
        <v>2021.75</v>
      </c>
    </row>
    <row r="281" spans="1:20" s="2" customFormat="1" ht="15" x14ac:dyDescent="0.25">
      <c r="A281" s="2">
        <v>65</v>
      </c>
      <c r="B281" s="2" t="s">
        <v>617</v>
      </c>
      <c r="D281" s="88">
        <v>2000</v>
      </c>
      <c r="E281" s="88">
        <v>6</v>
      </c>
      <c r="F281" s="92"/>
      <c r="G281" s="88" t="s">
        <v>381</v>
      </c>
      <c r="H281" s="88">
        <v>5</v>
      </c>
      <c r="I281" s="2">
        <f t="shared" si="60"/>
        <v>2005</v>
      </c>
      <c r="J281" s="42">
        <v>20000</v>
      </c>
      <c r="K281" s="42">
        <f t="shared" si="61"/>
        <v>333.33333333333331</v>
      </c>
      <c r="L281" s="42">
        <f t="shared" si="62"/>
        <v>0</v>
      </c>
      <c r="M281" s="93">
        <v>1</v>
      </c>
      <c r="N281" s="42">
        <f t="shared" si="63"/>
        <v>20000</v>
      </c>
      <c r="O281" s="42">
        <f t="shared" si="64"/>
        <v>20000</v>
      </c>
      <c r="P281" s="42">
        <f t="shared" si="65"/>
        <v>0</v>
      </c>
      <c r="Q281" s="91">
        <f t="shared" si="66"/>
        <v>2000.4166666666667</v>
      </c>
      <c r="R281" s="91">
        <f t="shared" si="67"/>
        <v>2022.75</v>
      </c>
      <c r="S281" s="91">
        <f t="shared" si="68"/>
        <v>2005.4166666666667</v>
      </c>
      <c r="T281" s="91">
        <f t="shared" si="69"/>
        <v>2021.75</v>
      </c>
    </row>
    <row r="282" spans="1:20" s="2" customFormat="1" ht="15" x14ac:dyDescent="0.25">
      <c r="A282" s="2">
        <v>66</v>
      </c>
      <c r="B282" s="2" t="s">
        <v>618</v>
      </c>
      <c r="D282" s="88">
        <v>2003</v>
      </c>
      <c r="E282" s="88">
        <v>7</v>
      </c>
      <c r="F282" s="92"/>
      <c r="G282" s="88" t="s">
        <v>381</v>
      </c>
      <c r="H282" s="88">
        <v>10</v>
      </c>
      <c r="I282" s="2">
        <f t="shared" si="60"/>
        <v>2013</v>
      </c>
      <c r="J282" s="42">
        <v>8000</v>
      </c>
      <c r="K282" s="42">
        <f t="shared" si="61"/>
        <v>66.666666666666671</v>
      </c>
      <c r="L282" s="42">
        <f t="shared" si="62"/>
        <v>0</v>
      </c>
      <c r="M282" s="93">
        <v>1</v>
      </c>
      <c r="N282" s="42">
        <f t="shared" si="63"/>
        <v>8000</v>
      </c>
      <c r="O282" s="42">
        <f t="shared" si="64"/>
        <v>8000</v>
      </c>
      <c r="P282" s="42">
        <f t="shared" si="65"/>
        <v>0</v>
      </c>
      <c r="Q282" s="91">
        <f t="shared" si="66"/>
        <v>2003.5</v>
      </c>
      <c r="R282" s="91">
        <f t="shared" si="67"/>
        <v>2022.75</v>
      </c>
      <c r="S282" s="91">
        <f t="shared" si="68"/>
        <v>2013.5</v>
      </c>
      <c r="T282" s="91">
        <f t="shared" si="69"/>
        <v>2021.75</v>
      </c>
    </row>
    <row r="283" spans="1:20" s="2" customFormat="1" ht="15" x14ac:dyDescent="0.25">
      <c r="A283" s="2">
        <v>67</v>
      </c>
      <c r="B283" s="2" t="s">
        <v>619</v>
      </c>
      <c r="D283" s="88">
        <v>2003</v>
      </c>
      <c r="E283" s="88">
        <v>8</v>
      </c>
      <c r="F283" s="92"/>
      <c r="G283" s="88" t="s">
        <v>381</v>
      </c>
      <c r="H283" s="88">
        <v>7</v>
      </c>
      <c r="I283" s="2">
        <f t="shared" si="60"/>
        <v>2010</v>
      </c>
      <c r="J283" s="42">
        <v>6000</v>
      </c>
      <c r="K283" s="42">
        <f t="shared" si="61"/>
        <v>71.428571428571431</v>
      </c>
      <c r="L283" s="42">
        <f t="shared" si="62"/>
        <v>0</v>
      </c>
      <c r="M283" s="93">
        <v>1</v>
      </c>
      <c r="N283" s="42">
        <f t="shared" si="63"/>
        <v>6000</v>
      </c>
      <c r="O283" s="42">
        <f t="shared" si="64"/>
        <v>6000</v>
      </c>
      <c r="P283" s="42">
        <f t="shared" si="65"/>
        <v>0</v>
      </c>
      <c r="Q283" s="91">
        <f t="shared" si="66"/>
        <v>2003.5833333333333</v>
      </c>
      <c r="R283" s="91">
        <f t="shared" si="67"/>
        <v>2022.75</v>
      </c>
      <c r="S283" s="91">
        <f t="shared" si="68"/>
        <v>2010.5833333333333</v>
      </c>
      <c r="T283" s="91">
        <f t="shared" si="69"/>
        <v>2021.75</v>
      </c>
    </row>
    <row r="284" spans="1:20" s="2" customFormat="1" ht="15" x14ac:dyDescent="0.25">
      <c r="A284" s="2">
        <v>144</v>
      </c>
      <c r="B284" s="2" t="s">
        <v>620</v>
      </c>
      <c r="D284" s="88">
        <v>2012</v>
      </c>
      <c r="E284" s="88">
        <v>12</v>
      </c>
      <c r="F284" s="92"/>
      <c r="G284" s="88" t="s">
        <v>381</v>
      </c>
      <c r="H284" s="88">
        <v>5</v>
      </c>
      <c r="I284" s="2">
        <f t="shared" si="60"/>
        <v>2017</v>
      </c>
      <c r="J284" s="42">
        <v>33551</v>
      </c>
      <c r="K284" s="42">
        <f t="shared" si="61"/>
        <v>559.18333333333328</v>
      </c>
      <c r="L284" s="42">
        <f t="shared" si="62"/>
        <v>0</v>
      </c>
      <c r="M284" s="93">
        <v>1</v>
      </c>
      <c r="N284" s="42">
        <f t="shared" si="63"/>
        <v>33551</v>
      </c>
      <c r="O284" s="42">
        <f t="shared" si="64"/>
        <v>33551</v>
      </c>
      <c r="P284" s="42">
        <f t="shared" si="65"/>
        <v>0</v>
      </c>
      <c r="Q284" s="91">
        <f t="shared" si="66"/>
        <v>2012.9166666666667</v>
      </c>
      <c r="R284" s="91">
        <f t="shared" si="67"/>
        <v>2022.75</v>
      </c>
      <c r="S284" s="91">
        <f t="shared" si="68"/>
        <v>2017.9166666666667</v>
      </c>
      <c r="T284" s="91">
        <f t="shared" si="69"/>
        <v>2021.75</v>
      </c>
    </row>
    <row r="285" spans="1:20" s="2" customFormat="1" ht="15" x14ac:dyDescent="0.25">
      <c r="A285" s="2">
        <v>145</v>
      </c>
      <c r="B285" s="2" t="s">
        <v>621</v>
      </c>
      <c r="D285" s="88">
        <v>2012</v>
      </c>
      <c r="E285" s="88">
        <v>10</v>
      </c>
      <c r="F285" s="92"/>
      <c r="G285" s="88" t="s">
        <v>381</v>
      </c>
      <c r="H285" s="88">
        <v>5</v>
      </c>
      <c r="I285" s="2">
        <f t="shared" si="60"/>
        <v>2017</v>
      </c>
      <c r="J285" s="42">
        <v>38645</v>
      </c>
      <c r="K285" s="42">
        <f t="shared" si="61"/>
        <v>644.08333333333337</v>
      </c>
      <c r="L285" s="42">
        <f t="shared" si="62"/>
        <v>0</v>
      </c>
      <c r="M285" s="93">
        <v>1</v>
      </c>
      <c r="N285" s="42">
        <f t="shared" si="63"/>
        <v>38645</v>
      </c>
      <c r="O285" s="42">
        <f t="shared" si="64"/>
        <v>38645</v>
      </c>
      <c r="P285" s="42">
        <f t="shared" si="65"/>
        <v>0</v>
      </c>
      <c r="Q285" s="91">
        <f t="shared" si="66"/>
        <v>2012.75</v>
      </c>
      <c r="R285" s="91">
        <f t="shared" si="67"/>
        <v>2022.75</v>
      </c>
      <c r="S285" s="91">
        <f t="shared" si="68"/>
        <v>2017.75</v>
      </c>
      <c r="T285" s="91">
        <f t="shared" si="69"/>
        <v>2021.75</v>
      </c>
    </row>
    <row r="286" spans="1:20" s="2" customFormat="1" ht="15" x14ac:dyDescent="0.25">
      <c r="A286" s="2">
        <v>102</v>
      </c>
      <c r="B286" s="2" t="s">
        <v>622</v>
      </c>
      <c r="D286" s="88">
        <v>1973</v>
      </c>
      <c r="E286" s="88">
        <v>2</v>
      </c>
      <c r="F286" s="92"/>
      <c r="G286" s="88" t="s">
        <v>381</v>
      </c>
      <c r="H286" s="88">
        <v>3</v>
      </c>
      <c r="I286" s="2">
        <f t="shared" si="60"/>
        <v>1976</v>
      </c>
      <c r="J286" s="42">
        <v>2373</v>
      </c>
      <c r="K286" s="42">
        <f t="shared" si="61"/>
        <v>65.916666666666671</v>
      </c>
      <c r="L286" s="42">
        <f t="shared" si="62"/>
        <v>0</v>
      </c>
      <c r="M286" s="93">
        <v>1</v>
      </c>
      <c r="N286" s="42">
        <f t="shared" si="63"/>
        <v>2373</v>
      </c>
      <c r="O286" s="42">
        <f t="shared" si="64"/>
        <v>2373</v>
      </c>
      <c r="P286" s="42">
        <f t="shared" si="65"/>
        <v>0</v>
      </c>
      <c r="Q286" s="91">
        <f t="shared" si="66"/>
        <v>1973.0833333333333</v>
      </c>
      <c r="R286" s="91">
        <f t="shared" si="67"/>
        <v>2022.75</v>
      </c>
      <c r="S286" s="91">
        <f t="shared" si="68"/>
        <v>1976.0833333333333</v>
      </c>
      <c r="T286" s="91">
        <f t="shared" si="69"/>
        <v>2021.75</v>
      </c>
    </row>
    <row r="287" spans="1:20" s="2" customFormat="1" ht="15" x14ac:dyDescent="0.25">
      <c r="A287" s="2">
        <v>103</v>
      </c>
      <c r="B287" s="2" t="s">
        <v>616</v>
      </c>
      <c r="D287" s="88">
        <v>2009</v>
      </c>
      <c r="E287" s="88">
        <v>1</v>
      </c>
      <c r="F287" s="92"/>
      <c r="G287" s="88" t="s">
        <v>381</v>
      </c>
      <c r="H287" s="88">
        <v>7</v>
      </c>
      <c r="I287" s="2">
        <f t="shared" si="60"/>
        <v>2016</v>
      </c>
      <c r="J287" s="42">
        <v>30000</v>
      </c>
      <c r="K287" s="42">
        <f t="shared" si="61"/>
        <v>357.14285714285711</v>
      </c>
      <c r="L287" s="42">
        <f t="shared" si="62"/>
        <v>0</v>
      </c>
      <c r="M287" s="93">
        <v>1</v>
      </c>
      <c r="N287" s="42">
        <f t="shared" si="63"/>
        <v>30000</v>
      </c>
      <c r="O287" s="42">
        <f t="shared" si="64"/>
        <v>30000</v>
      </c>
      <c r="P287" s="42">
        <f t="shared" si="65"/>
        <v>0</v>
      </c>
      <c r="Q287" s="91">
        <f t="shared" si="66"/>
        <v>2009</v>
      </c>
      <c r="R287" s="91">
        <f t="shared" si="67"/>
        <v>2022.75</v>
      </c>
      <c r="S287" s="91">
        <f t="shared" si="68"/>
        <v>2016</v>
      </c>
      <c r="T287" s="91">
        <f t="shared" si="69"/>
        <v>2021.75</v>
      </c>
    </row>
    <row r="288" spans="1:20" s="2" customFormat="1" ht="15" x14ac:dyDescent="0.25">
      <c r="A288" s="2">
        <v>115</v>
      </c>
      <c r="B288" s="2" t="s">
        <v>623</v>
      </c>
      <c r="D288" s="88">
        <v>2010</v>
      </c>
      <c r="E288" s="88">
        <v>1</v>
      </c>
      <c r="F288" s="92"/>
      <c r="G288" s="88" t="s">
        <v>381</v>
      </c>
      <c r="H288" s="88">
        <v>5</v>
      </c>
      <c r="I288" s="2">
        <f t="shared" si="60"/>
        <v>2015</v>
      </c>
      <c r="J288" s="42">
        <v>4332</v>
      </c>
      <c r="K288" s="42">
        <f t="shared" si="61"/>
        <v>72.2</v>
      </c>
      <c r="L288" s="42">
        <f t="shared" si="62"/>
        <v>0</v>
      </c>
      <c r="M288" s="93">
        <v>1</v>
      </c>
      <c r="N288" s="42">
        <f t="shared" si="63"/>
        <v>4332</v>
      </c>
      <c r="O288" s="42">
        <f t="shared" si="64"/>
        <v>4332</v>
      </c>
      <c r="P288" s="42">
        <f t="shared" si="65"/>
        <v>0</v>
      </c>
      <c r="Q288" s="91">
        <f t="shared" si="66"/>
        <v>2010</v>
      </c>
      <c r="R288" s="91">
        <f t="shared" si="67"/>
        <v>2022.75</v>
      </c>
      <c r="S288" s="91">
        <f t="shared" si="68"/>
        <v>2015</v>
      </c>
      <c r="T288" s="91">
        <f t="shared" si="69"/>
        <v>2021.75</v>
      </c>
    </row>
    <row r="289" spans="1:20" s="2" customFormat="1" ht="15" x14ac:dyDescent="0.25">
      <c r="A289" s="2">
        <v>116</v>
      </c>
      <c r="B289" s="2" t="s">
        <v>624</v>
      </c>
      <c r="D289" s="88">
        <v>2010</v>
      </c>
      <c r="E289" s="88">
        <v>7</v>
      </c>
      <c r="F289" s="92"/>
      <c r="G289" s="88" t="s">
        <v>381</v>
      </c>
      <c r="H289" s="88">
        <v>5</v>
      </c>
      <c r="I289" s="2">
        <f>+D289+H289</f>
        <v>2015</v>
      </c>
      <c r="J289" s="42">
        <v>60879</v>
      </c>
      <c r="K289" s="42">
        <f t="shared" si="61"/>
        <v>1014.65</v>
      </c>
      <c r="L289" s="42">
        <f t="shared" si="62"/>
        <v>0</v>
      </c>
      <c r="M289" s="93">
        <v>1</v>
      </c>
      <c r="N289" s="42">
        <f t="shared" si="63"/>
        <v>60879</v>
      </c>
      <c r="O289" s="42">
        <f t="shared" si="64"/>
        <v>60879</v>
      </c>
      <c r="P289" s="42">
        <f t="shared" si="65"/>
        <v>0</v>
      </c>
      <c r="Q289" s="91">
        <f t="shared" si="66"/>
        <v>2010.5</v>
      </c>
      <c r="R289" s="91">
        <f t="shared" si="67"/>
        <v>2022.75</v>
      </c>
      <c r="S289" s="91">
        <f t="shared" si="68"/>
        <v>2015.5</v>
      </c>
      <c r="T289" s="91">
        <f t="shared" si="69"/>
        <v>2021.75</v>
      </c>
    </row>
    <row r="290" spans="1:20" s="2" customFormat="1" ht="15" x14ac:dyDescent="0.25">
      <c r="A290" s="2">
        <v>182</v>
      </c>
      <c r="B290" s="2" t="s">
        <v>625</v>
      </c>
      <c r="D290" s="88">
        <v>2013</v>
      </c>
      <c r="E290" s="88">
        <v>4</v>
      </c>
      <c r="F290" s="92"/>
      <c r="G290" s="88" t="s">
        <v>381</v>
      </c>
      <c r="H290" s="88">
        <v>7</v>
      </c>
      <c r="I290" s="2">
        <f t="shared" si="60"/>
        <v>2020</v>
      </c>
      <c r="J290" s="42">
        <v>3500</v>
      </c>
      <c r="K290" s="42">
        <f t="shared" si="61"/>
        <v>41.666666666666664</v>
      </c>
      <c r="L290" s="42">
        <f t="shared" si="62"/>
        <v>0</v>
      </c>
      <c r="M290" s="93">
        <v>1</v>
      </c>
      <c r="N290" s="42">
        <f t="shared" si="63"/>
        <v>3500</v>
      </c>
      <c r="O290" s="42">
        <f t="shared" si="64"/>
        <v>3500</v>
      </c>
      <c r="P290" s="42">
        <f t="shared" si="65"/>
        <v>0</v>
      </c>
      <c r="Q290" s="91">
        <f t="shared" si="66"/>
        <v>2013.25</v>
      </c>
      <c r="R290" s="91">
        <f t="shared" si="67"/>
        <v>2022.75</v>
      </c>
      <c r="S290" s="91">
        <f t="shared" si="68"/>
        <v>2020.25</v>
      </c>
      <c r="T290" s="91">
        <f t="shared" si="69"/>
        <v>2021.75</v>
      </c>
    </row>
    <row r="291" spans="1:20" s="2" customFormat="1" ht="15" x14ac:dyDescent="0.25">
      <c r="A291" s="2">
        <v>176</v>
      </c>
      <c r="B291" s="2" t="s">
        <v>626</v>
      </c>
      <c r="D291" s="88">
        <v>2013</v>
      </c>
      <c r="E291" s="88">
        <v>7</v>
      </c>
      <c r="F291" s="92"/>
      <c r="G291" s="88" t="s">
        <v>381</v>
      </c>
      <c r="H291" s="88">
        <v>7</v>
      </c>
      <c r="I291" s="2">
        <f t="shared" si="60"/>
        <v>2020</v>
      </c>
      <c r="J291" s="42">
        <v>72413.42</v>
      </c>
      <c r="K291" s="42">
        <f t="shared" si="61"/>
        <v>862.06452380952385</v>
      </c>
      <c r="L291" s="42">
        <f t="shared" si="62"/>
        <v>0</v>
      </c>
      <c r="M291" s="93">
        <v>1</v>
      </c>
      <c r="N291" s="42">
        <f t="shared" si="63"/>
        <v>72413.42</v>
      </c>
      <c r="O291" s="42">
        <f t="shared" si="64"/>
        <v>72413.42</v>
      </c>
      <c r="P291" s="42">
        <f t="shared" si="65"/>
        <v>0</v>
      </c>
      <c r="Q291" s="91">
        <f t="shared" si="66"/>
        <v>2013.5</v>
      </c>
      <c r="R291" s="91">
        <f t="shared" si="67"/>
        <v>2022.75</v>
      </c>
      <c r="S291" s="91">
        <f t="shared" si="68"/>
        <v>2020.5</v>
      </c>
      <c r="T291" s="91">
        <f t="shared" si="69"/>
        <v>2021.75</v>
      </c>
    </row>
    <row r="292" spans="1:20" s="2" customFormat="1" ht="15" x14ac:dyDescent="0.25">
      <c r="A292" s="2">
        <v>205</v>
      </c>
      <c r="B292" s="2" t="s">
        <v>627</v>
      </c>
      <c r="D292" s="88">
        <v>2014</v>
      </c>
      <c r="E292" s="88">
        <v>1</v>
      </c>
      <c r="F292" s="92"/>
      <c r="G292" s="88" t="s">
        <v>381</v>
      </c>
      <c r="H292" s="88">
        <v>7</v>
      </c>
      <c r="I292" s="2">
        <f t="shared" si="60"/>
        <v>2021</v>
      </c>
      <c r="J292" s="42">
        <v>92650.45</v>
      </c>
      <c r="K292" s="42">
        <f t="shared" si="61"/>
        <v>1102.9815476190477</v>
      </c>
      <c r="L292" s="42">
        <f t="shared" si="62"/>
        <v>0</v>
      </c>
      <c r="M292" s="93">
        <v>1</v>
      </c>
      <c r="N292" s="42">
        <f t="shared" si="63"/>
        <v>92650.45</v>
      </c>
      <c r="O292" s="42">
        <f t="shared" si="64"/>
        <v>92650.45</v>
      </c>
      <c r="P292" s="42">
        <f t="shared" si="65"/>
        <v>0</v>
      </c>
      <c r="Q292" s="91">
        <f t="shared" si="66"/>
        <v>2014</v>
      </c>
      <c r="R292" s="91">
        <f t="shared" si="67"/>
        <v>2022.75</v>
      </c>
      <c r="S292" s="91">
        <f t="shared" si="68"/>
        <v>2021</v>
      </c>
      <c r="T292" s="91">
        <f t="shared" si="69"/>
        <v>2021.75</v>
      </c>
    </row>
    <row r="293" spans="1:20" s="2" customFormat="1" ht="15" x14ac:dyDescent="0.25">
      <c r="A293" s="2">
        <v>229</v>
      </c>
      <c r="B293" s="2" t="s">
        <v>628</v>
      </c>
      <c r="D293" s="88">
        <v>2015</v>
      </c>
      <c r="E293" s="88">
        <v>7</v>
      </c>
      <c r="F293" s="92"/>
      <c r="G293" s="88" t="s">
        <v>381</v>
      </c>
      <c r="H293" s="88">
        <v>7</v>
      </c>
      <c r="I293" s="2">
        <f t="shared" si="60"/>
        <v>2022</v>
      </c>
      <c r="J293" s="42">
        <v>46723</v>
      </c>
      <c r="K293" s="42">
        <f t="shared" si="61"/>
        <v>556.22619047619048</v>
      </c>
      <c r="L293" s="42">
        <f t="shared" si="62"/>
        <v>0</v>
      </c>
      <c r="M293" s="93">
        <v>1</v>
      </c>
      <c r="N293" s="42">
        <f t="shared" si="63"/>
        <v>46723</v>
      </c>
      <c r="O293" s="42">
        <f t="shared" si="64"/>
        <v>46723</v>
      </c>
      <c r="P293" s="42">
        <f t="shared" si="65"/>
        <v>0</v>
      </c>
      <c r="Q293" s="91">
        <f t="shared" si="66"/>
        <v>2015.5</v>
      </c>
      <c r="R293" s="91">
        <f t="shared" si="67"/>
        <v>2022.75</v>
      </c>
      <c r="S293" s="91">
        <f t="shared" si="68"/>
        <v>2022.5</v>
      </c>
      <c r="T293" s="91">
        <f t="shared" si="69"/>
        <v>2021.75</v>
      </c>
    </row>
    <row r="294" spans="1:20" s="2" customFormat="1" ht="15" x14ac:dyDescent="0.25">
      <c r="A294" s="2">
        <v>256</v>
      </c>
      <c r="B294" s="2" t="s">
        <v>629</v>
      </c>
      <c r="D294" s="88">
        <v>2017</v>
      </c>
      <c r="E294" s="88">
        <v>12</v>
      </c>
      <c r="F294" s="92"/>
      <c r="G294" s="88" t="s">
        <v>381</v>
      </c>
      <c r="H294" s="88">
        <v>7</v>
      </c>
      <c r="I294" s="2">
        <f t="shared" si="60"/>
        <v>2024</v>
      </c>
      <c r="J294" s="42">
        <v>11450</v>
      </c>
      <c r="K294" s="42">
        <f t="shared" si="61"/>
        <v>136.30952380952382</v>
      </c>
      <c r="L294" s="42">
        <f t="shared" si="62"/>
        <v>1635.7142857142858</v>
      </c>
      <c r="M294" s="93">
        <v>1</v>
      </c>
      <c r="N294" s="42">
        <f t="shared" si="63"/>
        <v>6270.2380952379717</v>
      </c>
      <c r="O294" s="42">
        <f t="shared" si="64"/>
        <v>7905.952380952258</v>
      </c>
      <c r="P294" s="42">
        <f t="shared" si="65"/>
        <v>3544.047619047742</v>
      </c>
      <c r="Q294" s="91">
        <f t="shared" si="66"/>
        <v>2017.9166666666667</v>
      </c>
      <c r="R294" s="91">
        <f t="shared" si="67"/>
        <v>2022.75</v>
      </c>
      <c r="S294" s="91">
        <f t="shared" si="68"/>
        <v>2024.9166666666667</v>
      </c>
      <c r="T294" s="91">
        <f t="shared" si="69"/>
        <v>2021.75</v>
      </c>
    </row>
    <row r="295" spans="1:20" s="2" customFormat="1" ht="15" x14ac:dyDescent="0.25">
      <c r="A295" s="2">
        <v>276</v>
      </c>
      <c r="B295" s="2" t="s">
        <v>630</v>
      </c>
      <c r="D295" s="88">
        <v>2018</v>
      </c>
      <c r="E295" s="88">
        <v>7</v>
      </c>
      <c r="F295" s="92"/>
      <c r="G295" s="88" t="s">
        <v>381</v>
      </c>
      <c r="H295" s="88">
        <v>7</v>
      </c>
      <c r="I295" s="2">
        <f t="shared" si="60"/>
        <v>2025</v>
      </c>
      <c r="J295" s="42">
        <v>13067</v>
      </c>
      <c r="K295" s="42">
        <f t="shared" si="61"/>
        <v>155.55952380952382</v>
      </c>
      <c r="L295" s="42">
        <f t="shared" si="62"/>
        <v>1866.7142857142858</v>
      </c>
      <c r="M295" s="93">
        <v>1</v>
      </c>
      <c r="N295" s="42">
        <f t="shared" si="63"/>
        <v>6066.8214285714294</v>
      </c>
      <c r="O295" s="42">
        <f t="shared" si="64"/>
        <v>7933.5357142857156</v>
      </c>
      <c r="P295" s="42">
        <f t="shared" si="65"/>
        <v>5133.4642857142844</v>
      </c>
      <c r="Q295" s="91">
        <f t="shared" si="66"/>
        <v>2018.5</v>
      </c>
      <c r="R295" s="91">
        <f t="shared" si="67"/>
        <v>2022.75</v>
      </c>
      <c r="S295" s="91">
        <f t="shared" si="68"/>
        <v>2025.5</v>
      </c>
      <c r="T295" s="91">
        <f t="shared" si="69"/>
        <v>2021.75</v>
      </c>
    </row>
    <row r="296" spans="1:20" s="2" customFormat="1" ht="15" x14ac:dyDescent="0.25">
      <c r="A296" s="2">
        <v>281</v>
      </c>
      <c r="B296" s="2" t="s">
        <v>631</v>
      </c>
      <c r="D296" s="88">
        <v>2019</v>
      </c>
      <c r="E296" s="88">
        <v>7</v>
      </c>
      <c r="F296" s="92"/>
      <c r="G296" s="88" t="s">
        <v>381</v>
      </c>
      <c r="H296" s="88">
        <v>5</v>
      </c>
      <c r="I296" s="2">
        <f t="shared" si="60"/>
        <v>2024</v>
      </c>
      <c r="J296" s="42">
        <v>29808</v>
      </c>
      <c r="K296" s="42">
        <f t="shared" si="61"/>
        <v>496.8</v>
      </c>
      <c r="L296" s="42">
        <f t="shared" si="62"/>
        <v>5961.6</v>
      </c>
      <c r="M296" s="93">
        <v>1</v>
      </c>
      <c r="N296" s="42">
        <f t="shared" si="63"/>
        <v>13413.6</v>
      </c>
      <c r="O296" s="42">
        <f t="shared" si="64"/>
        <v>19375.2</v>
      </c>
      <c r="P296" s="42">
        <f t="shared" si="65"/>
        <v>10432.799999999999</v>
      </c>
      <c r="Q296" s="91">
        <f t="shared" si="66"/>
        <v>2019.5</v>
      </c>
      <c r="R296" s="91">
        <f t="shared" si="67"/>
        <v>2022.75</v>
      </c>
      <c r="S296" s="91">
        <f t="shared" si="68"/>
        <v>2024.5</v>
      </c>
      <c r="T296" s="91">
        <f t="shared" si="69"/>
        <v>2021.75</v>
      </c>
    </row>
    <row r="297" spans="1:20" s="2" customFormat="1" ht="15" x14ac:dyDescent="0.25">
      <c r="A297" s="2">
        <v>282</v>
      </c>
      <c r="B297" s="2" t="s">
        <v>632</v>
      </c>
      <c r="D297" s="88">
        <v>2019</v>
      </c>
      <c r="E297" s="88">
        <v>7</v>
      </c>
      <c r="F297" s="92"/>
      <c r="G297" s="88" t="s">
        <v>381</v>
      </c>
      <c r="H297" s="88">
        <v>5</v>
      </c>
      <c r="I297" s="2">
        <f t="shared" si="60"/>
        <v>2024</v>
      </c>
      <c r="J297" s="42">
        <v>30856</v>
      </c>
      <c r="K297" s="42">
        <f t="shared" si="61"/>
        <v>514.26666666666665</v>
      </c>
      <c r="L297" s="42">
        <f t="shared" si="62"/>
        <v>6171.2</v>
      </c>
      <c r="M297" s="93">
        <v>1</v>
      </c>
      <c r="N297" s="42">
        <f t="shared" si="63"/>
        <v>13885.199999999999</v>
      </c>
      <c r="O297" s="42">
        <f t="shared" si="64"/>
        <v>20056.399999999998</v>
      </c>
      <c r="P297" s="42">
        <f t="shared" si="65"/>
        <v>10799.600000000002</v>
      </c>
      <c r="Q297" s="91">
        <f t="shared" si="66"/>
        <v>2019.5</v>
      </c>
      <c r="R297" s="91">
        <f t="shared" si="67"/>
        <v>2022.75</v>
      </c>
      <c r="S297" s="91">
        <f t="shared" si="68"/>
        <v>2024.5</v>
      </c>
      <c r="T297" s="91">
        <f t="shared" si="69"/>
        <v>2021.75</v>
      </c>
    </row>
    <row r="298" spans="1:20" s="2" customFormat="1" ht="15" x14ac:dyDescent="0.25">
      <c r="A298" s="2">
        <v>283</v>
      </c>
      <c r="B298" s="2" t="s">
        <v>633</v>
      </c>
      <c r="D298" s="88">
        <v>2019</v>
      </c>
      <c r="E298" s="88">
        <v>9</v>
      </c>
      <c r="F298" s="92"/>
      <c r="G298" s="88" t="s">
        <v>381</v>
      </c>
      <c r="H298" s="88">
        <v>7</v>
      </c>
      <c r="I298" s="2">
        <f t="shared" si="60"/>
        <v>2026</v>
      </c>
      <c r="J298" s="42">
        <v>87425</v>
      </c>
      <c r="K298" s="42">
        <f t="shared" si="61"/>
        <v>1040.7738095238094</v>
      </c>
      <c r="L298" s="42">
        <f t="shared" si="62"/>
        <v>12489.285714285714</v>
      </c>
      <c r="M298" s="93">
        <v>1</v>
      </c>
      <c r="N298" s="42">
        <f t="shared" si="63"/>
        <v>26019.345238094287</v>
      </c>
      <c r="O298" s="42">
        <f t="shared" si="64"/>
        <v>38508.630952380001</v>
      </c>
      <c r="P298" s="42">
        <f t="shared" si="65"/>
        <v>48916.369047619999</v>
      </c>
      <c r="Q298" s="91">
        <f t="shared" si="66"/>
        <v>2019.6666666666667</v>
      </c>
      <c r="R298" s="91">
        <f t="shared" si="67"/>
        <v>2022.75</v>
      </c>
      <c r="S298" s="91">
        <f t="shared" si="68"/>
        <v>2026.6666666666667</v>
      </c>
      <c r="T298" s="91">
        <f t="shared" si="69"/>
        <v>2021.75</v>
      </c>
    </row>
    <row r="299" spans="1:20" s="2" customFormat="1" ht="15" x14ac:dyDescent="0.25">
      <c r="A299" s="2">
        <v>290</v>
      </c>
      <c r="B299" s="2" t="s">
        <v>634</v>
      </c>
      <c r="D299" s="88">
        <v>2020</v>
      </c>
      <c r="E299" s="88">
        <v>9</v>
      </c>
      <c r="F299" s="92"/>
      <c r="G299" s="88" t="s">
        <v>381</v>
      </c>
      <c r="H299" s="88">
        <v>5</v>
      </c>
      <c r="I299" s="2">
        <f t="shared" si="60"/>
        <v>2025</v>
      </c>
      <c r="J299" s="42">
        <v>7243</v>
      </c>
      <c r="K299" s="42">
        <f t="shared" si="61"/>
        <v>120.71666666666665</v>
      </c>
      <c r="L299" s="42">
        <f t="shared" si="62"/>
        <v>1448.6</v>
      </c>
      <c r="M299" s="93">
        <v>1</v>
      </c>
      <c r="N299" s="42">
        <f t="shared" si="63"/>
        <v>1569.3166666665568</v>
      </c>
      <c r="O299" s="42">
        <f t="shared" si="64"/>
        <v>3017.9166666665569</v>
      </c>
      <c r="P299" s="42">
        <f t="shared" si="65"/>
        <v>4225.0833333334431</v>
      </c>
      <c r="Q299" s="91">
        <f t="shared" si="66"/>
        <v>2020.6666666666667</v>
      </c>
      <c r="R299" s="91">
        <f t="shared" si="67"/>
        <v>2022.75</v>
      </c>
      <c r="S299" s="91">
        <f t="shared" si="68"/>
        <v>2025.6666666666667</v>
      </c>
      <c r="T299" s="91">
        <f t="shared" si="69"/>
        <v>2021.75</v>
      </c>
    </row>
    <row r="300" spans="1:20" s="2" customFormat="1" ht="15" x14ac:dyDescent="0.25">
      <c r="B300" s="2" t="s">
        <v>635</v>
      </c>
      <c r="D300" s="88">
        <v>2022</v>
      </c>
      <c r="E300" s="88">
        <v>9</v>
      </c>
      <c r="F300" s="92"/>
      <c r="G300" s="88" t="s">
        <v>381</v>
      </c>
      <c r="H300" s="88">
        <v>5</v>
      </c>
      <c r="I300" s="2">
        <f t="shared" si="60"/>
        <v>2027</v>
      </c>
      <c r="J300" s="42">
        <v>53568</v>
      </c>
      <c r="K300" s="42">
        <f t="shared" si="61"/>
        <v>892.80000000000007</v>
      </c>
      <c r="L300" s="42">
        <f t="shared" si="62"/>
        <v>10713.6</v>
      </c>
      <c r="M300" s="93">
        <v>1</v>
      </c>
      <c r="N300" s="42">
        <f t="shared" si="63"/>
        <v>0</v>
      </c>
      <c r="O300" s="42">
        <f t="shared" si="64"/>
        <v>10713.6</v>
      </c>
      <c r="P300" s="42">
        <f t="shared" si="65"/>
        <v>42854.400000000001</v>
      </c>
      <c r="Q300" s="91">
        <f t="shared" si="66"/>
        <v>2022.6666666666667</v>
      </c>
      <c r="R300" s="91">
        <f t="shared" si="67"/>
        <v>2022.75</v>
      </c>
      <c r="S300" s="91">
        <f t="shared" si="68"/>
        <v>2027.6666666666667</v>
      </c>
      <c r="T300" s="91">
        <f t="shared" si="69"/>
        <v>2021.75</v>
      </c>
    </row>
    <row r="301" spans="1:20" s="94" customFormat="1" ht="15" x14ac:dyDescent="0.25">
      <c r="B301" s="94" t="s">
        <v>636</v>
      </c>
      <c r="D301" s="57"/>
      <c r="E301" s="57"/>
      <c r="H301" s="57"/>
      <c r="J301" s="96">
        <f>SUM(J280:J300)</f>
        <v>692483.87</v>
      </c>
      <c r="K301" s="97"/>
      <c r="L301" s="96">
        <f>SUM(L280:L300)</f>
        <v>40286.714285714283</v>
      </c>
      <c r="M301" s="98"/>
      <c r="N301" s="96">
        <f t="shared" ref="N301:P301" si="70">SUM(N280:N300)</f>
        <v>526291.39142857026</v>
      </c>
      <c r="O301" s="96">
        <f t="shared" si="70"/>
        <v>566578.10571428447</v>
      </c>
      <c r="P301" s="96">
        <f t="shared" si="70"/>
        <v>125905.76428571547</v>
      </c>
      <c r="Q301" s="99"/>
      <c r="R301" s="99"/>
      <c r="S301" s="99"/>
      <c r="T301" s="99"/>
    </row>
    <row r="302" spans="1:20" s="2" customFormat="1" ht="15" x14ac:dyDescent="0.25">
      <c r="D302" s="88"/>
      <c r="E302" s="88"/>
      <c r="H302" s="88"/>
      <c r="J302" s="42"/>
      <c r="K302" s="42"/>
      <c r="L302" s="42"/>
      <c r="M302" s="69"/>
      <c r="N302" s="42"/>
      <c r="O302" s="42"/>
      <c r="P302" s="42"/>
      <c r="Q302" s="91"/>
      <c r="R302" s="91"/>
      <c r="S302" s="91"/>
      <c r="T302" s="91"/>
    </row>
    <row r="303" spans="1:20" s="2" customFormat="1" ht="15" x14ac:dyDescent="0.25">
      <c r="A303" s="2">
        <v>139</v>
      </c>
      <c r="B303" s="2" t="s">
        <v>637</v>
      </c>
      <c r="D303" s="88">
        <v>2011</v>
      </c>
      <c r="E303" s="88">
        <v>4</v>
      </c>
      <c r="F303" s="92"/>
      <c r="G303" s="88" t="s">
        <v>381</v>
      </c>
      <c r="H303" s="88">
        <v>10</v>
      </c>
      <c r="I303" s="2">
        <f>+D303+H303</f>
        <v>2021</v>
      </c>
      <c r="J303" s="42">
        <v>4982</v>
      </c>
      <c r="K303" s="42">
        <f t="shared" ref="K303:K317" si="71">J303/H303/12</f>
        <v>41.516666666666666</v>
      </c>
      <c r="L303" s="42">
        <f t="shared" ref="L303:L317" si="72">IF(S303&lt;=R303,0,J303/H303)</f>
        <v>0</v>
      </c>
      <c r="M303" s="93">
        <v>1</v>
      </c>
      <c r="N303" s="42">
        <f t="shared" ref="N303:N317" si="73">IF(Q303&gt;R303,0,IF(S303&lt;T303,J303,IF((AND((S303&gt;=T303),(S303&lt;=R303))),(J303-L303),IF((AND((T303&lt;=Q303),(R303&gt;=Q303))),0,IF(S303&gt;R303,((T303-Q303)*12)*K303,0)))))</f>
        <v>4982</v>
      </c>
      <c r="O303" s="42">
        <f t="shared" ref="O303:O317" si="74">N303+L303</f>
        <v>4982</v>
      </c>
      <c r="P303" s="42">
        <f t="shared" ref="P303:P317" si="75">+J303-O303</f>
        <v>0</v>
      </c>
      <c r="Q303" s="91">
        <f>$D303+(($E303-1)/12)</f>
        <v>2011.25</v>
      </c>
      <c r="R303" s="91">
        <f t="shared" ref="R303:R317" si="76">($K$5+1)-($K$2/12)</f>
        <v>2022.75</v>
      </c>
      <c r="S303" s="91">
        <f>$I303+(($E303-1)/12)</f>
        <v>2021.25</v>
      </c>
      <c r="T303" s="91">
        <f t="shared" ref="T303:T317" si="77">$K$4+($K$3/12)</f>
        <v>2021.75</v>
      </c>
    </row>
    <row r="304" spans="1:20" s="2" customFormat="1" ht="15" x14ac:dyDescent="0.25">
      <c r="A304" s="2">
        <v>140</v>
      </c>
      <c r="B304" s="2" t="s">
        <v>637</v>
      </c>
      <c r="D304" s="88">
        <v>2011</v>
      </c>
      <c r="E304" s="88">
        <v>7</v>
      </c>
      <c r="F304" s="92"/>
      <c r="G304" s="88" t="s">
        <v>381</v>
      </c>
      <c r="H304" s="88">
        <v>10</v>
      </c>
      <c r="I304" s="2">
        <f>+D304+H304</f>
        <v>2021</v>
      </c>
      <c r="J304" s="42">
        <v>251</v>
      </c>
      <c r="K304" s="42">
        <f t="shared" si="71"/>
        <v>2.0916666666666668</v>
      </c>
      <c r="L304" s="42">
        <f t="shared" si="72"/>
        <v>0</v>
      </c>
      <c r="M304" s="93">
        <v>1</v>
      </c>
      <c r="N304" s="42">
        <f t="shared" si="73"/>
        <v>251</v>
      </c>
      <c r="O304" s="42">
        <f t="shared" si="74"/>
        <v>251</v>
      </c>
      <c r="P304" s="42">
        <f t="shared" si="75"/>
        <v>0</v>
      </c>
      <c r="Q304" s="91">
        <f>$D304+(($E304-1)/12)</f>
        <v>2011.5</v>
      </c>
      <c r="R304" s="91">
        <f t="shared" si="76"/>
        <v>2022.75</v>
      </c>
      <c r="S304" s="91">
        <f>$I304+(($E304-1)/12)</f>
        <v>2021.5</v>
      </c>
      <c r="T304" s="91">
        <f t="shared" si="77"/>
        <v>2021.75</v>
      </c>
    </row>
    <row r="305" spans="1:20" s="2" customFormat="1" ht="15" x14ac:dyDescent="0.25">
      <c r="A305" s="2">
        <v>141</v>
      </c>
      <c r="B305" s="2" t="s">
        <v>638</v>
      </c>
      <c r="D305" s="88">
        <v>2011</v>
      </c>
      <c r="E305" s="88">
        <v>4</v>
      </c>
      <c r="F305" s="92"/>
      <c r="G305" s="88" t="s">
        <v>381</v>
      </c>
      <c r="H305" s="88">
        <v>10</v>
      </c>
      <c r="I305" s="2">
        <f>+D305+H305</f>
        <v>2021</v>
      </c>
      <c r="J305" s="42">
        <v>2000</v>
      </c>
      <c r="K305" s="42">
        <f t="shared" si="71"/>
        <v>16.666666666666668</v>
      </c>
      <c r="L305" s="42">
        <f t="shared" si="72"/>
        <v>0</v>
      </c>
      <c r="M305" s="93">
        <v>1</v>
      </c>
      <c r="N305" s="42">
        <f t="shared" si="73"/>
        <v>2000</v>
      </c>
      <c r="O305" s="42">
        <f t="shared" si="74"/>
        <v>2000</v>
      </c>
      <c r="P305" s="42">
        <f t="shared" si="75"/>
        <v>0</v>
      </c>
      <c r="Q305" s="91">
        <f>$D305+(($E305-1)/12)</f>
        <v>2011.25</v>
      </c>
      <c r="R305" s="91">
        <f t="shared" si="76"/>
        <v>2022.75</v>
      </c>
      <c r="S305" s="91">
        <f>$I305+(($E305-1)/12)</f>
        <v>2021.25</v>
      </c>
      <c r="T305" s="91">
        <f t="shared" si="77"/>
        <v>2021.75</v>
      </c>
    </row>
    <row r="306" spans="1:20" s="2" customFormat="1" ht="15" x14ac:dyDescent="0.25">
      <c r="A306" s="2">
        <v>169</v>
      </c>
      <c r="B306" s="2" t="s">
        <v>639</v>
      </c>
      <c r="D306" s="88">
        <v>2012</v>
      </c>
      <c r="E306" s="88">
        <v>8</v>
      </c>
      <c r="F306" s="92"/>
      <c r="G306" s="88" t="s">
        <v>381</v>
      </c>
      <c r="H306" s="88">
        <v>7</v>
      </c>
      <c r="I306" s="2">
        <f>+D306+H306</f>
        <v>2019</v>
      </c>
      <c r="J306" s="42">
        <v>10000</v>
      </c>
      <c r="K306" s="42">
        <f t="shared" si="71"/>
        <v>119.04761904761905</v>
      </c>
      <c r="L306" s="42">
        <f t="shared" si="72"/>
        <v>0</v>
      </c>
      <c r="M306" s="93">
        <v>1</v>
      </c>
      <c r="N306" s="42">
        <f t="shared" si="73"/>
        <v>10000</v>
      </c>
      <c r="O306" s="42">
        <f t="shared" si="74"/>
        <v>10000</v>
      </c>
      <c r="P306" s="42">
        <f t="shared" si="75"/>
        <v>0</v>
      </c>
      <c r="Q306" s="91">
        <f>$D306+(($E306-1)/12)</f>
        <v>2012.5833333333333</v>
      </c>
      <c r="R306" s="91">
        <f t="shared" si="76"/>
        <v>2022.75</v>
      </c>
      <c r="S306" s="91">
        <f>$I306+(($E306-1)/12)</f>
        <v>2019.5833333333333</v>
      </c>
      <c r="T306" s="91">
        <f t="shared" si="77"/>
        <v>2021.75</v>
      </c>
    </row>
    <row r="307" spans="1:20" s="2" customFormat="1" ht="15" x14ac:dyDescent="0.25">
      <c r="A307" s="2">
        <v>165</v>
      </c>
      <c r="B307" s="2" t="s">
        <v>640</v>
      </c>
      <c r="D307" s="88">
        <v>2012</v>
      </c>
      <c r="E307" s="88">
        <v>10</v>
      </c>
      <c r="F307" s="92"/>
      <c r="G307" s="88" t="s">
        <v>381</v>
      </c>
      <c r="H307" s="88">
        <v>7</v>
      </c>
      <c r="I307" s="2">
        <f>+D307+H307</f>
        <v>2019</v>
      </c>
      <c r="J307" s="42">
        <v>1303</v>
      </c>
      <c r="K307" s="42">
        <f t="shared" si="71"/>
        <v>15.511904761904761</v>
      </c>
      <c r="L307" s="42">
        <f t="shared" si="72"/>
        <v>0</v>
      </c>
      <c r="M307" s="93">
        <v>1</v>
      </c>
      <c r="N307" s="42">
        <f t="shared" si="73"/>
        <v>1303</v>
      </c>
      <c r="O307" s="42">
        <f t="shared" si="74"/>
        <v>1303</v>
      </c>
      <c r="P307" s="42">
        <f t="shared" si="75"/>
        <v>0</v>
      </c>
      <c r="Q307" s="91">
        <f>$D307+(($E307-1)/12)</f>
        <v>2012.75</v>
      </c>
      <c r="R307" s="91">
        <f t="shared" si="76"/>
        <v>2022.75</v>
      </c>
      <c r="S307" s="91">
        <f>$I307+(($E307-1)/12)</f>
        <v>2019.75</v>
      </c>
      <c r="T307" s="91">
        <f t="shared" si="77"/>
        <v>2021.75</v>
      </c>
    </row>
    <row r="308" spans="1:20" s="2" customFormat="1" ht="15" x14ac:dyDescent="0.25">
      <c r="A308" s="2">
        <v>234</v>
      </c>
      <c r="B308" s="2" t="s">
        <v>641</v>
      </c>
      <c r="D308" s="88">
        <v>2015</v>
      </c>
      <c r="E308" s="88">
        <v>4</v>
      </c>
      <c r="F308" s="92"/>
      <c r="G308" s="88" t="s">
        <v>381</v>
      </c>
      <c r="H308" s="88">
        <v>10</v>
      </c>
      <c r="I308" s="2">
        <f t="shared" ref="I308:I317" si="78">+D308+H308</f>
        <v>2025</v>
      </c>
      <c r="J308" s="42">
        <v>6179</v>
      </c>
      <c r="K308" s="42">
        <f t="shared" si="71"/>
        <v>51.491666666666667</v>
      </c>
      <c r="L308" s="42">
        <f t="shared" si="72"/>
        <v>617.9</v>
      </c>
      <c r="M308" s="93">
        <v>1</v>
      </c>
      <c r="N308" s="42">
        <f t="shared" si="73"/>
        <v>4016.35</v>
      </c>
      <c r="O308" s="42">
        <f t="shared" si="74"/>
        <v>4634.25</v>
      </c>
      <c r="P308" s="42">
        <f t="shared" si="75"/>
        <v>1544.75</v>
      </c>
      <c r="Q308" s="91">
        <f t="shared" ref="Q308:Q317" si="79">$D308+(($E308-1)/12)</f>
        <v>2015.25</v>
      </c>
      <c r="R308" s="91">
        <f t="shared" si="76"/>
        <v>2022.75</v>
      </c>
      <c r="S308" s="91">
        <f t="shared" ref="S308:S317" si="80">$I308+(($E308-1)/12)</f>
        <v>2025.25</v>
      </c>
      <c r="T308" s="91">
        <f t="shared" si="77"/>
        <v>2021.75</v>
      </c>
    </row>
    <row r="309" spans="1:20" s="2" customFormat="1" ht="15" x14ac:dyDescent="0.25">
      <c r="A309" s="2">
        <v>245</v>
      </c>
      <c r="B309" s="2" t="s">
        <v>641</v>
      </c>
      <c r="D309" s="88">
        <v>2016</v>
      </c>
      <c r="E309" s="88">
        <v>4</v>
      </c>
      <c r="F309" s="92"/>
      <c r="G309" s="88" t="s">
        <v>381</v>
      </c>
      <c r="H309" s="88">
        <v>10</v>
      </c>
      <c r="I309" s="2">
        <f t="shared" si="78"/>
        <v>2026</v>
      </c>
      <c r="J309" s="42">
        <v>11010</v>
      </c>
      <c r="K309" s="42">
        <f t="shared" si="71"/>
        <v>91.75</v>
      </c>
      <c r="L309" s="42">
        <f t="shared" si="72"/>
        <v>1101</v>
      </c>
      <c r="M309" s="93">
        <v>1</v>
      </c>
      <c r="N309" s="42">
        <f t="shared" si="73"/>
        <v>6055.5</v>
      </c>
      <c r="O309" s="42">
        <f t="shared" si="74"/>
        <v>7156.5</v>
      </c>
      <c r="P309" s="42">
        <f t="shared" si="75"/>
        <v>3853.5</v>
      </c>
      <c r="Q309" s="91">
        <f t="shared" si="79"/>
        <v>2016.25</v>
      </c>
      <c r="R309" s="91">
        <f t="shared" si="76"/>
        <v>2022.75</v>
      </c>
      <c r="S309" s="91">
        <f t="shared" si="80"/>
        <v>2026.25</v>
      </c>
      <c r="T309" s="91">
        <f t="shared" si="77"/>
        <v>2021.75</v>
      </c>
    </row>
    <row r="310" spans="1:20" s="2" customFormat="1" ht="15" x14ac:dyDescent="0.25">
      <c r="A310" s="2">
        <v>249</v>
      </c>
      <c r="B310" s="2" t="s">
        <v>642</v>
      </c>
      <c r="D310" s="88">
        <v>2016</v>
      </c>
      <c r="E310" s="88">
        <v>4</v>
      </c>
      <c r="F310" s="92"/>
      <c r="G310" s="88" t="s">
        <v>381</v>
      </c>
      <c r="H310" s="88">
        <v>5</v>
      </c>
      <c r="I310" s="2">
        <f t="shared" si="78"/>
        <v>2021</v>
      </c>
      <c r="J310" s="42">
        <v>29978</v>
      </c>
      <c r="K310" s="42">
        <f t="shared" si="71"/>
        <v>499.63333333333338</v>
      </c>
      <c r="L310" s="42">
        <f t="shared" si="72"/>
        <v>0</v>
      </c>
      <c r="M310" s="93">
        <v>1</v>
      </c>
      <c r="N310" s="42">
        <f t="shared" si="73"/>
        <v>29978</v>
      </c>
      <c r="O310" s="42">
        <f t="shared" si="74"/>
        <v>29978</v>
      </c>
      <c r="P310" s="42">
        <f t="shared" si="75"/>
        <v>0</v>
      </c>
      <c r="Q310" s="91">
        <f t="shared" si="79"/>
        <v>2016.25</v>
      </c>
      <c r="R310" s="91">
        <f t="shared" si="76"/>
        <v>2022.75</v>
      </c>
      <c r="S310" s="91">
        <f t="shared" si="80"/>
        <v>2021.25</v>
      </c>
      <c r="T310" s="91">
        <f t="shared" si="77"/>
        <v>2021.75</v>
      </c>
    </row>
    <row r="311" spans="1:20" s="2" customFormat="1" ht="15" x14ac:dyDescent="0.25">
      <c r="A311" s="2">
        <v>248</v>
      </c>
      <c r="B311" s="2" t="s">
        <v>643</v>
      </c>
      <c r="D311" s="88">
        <v>2016</v>
      </c>
      <c r="E311" s="88">
        <v>5</v>
      </c>
      <c r="F311" s="92"/>
      <c r="G311" s="88" t="s">
        <v>381</v>
      </c>
      <c r="H311" s="88">
        <v>8</v>
      </c>
      <c r="I311" s="2">
        <f t="shared" si="78"/>
        <v>2024</v>
      </c>
      <c r="J311" s="42">
        <v>129406</v>
      </c>
      <c r="K311" s="42">
        <f t="shared" si="71"/>
        <v>1347.9791666666667</v>
      </c>
      <c r="L311" s="42">
        <f t="shared" si="72"/>
        <v>16175.75</v>
      </c>
      <c r="M311" s="93">
        <v>1</v>
      </c>
      <c r="N311" s="42">
        <f t="shared" si="73"/>
        <v>87618.645833334565</v>
      </c>
      <c r="O311" s="42">
        <f t="shared" si="74"/>
        <v>103794.39583333457</v>
      </c>
      <c r="P311" s="42">
        <f t="shared" si="75"/>
        <v>25611.604166665435</v>
      </c>
      <c r="Q311" s="91">
        <f t="shared" si="79"/>
        <v>2016.3333333333333</v>
      </c>
      <c r="R311" s="91">
        <f t="shared" si="76"/>
        <v>2022.75</v>
      </c>
      <c r="S311" s="91">
        <f t="shared" si="80"/>
        <v>2024.3333333333333</v>
      </c>
      <c r="T311" s="91">
        <f t="shared" si="77"/>
        <v>2021.75</v>
      </c>
    </row>
    <row r="312" spans="1:20" s="2" customFormat="1" ht="15" x14ac:dyDescent="0.25">
      <c r="A312" s="2">
        <v>250</v>
      </c>
      <c r="B312" s="2" t="s">
        <v>641</v>
      </c>
      <c r="D312" s="88">
        <v>2016</v>
      </c>
      <c r="E312" s="88">
        <v>6</v>
      </c>
      <c r="F312" s="92"/>
      <c r="G312" s="88" t="s">
        <v>381</v>
      </c>
      <c r="H312" s="88">
        <v>10</v>
      </c>
      <c r="I312" s="2">
        <f t="shared" si="78"/>
        <v>2026</v>
      </c>
      <c r="J312" s="42">
        <v>9207</v>
      </c>
      <c r="K312" s="42">
        <f t="shared" si="71"/>
        <v>76.725000000000009</v>
      </c>
      <c r="L312" s="42">
        <f t="shared" si="72"/>
        <v>920.7</v>
      </c>
      <c r="M312" s="93">
        <v>1</v>
      </c>
      <c r="N312" s="42">
        <f t="shared" si="73"/>
        <v>4910.3999999999305</v>
      </c>
      <c r="O312" s="42">
        <f t="shared" si="74"/>
        <v>5831.0999999999303</v>
      </c>
      <c r="P312" s="42">
        <f t="shared" si="75"/>
        <v>3375.9000000000697</v>
      </c>
      <c r="Q312" s="91">
        <f t="shared" si="79"/>
        <v>2016.4166666666667</v>
      </c>
      <c r="R312" s="91">
        <f t="shared" si="76"/>
        <v>2022.75</v>
      </c>
      <c r="S312" s="91">
        <f t="shared" si="80"/>
        <v>2026.4166666666667</v>
      </c>
      <c r="T312" s="91">
        <f t="shared" si="77"/>
        <v>2021.75</v>
      </c>
    </row>
    <row r="313" spans="1:20" s="2" customFormat="1" ht="15" x14ac:dyDescent="0.25">
      <c r="A313" s="2">
        <v>241</v>
      </c>
      <c r="B313" s="2" t="s">
        <v>642</v>
      </c>
      <c r="D313" s="88">
        <v>2016</v>
      </c>
      <c r="E313" s="88">
        <v>10</v>
      </c>
      <c r="F313" s="92"/>
      <c r="G313" s="88" t="s">
        <v>381</v>
      </c>
      <c r="H313" s="88">
        <v>5</v>
      </c>
      <c r="I313" s="2">
        <f t="shared" si="78"/>
        <v>2021</v>
      </c>
      <c r="J313" s="42">
        <v>28158</v>
      </c>
      <c r="K313" s="42">
        <f t="shared" si="71"/>
        <v>469.3</v>
      </c>
      <c r="L313" s="42">
        <f t="shared" si="72"/>
        <v>0</v>
      </c>
      <c r="M313" s="93">
        <v>1</v>
      </c>
      <c r="N313" s="42">
        <f t="shared" si="73"/>
        <v>28158</v>
      </c>
      <c r="O313" s="42">
        <f t="shared" si="74"/>
        <v>28158</v>
      </c>
      <c r="P313" s="42">
        <f t="shared" si="75"/>
        <v>0</v>
      </c>
      <c r="Q313" s="91">
        <f t="shared" si="79"/>
        <v>2016.75</v>
      </c>
      <c r="R313" s="91">
        <f t="shared" si="76"/>
        <v>2022.75</v>
      </c>
      <c r="S313" s="91">
        <f t="shared" si="80"/>
        <v>2021.75</v>
      </c>
      <c r="T313" s="91">
        <f t="shared" si="77"/>
        <v>2021.75</v>
      </c>
    </row>
    <row r="314" spans="1:20" s="2" customFormat="1" ht="15" x14ac:dyDescent="0.25">
      <c r="A314" s="2">
        <v>293</v>
      </c>
      <c r="B314" s="2" t="s">
        <v>644</v>
      </c>
      <c r="D314" s="88">
        <v>2020</v>
      </c>
      <c r="E314" s="88">
        <v>10</v>
      </c>
      <c r="F314" s="92"/>
      <c r="G314" s="88" t="s">
        <v>381</v>
      </c>
      <c r="H314" s="88">
        <v>10</v>
      </c>
      <c r="I314" s="2">
        <f t="shared" si="78"/>
        <v>2030</v>
      </c>
      <c r="J314" s="42">
        <v>76297</v>
      </c>
      <c r="K314" s="42">
        <f t="shared" si="71"/>
        <v>635.80833333333328</v>
      </c>
      <c r="L314" s="42">
        <f t="shared" si="72"/>
        <v>7629.7</v>
      </c>
      <c r="M314" s="93">
        <v>1</v>
      </c>
      <c r="N314" s="42">
        <f t="shared" si="73"/>
        <v>7629.6999999999989</v>
      </c>
      <c r="O314" s="42">
        <f t="shared" si="74"/>
        <v>15259.399999999998</v>
      </c>
      <c r="P314" s="42">
        <f t="shared" si="75"/>
        <v>61037.600000000006</v>
      </c>
      <c r="Q314" s="91">
        <f t="shared" si="79"/>
        <v>2020.75</v>
      </c>
      <c r="R314" s="91">
        <f t="shared" si="76"/>
        <v>2022.75</v>
      </c>
      <c r="S314" s="91">
        <f t="shared" si="80"/>
        <v>2030.75</v>
      </c>
      <c r="T314" s="91">
        <f t="shared" si="77"/>
        <v>2021.75</v>
      </c>
    </row>
    <row r="315" spans="1:20" s="2" customFormat="1" ht="15" x14ac:dyDescent="0.25">
      <c r="A315" s="2">
        <v>306</v>
      </c>
      <c r="B315" s="2" t="s">
        <v>645</v>
      </c>
      <c r="D315" s="88">
        <v>2021</v>
      </c>
      <c r="E315" s="88">
        <v>7</v>
      </c>
      <c r="F315" s="92"/>
      <c r="G315" s="88" t="s">
        <v>381</v>
      </c>
      <c r="H315" s="88">
        <v>10</v>
      </c>
      <c r="I315" s="2">
        <f t="shared" si="78"/>
        <v>2031</v>
      </c>
      <c r="J315" s="42">
        <v>10247</v>
      </c>
      <c r="K315" s="42">
        <f t="shared" si="71"/>
        <v>85.391666666666666</v>
      </c>
      <c r="L315" s="42">
        <f t="shared" si="72"/>
        <v>1024.7</v>
      </c>
      <c r="M315" s="93">
        <v>1</v>
      </c>
      <c r="N315" s="42">
        <f t="shared" si="73"/>
        <v>256.17500000000001</v>
      </c>
      <c r="O315" s="42">
        <f t="shared" si="74"/>
        <v>1280.875</v>
      </c>
      <c r="P315" s="42">
        <f t="shared" si="75"/>
        <v>8966.125</v>
      </c>
      <c r="Q315" s="91">
        <f t="shared" si="79"/>
        <v>2021.5</v>
      </c>
      <c r="R315" s="91">
        <f t="shared" si="76"/>
        <v>2022.75</v>
      </c>
      <c r="S315" s="91">
        <f t="shared" si="80"/>
        <v>2031.5</v>
      </c>
      <c r="T315" s="91">
        <f t="shared" si="77"/>
        <v>2021.75</v>
      </c>
    </row>
    <row r="316" spans="1:20" s="2" customFormat="1" ht="15" x14ac:dyDescent="0.25">
      <c r="A316" s="2">
        <v>304</v>
      </c>
      <c r="B316" s="2" t="s">
        <v>646</v>
      </c>
      <c r="D316" s="88">
        <v>2021</v>
      </c>
      <c r="E316" s="88">
        <v>10</v>
      </c>
      <c r="F316" s="92"/>
      <c r="G316" s="88" t="s">
        <v>381</v>
      </c>
      <c r="H316" s="88">
        <v>5</v>
      </c>
      <c r="I316" s="2">
        <f t="shared" si="78"/>
        <v>2026</v>
      </c>
      <c r="J316" s="42">
        <v>10985</v>
      </c>
      <c r="K316" s="42">
        <f t="shared" si="71"/>
        <v>183.08333333333334</v>
      </c>
      <c r="L316" s="42">
        <f>IF(S316&lt;=R316,0,J316/H316)</f>
        <v>2197</v>
      </c>
      <c r="M316" s="93">
        <v>1</v>
      </c>
      <c r="N316" s="42">
        <f t="shared" si="73"/>
        <v>0</v>
      </c>
      <c r="O316" s="42">
        <f t="shared" si="74"/>
        <v>2197</v>
      </c>
      <c r="P316" s="42">
        <f t="shared" si="75"/>
        <v>8788</v>
      </c>
      <c r="Q316" s="91">
        <f t="shared" si="79"/>
        <v>2021.75</v>
      </c>
      <c r="R316" s="91">
        <f t="shared" si="76"/>
        <v>2022.75</v>
      </c>
      <c r="S316" s="91">
        <f t="shared" si="80"/>
        <v>2026.75</v>
      </c>
      <c r="T316" s="91">
        <f t="shared" si="77"/>
        <v>2021.75</v>
      </c>
    </row>
    <row r="317" spans="1:20" s="2" customFormat="1" ht="15" x14ac:dyDescent="0.25">
      <c r="B317" s="2" t="s">
        <v>646</v>
      </c>
      <c r="D317" s="88">
        <v>2022</v>
      </c>
      <c r="E317" s="88">
        <v>8</v>
      </c>
      <c r="F317" s="92"/>
      <c r="G317" s="88" t="s">
        <v>381</v>
      </c>
      <c r="H317" s="88">
        <v>5</v>
      </c>
      <c r="I317" s="2">
        <f t="shared" si="78"/>
        <v>2027</v>
      </c>
      <c r="J317" s="42">
        <v>8330</v>
      </c>
      <c r="K317" s="42">
        <f t="shared" si="71"/>
        <v>138.83333333333334</v>
      </c>
      <c r="L317" s="42">
        <f t="shared" si="72"/>
        <v>1666</v>
      </c>
      <c r="M317" s="93">
        <v>1</v>
      </c>
      <c r="N317" s="42">
        <f t="shared" si="73"/>
        <v>0</v>
      </c>
      <c r="O317" s="42">
        <f t="shared" si="74"/>
        <v>1666</v>
      </c>
      <c r="P317" s="42">
        <f t="shared" si="75"/>
        <v>6664</v>
      </c>
      <c r="Q317" s="91">
        <f t="shared" si="79"/>
        <v>2022.5833333333333</v>
      </c>
      <c r="R317" s="91">
        <f t="shared" si="76"/>
        <v>2022.75</v>
      </c>
      <c r="S317" s="91">
        <f t="shared" si="80"/>
        <v>2027.5833333333333</v>
      </c>
      <c r="T317" s="91">
        <f t="shared" si="77"/>
        <v>2021.75</v>
      </c>
    </row>
    <row r="318" spans="1:20" s="94" customFormat="1" ht="15" x14ac:dyDescent="0.25">
      <c r="B318" s="44" t="s">
        <v>647</v>
      </c>
      <c r="D318" s="57"/>
      <c r="E318" s="57"/>
      <c r="H318" s="57"/>
      <c r="J318" s="96">
        <f>SUM(J303:J317)</f>
        <v>338333</v>
      </c>
      <c r="K318" s="97"/>
      <c r="L318" s="96">
        <f>SUM(L303:L317)</f>
        <v>31332.750000000004</v>
      </c>
      <c r="M318" s="105"/>
      <c r="N318" s="96">
        <f>SUM(N303:N317)</f>
        <v>187158.77083333451</v>
      </c>
      <c r="O318" s="96">
        <f>SUM(O303:O317)</f>
        <v>218491.52083333448</v>
      </c>
      <c r="P318" s="96">
        <f>SUM(P303:P317)</f>
        <v>119841.47916666551</v>
      </c>
      <c r="Q318" s="106"/>
      <c r="R318" s="106"/>
      <c r="S318" s="106"/>
      <c r="T318" s="107"/>
    </row>
    <row r="319" spans="1:20" s="2" customFormat="1" ht="15" x14ac:dyDescent="0.25">
      <c r="D319" s="88"/>
      <c r="E319" s="88"/>
      <c r="H319" s="88"/>
      <c r="K319" s="104"/>
      <c r="L319" s="104"/>
      <c r="M319" s="69"/>
      <c r="N319" s="42"/>
      <c r="O319" s="42"/>
      <c r="P319" s="42"/>
      <c r="Q319" s="104"/>
      <c r="R319" s="104"/>
      <c r="S319" s="104"/>
      <c r="T319" s="108"/>
    </row>
    <row r="320" spans="1:20" s="94" customFormat="1" ht="15.75" thickBot="1" x14ac:dyDescent="0.3">
      <c r="B320" s="94" t="s">
        <v>1001</v>
      </c>
      <c r="H320" s="57"/>
      <c r="J320" s="109">
        <f>J44+J278+J301+J318</f>
        <v>8056868.8500000006</v>
      </c>
      <c r="K320" s="97"/>
      <c r="L320" s="109">
        <f>L44+L278+L301+L318</f>
        <v>473788.57411904755</v>
      </c>
      <c r="M320" s="105"/>
      <c r="N320" s="109">
        <f>N44+N278+N301+N318</f>
        <v>4561751.0208095126</v>
      </c>
      <c r="O320" s="109">
        <f t="shared" ref="O320:P320" si="81">O44+O278+O301+O318</f>
        <v>5035539.5949285571</v>
      </c>
      <c r="P320" s="109">
        <f t="shared" si="81"/>
        <v>3021329.2550714421</v>
      </c>
      <c r="Q320" s="105"/>
      <c r="R320" s="106"/>
      <c r="S320" s="106"/>
      <c r="T320" s="107"/>
    </row>
    <row r="321" spans="2:20" s="2" customFormat="1" ht="15.75" thickTop="1" x14ac:dyDescent="0.25">
      <c r="Q321" s="104"/>
      <c r="R321" s="104"/>
      <c r="S321" s="104"/>
      <c r="T321" s="108"/>
    </row>
    <row r="322" spans="2:20" s="2" customFormat="1" ht="15" x14ac:dyDescent="0.25">
      <c r="B322" s="94" t="s">
        <v>648</v>
      </c>
      <c r="H322" s="88"/>
      <c r="M322" s="104"/>
      <c r="N322" s="104"/>
      <c r="O322" s="104"/>
      <c r="P322" s="104"/>
      <c r="Q322" s="104"/>
      <c r="R322" s="104"/>
      <c r="S322" s="104"/>
      <c r="T322" s="108"/>
    </row>
    <row r="323" spans="2:20" s="2" customFormat="1" ht="15" x14ac:dyDescent="0.25">
      <c r="H323" s="88"/>
      <c r="J323" s="94" t="s">
        <v>211</v>
      </c>
      <c r="K323" s="94" t="s">
        <v>649</v>
      </c>
      <c r="L323" s="104"/>
      <c r="M323" s="104"/>
      <c r="N323" s="104"/>
      <c r="O323" s="104"/>
      <c r="P323" s="104"/>
      <c r="Q323" s="104"/>
      <c r="R323" s="104"/>
      <c r="S323" s="104"/>
      <c r="T323" s="108"/>
    </row>
    <row r="324" spans="2:20" s="2" customFormat="1" ht="15" x14ac:dyDescent="0.25">
      <c r="B324" s="2" t="s">
        <v>650</v>
      </c>
      <c r="C324" s="322" t="s">
        <v>651</v>
      </c>
      <c r="D324" s="322"/>
      <c r="E324" s="322"/>
      <c r="F324" s="322"/>
      <c r="G324" s="322"/>
      <c r="H324" s="88"/>
      <c r="J324" s="42">
        <f>+L276</f>
        <v>278087.01878571429</v>
      </c>
      <c r="K324" s="42">
        <f>+L89</f>
        <v>97468.279142857136</v>
      </c>
      <c r="L324" s="42">
        <f>SUM(J324:K324)</f>
        <v>375555.29792857141</v>
      </c>
      <c r="M324" s="104"/>
      <c r="N324" s="43"/>
      <c r="O324" s="43"/>
      <c r="P324" s="104"/>
    </row>
    <row r="325" spans="2:20" s="2" customFormat="1" ht="15" x14ac:dyDescent="0.25">
      <c r="B325" s="2" t="s">
        <v>652</v>
      </c>
      <c r="C325" s="322" t="s">
        <v>653</v>
      </c>
      <c r="D325" s="322"/>
      <c r="E325" s="322"/>
      <c r="F325" s="322"/>
      <c r="G325" s="322"/>
      <c r="J325" s="42">
        <f>+L44*0.8737</f>
        <v>23252.487461190478</v>
      </c>
      <c r="K325" s="42">
        <f>L44-J325</f>
        <v>3361.3244435714259</v>
      </c>
      <c r="L325" s="42">
        <f>SUM(J325:K325)</f>
        <v>26613.811904761904</v>
      </c>
      <c r="M325" s="104"/>
      <c r="P325" s="104"/>
    </row>
    <row r="326" spans="2:20" s="2" customFormat="1" ht="15" x14ac:dyDescent="0.25">
      <c r="B326" s="2" t="s">
        <v>654</v>
      </c>
      <c r="C326" s="322" t="s">
        <v>653</v>
      </c>
      <c r="D326" s="322"/>
      <c r="E326" s="322"/>
      <c r="F326" s="322"/>
      <c r="G326" s="322"/>
      <c r="J326" s="42">
        <f>+L301*0.8737</f>
        <v>35198.502271428573</v>
      </c>
      <c r="K326" s="42">
        <f>+L301-J326</f>
        <v>5088.2120142857093</v>
      </c>
      <c r="L326" s="42">
        <f>SUM(J326:K326)</f>
        <v>40286.714285714283</v>
      </c>
      <c r="M326" s="104"/>
      <c r="P326" s="104"/>
    </row>
    <row r="327" spans="2:20" s="2" customFormat="1" ht="15" x14ac:dyDescent="0.25">
      <c r="B327" s="2" t="s">
        <v>655</v>
      </c>
      <c r="C327" s="322" t="s">
        <v>653</v>
      </c>
      <c r="D327" s="322"/>
      <c r="E327" s="322"/>
      <c r="F327" s="322"/>
      <c r="G327" s="322"/>
      <c r="J327" s="110">
        <f>+L318*0.8737</f>
        <v>27375.423675000005</v>
      </c>
      <c r="K327" s="110">
        <f>+L318-J327</f>
        <v>3957.3263249999982</v>
      </c>
      <c r="L327" s="42">
        <f>SUM(J327:K327)</f>
        <v>31332.750000000004</v>
      </c>
      <c r="M327" s="104"/>
      <c r="P327" s="104"/>
    </row>
    <row r="328" spans="2:20" s="2" customFormat="1" ht="15" x14ac:dyDescent="0.25">
      <c r="J328" s="42">
        <f>SUM(J324:J327)</f>
        <v>363913.4321933334</v>
      </c>
      <c r="K328" s="42">
        <f>SUM(K324:K327)</f>
        <v>109875.14192571427</v>
      </c>
      <c r="L328" s="111">
        <f>SUM(J328:K328)</f>
        <v>473788.57411904767</v>
      </c>
      <c r="M328" s="104"/>
      <c r="P328" s="104"/>
    </row>
    <row r="329" spans="2:20" s="2" customFormat="1" ht="15" x14ac:dyDescent="0.25">
      <c r="K329" s="42"/>
      <c r="L329" s="42">
        <f>'Results of Operations'!C69</f>
        <v>353332.41000000003</v>
      </c>
      <c r="M329" s="2" t="s">
        <v>656</v>
      </c>
    </row>
    <row r="330" spans="2:20" s="2" customFormat="1" ht="15" x14ac:dyDescent="0.25">
      <c r="J330" s="315"/>
      <c r="L330" s="240">
        <f>L328-L329</f>
        <v>120456.16411904764</v>
      </c>
      <c r="M330" s="241" t="s">
        <v>309</v>
      </c>
    </row>
    <row r="331" spans="2:20" s="2" customFormat="1" ht="15" x14ac:dyDescent="0.25"/>
    <row r="332" spans="2:20" s="2" customFormat="1" ht="15" x14ac:dyDescent="0.25"/>
    <row r="333" spans="2:20" s="2" customFormat="1" ht="15" x14ac:dyDescent="0.25">
      <c r="L333" s="231"/>
    </row>
    <row r="334" spans="2:20" s="2" customFormat="1" ht="15" x14ac:dyDescent="0.25">
      <c r="L334" s="231"/>
    </row>
    <row r="335" spans="2:20" s="2" customFormat="1" ht="15" x14ac:dyDescent="0.25">
      <c r="L335" s="231"/>
    </row>
    <row r="336" spans="2:20" s="2" customFormat="1" ht="15" x14ac:dyDescent="0.25"/>
    <row r="337" s="2" customFormat="1" ht="15" x14ac:dyDescent="0.25"/>
    <row r="338" s="2" customFormat="1" ht="15" x14ac:dyDescent="0.25"/>
    <row r="339" s="2" customFormat="1" ht="15" x14ac:dyDescent="0.25"/>
    <row r="340" s="2" customFormat="1" ht="15" x14ac:dyDescent="0.25"/>
    <row r="341" s="2" customFormat="1" ht="15" x14ac:dyDescent="0.25"/>
    <row r="342" s="2" customFormat="1" ht="15" x14ac:dyDescent="0.25"/>
    <row r="343" s="2" customFormat="1" ht="15" x14ac:dyDescent="0.25"/>
    <row r="344" s="2" customFormat="1" ht="15" x14ac:dyDescent="0.25"/>
    <row r="345" s="2" customFormat="1" ht="15" x14ac:dyDescent="0.25"/>
    <row r="346" s="2" customFormat="1" ht="15" x14ac:dyDescent="0.25"/>
    <row r="347" s="2" customFormat="1" ht="15" x14ac:dyDescent="0.25"/>
    <row r="348" s="2" customFormat="1" ht="15" x14ac:dyDescent="0.25"/>
    <row r="349" s="2" customFormat="1" ht="15" x14ac:dyDescent="0.25"/>
  </sheetData>
  <mergeCells count="8">
    <mergeCell ref="C326:G326"/>
    <mergeCell ref="C327:G327"/>
    <mergeCell ref="S3:T3"/>
    <mergeCell ref="S4:T4"/>
    <mergeCell ref="S5:T5"/>
    <mergeCell ref="S6:T6"/>
    <mergeCell ref="C324:G324"/>
    <mergeCell ref="C325:G32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0ED0-8718-40FB-80CC-5EE713E49B78}">
  <dimension ref="A1:V98"/>
  <sheetViews>
    <sheetView zoomScale="90" zoomScaleNormal="90" workbookViewId="0">
      <pane xSplit="5" ySplit="6" topLeftCell="F7" activePane="bottomRight" state="frozen"/>
      <selection pane="topRight" activeCell="G1" sqref="G1"/>
      <selection pane="bottomLeft" activeCell="A2" sqref="A2"/>
      <selection pane="bottomRight" activeCell="M24" sqref="M24"/>
    </sheetView>
  </sheetViews>
  <sheetFormatPr defaultRowHeight="15" x14ac:dyDescent="0.25"/>
  <cols>
    <col min="1" max="1" width="6.85546875" style="112" bestFit="1" customWidth="1"/>
    <col min="2" max="2" width="7.140625" style="112" bestFit="1" customWidth="1"/>
    <col min="3" max="3" width="17.42578125" style="112" customWidth="1"/>
    <col min="4" max="4" width="12" style="112" bestFit="1" customWidth="1"/>
    <col min="5" max="5" width="16" style="112" bestFit="1" customWidth="1"/>
    <col min="6" max="6" width="14.42578125" style="112" bestFit="1" customWidth="1"/>
    <col min="7" max="7" width="11.7109375" style="112" bestFit="1" customWidth="1"/>
    <col min="8" max="8" width="14.42578125" style="112" bestFit="1" customWidth="1"/>
    <col min="9" max="9" width="11.7109375" style="112" bestFit="1" customWidth="1"/>
    <col min="10" max="10" width="14.42578125" style="112" bestFit="1" customWidth="1"/>
    <col min="11" max="11" width="11.7109375" style="112" bestFit="1" customWidth="1"/>
    <col min="12" max="12" width="14.42578125" style="112" bestFit="1" customWidth="1"/>
    <col min="13" max="13" width="11.7109375" style="112" bestFit="1" customWidth="1"/>
    <col min="14" max="14" width="13.85546875" style="112" bestFit="1" customWidth="1"/>
    <col min="15" max="15" width="12.5703125" style="112" customWidth="1"/>
    <col min="16" max="16" width="13.140625" style="112" bestFit="1" customWidth="1"/>
    <col min="17" max="17" width="12.5703125" style="112" customWidth="1"/>
    <col min="18" max="18" width="15.42578125" style="112" bestFit="1" customWidth="1"/>
    <col min="19" max="19" width="11.85546875" style="112" bestFit="1" customWidth="1"/>
    <col min="20" max="20" width="12.140625" style="112" bestFit="1" customWidth="1"/>
    <col min="21" max="21" width="16.5703125" style="112" bestFit="1" customWidth="1"/>
    <col min="22" max="240" width="12.5703125" style="112" customWidth="1"/>
    <col min="241" max="16384" width="9.140625" style="112"/>
  </cols>
  <sheetData>
    <row r="1" spans="1:21" ht="18.75" x14ac:dyDescent="0.3">
      <c r="C1" s="1" t="s">
        <v>0</v>
      </c>
    </row>
    <row r="2" spans="1:21" ht="15.75" x14ac:dyDescent="0.25">
      <c r="C2" s="3" t="s">
        <v>657</v>
      </c>
    </row>
    <row r="3" spans="1:21" ht="15.75" x14ac:dyDescent="0.25">
      <c r="C3" s="4" t="s">
        <v>2</v>
      </c>
    </row>
    <row r="6" spans="1:21" s="113" customFormat="1" x14ac:dyDescent="0.25">
      <c r="A6" s="113" t="s">
        <v>658</v>
      </c>
      <c r="C6" s="113" t="s">
        <v>659</v>
      </c>
      <c r="D6" s="113" t="s">
        <v>660</v>
      </c>
      <c r="E6" s="113" t="s">
        <v>661</v>
      </c>
      <c r="F6" s="114" t="s">
        <v>662</v>
      </c>
      <c r="G6" s="114" t="s">
        <v>663</v>
      </c>
      <c r="H6" s="114" t="s">
        <v>664</v>
      </c>
      <c r="I6" s="114" t="s">
        <v>663</v>
      </c>
      <c r="J6" s="114" t="s">
        <v>665</v>
      </c>
      <c r="K6" s="114" t="s">
        <v>663</v>
      </c>
      <c r="L6" s="114" t="s">
        <v>666</v>
      </c>
      <c r="M6" s="114" t="s">
        <v>663</v>
      </c>
      <c r="N6" s="113" t="s">
        <v>667</v>
      </c>
      <c r="O6" s="113" t="s">
        <v>668</v>
      </c>
      <c r="P6" s="113" t="s">
        <v>669</v>
      </c>
      <c r="Q6" s="113" t="s">
        <v>670</v>
      </c>
      <c r="R6" s="113" t="s">
        <v>671</v>
      </c>
      <c r="S6" s="113" t="s">
        <v>672</v>
      </c>
      <c r="T6" s="113" t="s">
        <v>673</v>
      </c>
      <c r="U6" s="113" t="s">
        <v>674</v>
      </c>
    </row>
    <row r="7" spans="1:21" x14ac:dyDescent="0.25">
      <c r="A7" s="112">
        <v>55</v>
      </c>
      <c r="B7" s="112" t="s">
        <v>675</v>
      </c>
      <c r="C7" s="115">
        <v>43018</v>
      </c>
      <c r="E7" s="112" t="s">
        <v>676</v>
      </c>
      <c r="F7" s="116">
        <v>27175</v>
      </c>
      <c r="G7" s="116">
        <v>644.25</v>
      </c>
      <c r="H7" s="249">
        <v>24829.05</v>
      </c>
      <c r="I7" s="250">
        <v>576.25</v>
      </c>
      <c r="J7" s="250">
        <v>23301.25</v>
      </c>
      <c r="K7" s="250">
        <f>355.75+66.5+3.75+19.5+66+18.25+12</f>
        <v>541.75</v>
      </c>
      <c r="L7" s="250">
        <v>24860.400000000001</v>
      </c>
      <c r="M7" s="116">
        <v>567</v>
      </c>
      <c r="N7" s="117">
        <f>SUM(F7,H7,J7,L7)</f>
        <v>100165.70000000001</v>
      </c>
      <c r="O7" s="117">
        <f>SUM(G7,I7,K7,M7)</f>
        <v>2329.25</v>
      </c>
      <c r="Q7" s="225">
        <v>3111.8500000000004</v>
      </c>
      <c r="R7" s="225">
        <f>N7+P7+Q7</f>
        <v>103277.55000000002</v>
      </c>
      <c r="S7" s="225">
        <v>7229.4285</v>
      </c>
      <c r="T7" s="225">
        <v>0</v>
      </c>
      <c r="U7" s="117">
        <f>R7+S7+T7</f>
        <v>110506.97850000001</v>
      </c>
    </row>
    <row r="8" spans="1:21" x14ac:dyDescent="0.25">
      <c r="A8" s="112">
        <v>54</v>
      </c>
      <c r="B8" s="112" t="s">
        <v>675</v>
      </c>
      <c r="C8" s="115">
        <v>44409</v>
      </c>
      <c r="E8" s="112" t="s">
        <v>676</v>
      </c>
      <c r="F8" s="116">
        <v>21970</v>
      </c>
      <c r="G8" s="116">
        <v>496</v>
      </c>
      <c r="H8" s="249">
        <v>24245.599999999999</v>
      </c>
      <c r="I8" s="250">
        <v>519</v>
      </c>
      <c r="J8" s="250">
        <v>22438.75</v>
      </c>
      <c r="K8" s="250">
        <f>321.5+51.5+4.5+2.5+63.75+12.25+5+12.25+8</f>
        <v>481.25</v>
      </c>
      <c r="L8" s="250">
        <v>22576.6</v>
      </c>
      <c r="M8" s="116">
        <v>465.2</v>
      </c>
      <c r="N8" s="117">
        <f t="shared" ref="N8:O30" si="0">SUM(F8,H8,J8,L8)</f>
        <v>91230.950000000012</v>
      </c>
      <c r="O8" s="117">
        <f t="shared" si="0"/>
        <v>1961.45</v>
      </c>
      <c r="Q8" s="225">
        <v>2700.6000000000004</v>
      </c>
      <c r="R8" s="225">
        <f t="shared" ref="R8:R30" si="1">N8+P8+Q8</f>
        <v>93931.550000000017</v>
      </c>
      <c r="S8" s="225">
        <v>6575.2084999999997</v>
      </c>
      <c r="T8" s="225">
        <v>0</v>
      </c>
      <c r="U8" s="117">
        <f t="shared" ref="U8:U30" si="2">R8+S8+T8</f>
        <v>100506.75850000001</v>
      </c>
    </row>
    <row r="9" spans="1:21" x14ac:dyDescent="0.25">
      <c r="A9" s="112">
        <v>53</v>
      </c>
      <c r="B9" s="112" t="s">
        <v>677</v>
      </c>
      <c r="C9" s="115">
        <v>36692</v>
      </c>
      <c r="E9" s="112" t="s">
        <v>676</v>
      </c>
      <c r="F9" s="116">
        <v>139.83000000000001</v>
      </c>
      <c r="G9" s="116">
        <v>4.25</v>
      </c>
      <c r="H9" s="250">
        <v>85.6</v>
      </c>
      <c r="I9" s="250">
        <v>2</v>
      </c>
      <c r="J9" s="250">
        <v>128.4</v>
      </c>
      <c r="K9" s="250">
        <v>2</v>
      </c>
      <c r="L9" s="250">
        <v>0</v>
      </c>
      <c r="M9" s="116">
        <v>0</v>
      </c>
      <c r="N9" s="117">
        <f t="shared" si="0"/>
        <v>353.83000000000004</v>
      </c>
      <c r="O9" s="117">
        <f t="shared" si="0"/>
        <v>8.25</v>
      </c>
      <c r="Q9" s="225">
        <v>0</v>
      </c>
      <c r="R9" s="225">
        <f t="shared" si="1"/>
        <v>353.83000000000004</v>
      </c>
      <c r="S9" s="225">
        <v>24.768100000000004</v>
      </c>
      <c r="T9" s="225">
        <v>0</v>
      </c>
      <c r="U9" s="117">
        <f t="shared" si="2"/>
        <v>378.59810000000004</v>
      </c>
    </row>
    <row r="10" spans="1:21" x14ac:dyDescent="0.25">
      <c r="A10" s="112">
        <v>50</v>
      </c>
      <c r="B10" s="112" t="s">
        <v>675</v>
      </c>
      <c r="C10" s="115">
        <v>43862</v>
      </c>
      <c r="E10" s="112" t="s">
        <v>676</v>
      </c>
      <c r="F10" s="116">
        <v>29114.9</v>
      </c>
      <c r="G10" s="116">
        <v>480</v>
      </c>
      <c r="H10" s="250">
        <v>30183.39</v>
      </c>
      <c r="I10" s="250">
        <v>480</v>
      </c>
      <c r="J10" s="249">
        <v>25240</v>
      </c>
      <c r="K10" s="250">
        <v>480</v>
      </c>
      <c r="L10" s="250">
        <v>23997.5</v>
      </c>
      <c r="M10" s="116">
        <v>480</v>
      </c>
      <c r="N10" s="117">
        <f t="shared" si="0"/>
        <v>108535.79000000001</v>
      </c>
      <c r="O10" s="117">
        <f t="shared" si="0"/>
        <v>1920</v>
      </c>
      <c r="Q10" s="225">
        <v>0</v>
      </c>
      <c r="R10" s="225">
        <f t="shared" si="1"/>
        <v>108535.79000000001</v>
      </c>
      <c r="S10" s="225">
        <v>0</v>
      </c>
      <c r="T10" s="225">
        <v>0</v>
      </c>
      <c r="U10" s="117">
        <f t="shared" si="2"/>
        <v>108535.79000000001</v>
      </c>
    </row>
    <row r="11" spans="1:21" x14ac:dyDescent="0.25">
      <c r="A11" s="112">
        <v>49</v>
      </c>
      <c r="B11" s="112" t="s">
        <v>675</v>
      </c>
      <c r="C11" s="115">
        <v>44759</v>
      </c>
      <c r="E11" s="112" t="s">
        <v>676</v>
      </c>
      <c r="F11" s="116">
        <v>0</v>
      </c>
      <c r="G11" s="116">
        <v>0</v>
      </c>
      <c r="H11" s="250">
        <v>1997.2</v>
      </c>
      <c r="I11" s="250">
        <v>48.25</v>
      </c>
      <c r="J11" s="250">
        <v>2899.7</v>
      </c>
      <c r="K11" s="250">
        <v>67.75</v>
      </c>
      <c r="L11" s="250">
        <v>19614.38</v>
      </c>
      <c r="M11" s="116">
        <v>367.25</v>
      </c>
      <c r="N11" s="117">
        <f t="shared" si="0"/>
        <v>24511.279999999999</v>
      </c>
      <c r="O11" s="117">
        <f t="shared" si="0"/>
        <v>483.25</v>
      </c>
      <c r="Q11" s="225">
        <v>67.900000000000006</v>
      </c>
      <c r="R11" s="225">
        <f t="shared" si="1"/>
        <v>24579.18</v>
      </c>
      <c r="S11" s="225">
        <v>0</v>
      </c>
      <c r="T11" s="225">
        <v>56155.02</v>
      </c>
      <c r="U11" s="117">
        <f t="shared" si="2"/>
        <v>80734.2</v>
      </c>
    </row>
    <row r="12" spans="1:21" x14ac:dyDescent="0.25">
      <c r="A12" s="112">
        <v>46</v>
      </c>
      <c r="B12" s="112" t="s">
        <v>677</v>
      </c>
      <c r="C12" s="115">
        <v>44810</v>
      </c>
      <c r="E12" s="112" t="s">
        <v>676</v>
      </c>
      <c r="F12" s="116">
        <v>0</v>
      </c>
      <c r="G12" s="116">
        <v>0</v>
      </c>
      <c r="H12" s="250">
        <v>8615</v>
      </c>
      <c r="I12" s="250">
        <v>291.75</v>
      </c>
      <c r="J12" s="250">
        <v>4180</v>
      </c>
      <c r="K12" s="250">
        <f>36.75+47+12.75</f>
        <v>96.5</v>
      </c>
      <c r="L12" s="250">
        <v>4849.17</v>
      </c>
      <c r="M12" s="116">
        <v>103.17</v>
      </c>
      <c r="N12" s="117">
        <f t="shared" si="0"/>
        <v>17644.169999999998</v>
      </c>
      <c r="O12" s="117">
        <f t="shared" si="0"/>
        <v>491.42</v>
      </c>
      <c r="Q12" s="225">
        <v>0</v>
      </c>
      <c r="R12" s="225">
        <f t="shared" si="1"/>
        <v>17644.169999999998</v>
      </c>
      <c r="S12" s="225">
        <v>0</v>
      </c>
      <c r="T12" s="225">
        <v>82355.83</v>
      </c>
      <c r="U12" s="117">
        <f t="shared" si="2"/>
        <v>100000</v>
      </c>
    </row>
    <row r="13" spans="1:21" x14ac:dyDescent="0.25">
      <c r="A13" s="112">
        <v>44</v>
      </c>
      <c r="B13" s="112" t="s">
        <v>677</v>
      </c>
      <c r="C13" s="115">
        <v>44926</v>
      </c>
      <c r="E13" s="112" t="s">
        <v>676</v>
      </c>
      <c r="F13" s="116">
        <v>0</v>
      </c>
      <c r="G13" s="116">
        <v>0</v>
      </c>
      <c r="H13" s="249">
        <v>1696.75</v>
      </c>
      <c r="I13" s="250">
        <v>40.75</v>
      </c>
      <c r="J13" s="250">
        <v>4825.7</v>
      </c>
      <c r="K13" s="250">
        <f>70.25+16+5.75</f>
        <v>92</v>
      </c>
      <c r="L13" s="250">
        <v>1540.8</v>
      </c>
      <c r="M13" s="116">
        <v>28</v>
      </c>
      <c r="N13" s="117">
        <f t="shared" si="0"/>
        <v>8063.25</v>
      </c>
      <c r="O13" s="117">
        <f t="shared" si="0"/>
        <v>160.75</v>
      </c>
      <c r="Q13" s="225">
        <v>0</v>
      </c>
      <c r="R13" s="225">
        <f t="shared" si="1"/>
        <v>8063.25</v>
      </c>
      <c r="S13" s="225">
        <v>0</v>
      </c>
      <c r="T13" s="225">
        <v>91936.75</v>
      </c>
      <c r="U13" s="117">
        <f t="shared" si="2"/>
        <v>100000</v>
      </c>
    </row>
    <row r="14" spans="1:21" x14ac:dyDescent="0.25">
      <c r="A14" s="112">
        <v>42</v>
      </c>
      <c r="B14" s="112" t="s">
        <v>675</v>
      </c>
      <c r="C14" s="115">
        <v>39645</v>
      </c>
      <c r="E14" s="112" t="s">
        <v>676</v>
      </c>
      <c r="F14" s="116">
        <v>26000.02</v>
      </c>
      <c r="G14" s="116">
        <v>480</v>
      </c>
      <c r="H14" s="249">
        <v>25927.11</v>
      </c>
      <c r="I14" s="250">
        <v>480</v>
      </c>
      <c r="J14" s="250">
        <v>27918.77</v>
      </c>
      <c r="K14" s="250">
        <v>480</v>
      </c>
      <c r="L14" s="250">
        <v>27812.48</v>
      </c>
      <c r="M14" s="116">
        <v>480</v>
      </c>
      <c r="N14" s="117">
        <f t="shared" si="0"/>
        <v>107658.38</v>
      </c>
      <c r="O14" s="117">
        <f t="shared" si="0"/>
        <v>1920</v>
      </c>
      <c r="Q14" s="225">
        <v>3010.2786000000001</v>
      </c>
      <c r="R14" s="225">
        <f t="shared" si="1"/>
        <v>110668.65860000001</v>
      </c>
      <c r="S14" s="225">
        <v>7746.8061020000005</v>
      </c>
      <c r="T14" s="225">
        <v>0</v>
      </c>
      <c r="U14" s="117">
        <f t="shared" si="2"/>
        <v>118415.46470200001</v>
      </c>
    </row>
    <row r="15" spans="1:21" x14ac:dyDescent="0.25">
      <c r="A15" s="112">
        <v>62</v>
      </c>
      <c r="B15" s="112" t="s">
        <v>677</v>
      </c>
      <c r="C15" s="115">
        <v>32748</v>
      </c>
      <c r="E15" s="112" t="s">
        <v>676</v>
      </c>
      <c r="F15" s="116">
        <v>9375</v>
      </c>
      <c r="G15" s="116">
        <v>125</v>
      </c>
      <c r="H15" s="116">
        <v>9750</v>
      </c>
      <c r="I15" s="250">
        <v>130</v>
      </c>
      <c r="J15" s="116">
        <v>9600</v>
      </c>
      <c r="K15" s="250">
        <v>128</v>
      </c>
      <c r="L15" s="116">
        <v>9168.75</v>
      </c>
      <c r="M15" s="116">
        <v>122.25</v>
      </c>
      <c r="N15" s="117">
        <f t="shared" si="0"/>
        <v>37893.75</v>
      </c>
      <c r="O15" s="117">
        <f t="shared" si="0"/>
        <v>505.25</v>
      </c>
      <c r="Q15" s="117">
        <v>0</v>
      </c>
      <c r="R15" s="117">
        <f t="shared" si="1"/>
        <v>37893.75</v>
      </c>
      <c r="S15" s="117">
        <v>0</v>
      </c>
      <c r="T15" s="117">
        <v>0</v>
      </c>
      <c r="U15" s="117">
        <f t="shared" si="2"/>
        <v>37893.75</v>
      </c>
    </row>
    <row r="16" spans="1:21" x14ac:dyDescent="0.25">
      <c r="A16" s="112">
        <v>37</v>
      </c>
      <c r="B16" s="112" t="s">
        <v>675</v>
      </c>
      <c r="C16" s="115">
        <v>44409</v>
      </c>
      <c r="E16" s="112" t="s">
        <v>676</v>
      </c>
      <c r="F16" s="116">
        <v>27106.27</v>
      </c>
      <c r="G16" s="116">
        <v>480</v>
      </c>
      <c r="H16" s="250">
        <v>27773.62</v>
      </c>
      <c r="I16" s="250">
        <v>480</v>
      </c>
      <c r="J16" s="250">
        <v>28124.98</v>
      </c>
      <c r="K16" s="250">
        <v>480</v>
      </c>
      <c r="L16" s="250">
        <v>26083.77</v>
      </c>
      <c r="M16" s="116">
        <v>480</v>
      </c>
      <c r="N16" s="117">
        <f t="shared" si="0"/>
        <v>109088.64</v>
      </c>
      <c r="O16" s="117">
        <f t="shared" si="0"/>
        <v>1920</v>
      </c>
      <c r="Q16" s="225">
        <v>0</v>
      </c>
      <c r="R16" s="225">
        <f t="shared" si="1"/>
        <v>109088.64</v>
      </c>
      <c r="S16" s="225">
        <v>7636.2048000000004</v>
      </c>
      <c r="T16" s="225">
        <v>0</v>
      </c>
      <c r="U16" s="117">
        <f t="shared" si="2"/>
        <v>116724.84480000001</v>
      </c>
    </row>
    <row r="17" spans="1:21" x14ac:dyDescent="0.25">
      <c r="A17" s="112">
        <v>36</v>
      </c>
      <c r="B17" s="112" t="s">
        <v>677</v>
      </c>
      <c r="C17" s="115">
        <v>37165</v>
      </c>
      <c r="E17" s="112" t="s">
        <v>676</v>
      </c>
      <c r="F17" s="116">
        <v>3253.45</v>
      </c>
      <c r="G17" s="116">
        <v>87.25</v>
      </c>
      <c r="H17" s="250">
        <v>0</v>
      </c>
      <c r="I17" s="250">
        <v>0</v>
      </c>
      <c r="J17" s="250">
        <v>0</v>
      </c>
      <c r="K17" s="250">
        <v>0</v>
      </c>
      <c r="L17" s="250">
        <v>342.4</v>
      </c>
      <c r="M17" s="116">
        <v>8</v>
      </c>
      <c r="N17" s="117">
        <f t="shared" si="0"/>
        <v>3595.85</v>
      </c>
      <c r="O17" s="117">
        <f t="shared" si="0"/>
        <v>95.25</v>
      </c>
      <c r="Q17" s="225">
        <v>0</v>
      </c>
      <c r="R17" s="225">
        <f t="shared" si="1"/>
        <v>3595.85</v>
      </c>
      <c r="S17" s="225">
        <v>251.70950000000002</v>
      </c>
      <c r="T17" s="225">
        <v>0</v>
      </c>
      <c r="U17" s="117">
        <f t="shared" si="2"/>
        <v>3847.5594999999998</v>
      </c>
    </row>
    <row r="18" spans="1:21" x14ac:dyDescent="0.25">
      <c r="A18" s="112">
        <v>15</v>
      </c>
      <c r="B18" s="112" t="s">
        <v>675</v>
      </c>
      <c r="C18" s="115">
        <v>34835</v>
      </c>
      <c r="E18" s="112" t="s">
        <v>676</v>
      </c>
      <c r="F18" s="116">
        <v>31568.73</v>
      </c>
      <c r="G18" s="116">
        <v>480</v>
      </c>
      <c r="H18" s="249">
        <v>31725</v>
      </c>
      <c r="I18" s="250">
        <v>480</v>
      </c>
      <c r="J18" s="250">
        <v>32362.5</v>
      </c>
      <c r="K18" s="250">
        <v>480</v>
      </c>
      <c r="L18" s="250">
        <v>31031.25</v>
      </c>
      <c r="M18" s="116">
        <v>480</v>
      </c>
      <c r="N18" s="117">
        <f t="shared" si="0"/>
        <v>126687.48</v>
      </c>
      <c r="O18" s="117">
        <f>SUM(G18,I18,K18,M18)</f>
        <v>1920</v>
      </c>
      <c r="Q18" s="225">
        <v>0</v>
      </c>
      <c r="R18" s="225">
        <f t="shared" si="1"/>
        <v>126687.48</v>
      </c>
      <c r="S18" s="225">
        <v>8868.1236000000008</v>
      </c>
      <c r="T18" s="225">
        <v>0</v>
      </c>
      <c r="U18" s="117">
        <f t="shared" si="2"/>
        <v>135555.6036</v>
      </c>
    </row>
    <row r="19" spans="1:21" x14ac:dyDescent="0.25">
      <c r="A19" s="112">
        <v>14</v>
      </c>
      <c r="B19" s="112" t="s">
        <v>675</v>
      </c>
      <c r="C19" s="115">
        <v>44713</v>
      </c>
      <c r="E19" s="112" t="s">
        <v>676</v>
      </c>
      <c r="F19" s="116">
        <v>0</v>
      </c>
      <c r="G19" s="116">
        <v>0</v>
      </c>
      <c r="H19" s="250">
        <v>0</v>
      </c>
      <c r="I19" s="250">
        <v>0</v>
      </c>
      <c r="J19" s="250">
        <v>3845.63</v>
      </c>
      <c r="K19" s="250">
        <v>107.5</v>
      </c>
      <c r="L19" s="250">
        <v>17813.46</v>
      </c>
      <c r="M19" s="116">
        <v>436.75</v>
      </c>
      <c r="N19" s="117">
        <f t="shared" si="0"/>
        <v>21659.09</v>
      </c>
      <c r="O19" s="117">
        <f t="shared" si="0"/>
        <v>544.25</v>
      </c>
      <c r="Q19" s="225">
        <v>0</v>
      </c>
      <c r="R19" s="225">
        <f t="shared" si="1"/>
        <v>21659.09</v>
      </c>
      <c r="S19" s="225">
        <v>2707.38625</v>
      </c>
      <c r="T19" s="230">
        <v>54749.642751492873</v>
      </c>
      <c r="U19" s="117">
        <f t="shared" si="2"/>
        <v>79116.119001492872</v>
      </c>
    </row>
    <row r="20" spans="1:21" x14ac:dyDescent="0.25">
      <c r="A20" s="112">
        <v>13</v>
      </c>
      <c r="B20" s="112" t="s">
        <v>677</v>
      </c>
      <c r="C20" s="115">
        <v>43756</v>
      </c>
      <c r="E20" s="112" t="s">
        <v>676</v>
      </c>
      <c r="F20" s="116">
        <v>9701.25</v>
      </c>
      <c r="G20" s="116">
        <v>257.25</v>
      </c>
      <c r="H20" s="250">
        <v>8501.25</v>
      </c>
      <c r="I20" s="250">
        <v>194</v>
      </c>
      <c r="J20" s="250">
        <v>13600</v>
      </c>
      <c r="K20" s="250">
        <f>165.13+28.75+23.25+47.5</f>
        <v>264.63</v>
      </c>
      <c r="L20" s="250">
        <v>6225</v>
      </c>
      <c r="M20" s="116">
        <v>114.5</v>
      </c>
      <c r="N20" s="117">
        <f t="shared" si="0"/>
        <v>38027.5</v>
      </c>
      <c r="O20" s="117">
        <f t="shared" si="0"/>
        <v>830.38</v>
      </c>
      <c r="Q20" s="225">
        <v>4872.0127499999999</v>
      </c>
      <c r="R20" s="225">
        <f t="shared" si="1"/>
        <v>42899.512750000002</v>
      </c>
      <c r="S20" s="225">
        <v>3002.9658925000003</v>
      </c>
      <c r="T20" s="230">
        <v>0</v>
      </c>
      <c r="U20" s="117">
        <f t="shared" si="2"/>
        <v>45902.478642500006</v>
      </c>
    </row>
    <row r="21" spans="1:21" x14ac:dyDescent="0.25">
      <c r="A21" s="112">
        <v>6</v>
      </c>
      <c r="B21" s="112" t="s">
        <v>675</v>
      </c>
      <c r="C21" s="115">
        <v>44566</v>
      </c>
      <c r="E21" s="112" t="s">
        <v>676</v>
      </c>
      <c r="F21" s="116">
        <v>0</v>
      </c>
      <c r="G21" s="116">
        <v>0</v>
      </c>
      <c r="H21" s="249">
        <v>16333.76</v>
      </c>
      <c r="I21" s="250">
        <v>409</v>
      </c>
      <c r="J21" s="250">
        <v>20666.88</v>
      </c>
      <c r="K21" s="250">
        <f>591.5+80.5+1.5+0.5+7.75+72+12.75</f>
        <v>766.5</v>
      </c>
      <c r="L21" s="250">
        <v>17301.25</v>
      </c>
      <c r="M21" s="116">
        <v>422.75</v>
      </c>
      <c r="N21" s="117">
        <f t="shared" si="0"/>
        <v>54301.89</v>
      </c>
      <c r="O21" s="117">
        <f t="shared" si="0"/>
        <v>1598.25</v>
      </c>
      <c r="Q21" s="225">
        <v>628.95441600000004</v>
      </c>
      <c r="R21" s="225">
        <f t="shared" si="1"/>
        <v>54930.844416</v>
      </c>
      <c r="S21" s="225">
        <v>3845.1591091200003</v>
      </c>
      <c r="T21" s="230">
        <v>10931.727268887847</v>
      </c>
      <c r="U21" s="117">
        <f t="shared" si="2"/>
        <v>69707.730794007846</v>
      </c>
    </row>
    <row r="22" spans="1:21" x14ac:dyDescent="0.25">
      <c r="A22" s="112">
        <v>5</v>
      </c>
      <c r="B22" s="112" t="s">
        <v>675</v>
      </c>
      <c r="C22" s="115">
        <v>41491</v>
      </c>
      <c r="E22" s="112" t="s">
        <v>676</v>
      </c>
      <c r="F22" s="116">
        <v>17000.04</v>
      </c>
      <c r="G22" s="116">
        <v>480</v>
      </c>
      <c r="H22" s="249">
        <v>17896.7</v>
      </c>
      <c r="I22" s="250">
        <v>480</v>
      </c>
      <c r="J22" s="250">
        <v>18840.02</v>
      </c>
      <c r="K22" s="250">
        <v>480</v>
      </c>
      <c r="L22" s="250">
        <v>19015.02</v>
      </c>
      <c r="M22" s="116">
        <v>480</v>
      </c>
      <c r="N22" s="117">
        <f t="shared" si="0"/>
        <v>72751.780000000013</v>
      </c>
      <c r="O22" s="117">
        <f t="shared" si="0"/>
        <v>1920</v>
      </c>
      <c r="Q22" s="225">
        <v>793.3352000000001</v>
      </c>
      <c r="R22" s="225">
        <f t="shared" si="1"/>
        <v>73545.115200000015</v>
      </c>
      <c r="S22" s="225">
        <v>5148.1580640000011</v>
      </c>
      <c r="T22" s="225">
        <v>0</v>
      </c>
      <c r="U22" s="117">
        <f t="shared" si="2"/>
        <v>78693.273264000018</v>
      </c>
    </row>
    <row r="23" spans="1:21" s="227" customFormat="1" x14ac:dyDescent="0.25">
      <c r="A23" s="226">
        <v>64</v>
      </c>
      <c r="B23" s="227" t="s">
        <v>675</v>
      </c>
      <c r="C23" s="228">
        <v>44898</v>
      </c>
      <c r="D23" s="226"/>
      <c r="E23" s="226" t="s">
        <v>676</v>
      </c>
      <c r="Q23" s="231">
        <v>0</v>
      </c>
      <c r="R23" s="231">
        <f t="shared" si="1"/>
        <v>0</v>
      </c>
      <c r="S23" s="231">
        <v>0</v>
      </c>
      <c r="T23" s="231">
        <v>100000</v>
      </c>
      <c r="U23" s="229">
        <f t="shared" si="2"/>
        <v>100000</v>
      </c>
    </row>
    <row r="24" spans="1:21" s="227" customFormat="1" x14ac:dyDescent="0.25">
      <c r="A24" s="226">
        <v>65</v>
      </c>
      <c r="B24" s="227" t="s">
        <v>675</v>
      </c>
      <c r="C24" s="228">
        <v>44907</v>
      </c>
      <c r="D24" s="226"/>
      <c r="E24" s="226" t="s">
        <v>676</v>
      </c>
      <c r="Q24" s="231">
        <v>0</v>
      </c>
      <c r="R24" s="231">
        <f t="shared" si="1"/>
        <v>0</v>
      </c>
      <c r="S24" s="231">
        <v>0</v>
      </c>
      <c r="T24" s="231">
        <v>63000</v>
      </c>
      <c r="U24" s="229">
        <f t="shared" si="2"/>
        <v>63000</v>
      </c>
    </row>
    <row r="25" spans="1:21" s="227" customFormat="1" x14ac:dyDescent="0.25">
      <c r="A25" s="226">
        <v>66</v>
      </c>
      <c r="B25" s="227" t="s">
        <v>675</v>
      </c>
      <c r="C25" s="228">
        <v>44895</v>
      </c>
      <c r="D25" s="226"/>
      <c r="E25" s="226" t="s">
        <v>676</v>
      </c>
      <c r="Q25" s="231">
        <v>0</v>
      </c>
      <c r="R25" s="231">
        <f t="shared" si="1"/>
        <v>0</v>
      </c>
      <c r="S25" s="231">
        <v>0</v>
      </c>
      <c r="T25" s="231">
        <v>63000</v>
      </c>
      <c r="U25" s="229">
        <f t="shared" si="2"/>
        <v>63000</v>
      </c>
    </row>
    <row r="26" spans="1:21" s="227" customFormat="1" x14ac:dyDescent="0.25">
      <c r="A26" s="227">
        <v>16</v>
      </c>
      <c r="B26" s="227" t="s">
        <v>677</v>
      </c>
      <c r="C26" s="232">
        <v>44477</v>
      </c>
      <c r="D26" s="232">
        <v>44513</v>
      </c>
      <c r="E26" s="227" t="s">
        <v>676</v>
      </c>
      <c r="F26" s="233">
        <v>8121.77</v>
      </c>
      <c r="G26" s="233">
        <v>240</v>
      </c>
      <c r="H26" s="251">
        <v>0</v>
      </c>
      <c r="I26" s="251">
        <v>0</v>
      </c>
      <c r="J26" s="251">
        <v>0</v>
      </c>
      <c r="K26" s="251">
        <v>0</v>
      </c>
      <c r="L26" s="251">
        <v>0</v>
      </c>
      <c r="M26" s="233">
        <v>0</v>
      </c>
      <c r="N26" s="229">
        <f t="shared" si="0"/>
        <v>8121.77</v>
      </c>
      <c r="O26" s="229">
        <f t="shared" si="0"/>
        <v>240</v>
      </c>
      <c r="P26" s="229">
        <f>-N26</f>
        <v>-8121.77</v>
      </c>
      <c r="Q26" s="231">
        <v>0</v>
      </c>
      <c r="R26" s="231">
        <f t="shared" si="1"/>
        <v>0</v>
      </c>
      <c r="S26" s="231">
        <v>0</v>
      </c>
      <c r="T26" s="231">
        <v>0</v>
      </c>
      <c r="U26" s="229">
        <f t="shared" si="2"/>
        <v>0</v>
      </c>
    </row>
    <row r="27" spans="1:21" x14ac:dyDescent="0.25">
      <c r="A27" s="112">
        <v>31</v>
      </c>
      <c r="B27" s="112" t="s">
        <v>675</v>
      </c>
      <c r="C27" s="115">
        <v>44509</v>
      </c>
      <c r="D27" s="115">
        <v>44542</v>
      </c>
      <c r="E27" s="112" t="s">
        <v>676</v>
      </c>
      <c r="F27" s="116">
        <v>4260</v>
      </c>
      <c r="G27" s="116">
        <v>134.5</v>
      </c>
      <c r="H27" s="250">
        <v>0</v>
      </c>
      <c r="I27" s="250">
        <v>0</v>
      </c>
      <c r="J27" s="250">
        <v>0</v>
      </c>
      <c r="K27" s="250">
        <v>0</v>
      </c>
      <c r="L27" s="250">
        <v>0</v>
      </c>
      <c r="M27" s="116">
        <v>0</v>
      </c>
      <c r="N27" s="117">
        <f t="shared" si="0"/>
        <v>4260</v>
      </c>
      <c r="O27" s="117">
        <f t="shared" si="0"/>
        <v>134.5</v>
      </c>
      <c r="P27" s="117">
        <f t="shared" ref="P27:P30" si="3">-N27</f>
        <v>-4260</v>
      </c>
      <c r="Q27" s="225">
        <v>0</v>
      </c>
      <c r="R27" s="225">
        <f t="shared" si="1"/>
        <v>0</v>
      </c>
      <c r="S27" s="225">
        <v>0</v>
      </c>
      <c r="T27" s="225">
        <v>0</v>
      </c>
      <c r="U27" s="117">
        <f t="shared" si="2"/>
        <v>0</v>
      </c>
    </row>
    <row r="28" spans="1:21" x14ac:dyDescent="0.25">
      <c r="A28" s="112">
        <v>1</v>
      </c>
      <c r="B28" s="112" t="s">
        <v>677</v>
      </c>
      <c r="C28" s="115">
        <v>44440</v>
      </c>
      <c r="D28" s="115">
        <v>44583</v>
      </c>
      <c r="E28" s="112" t="s">
        <v>676</v>
      </c>
      <c r="F28" s="116">
        <v>18110.310000000001</v>
      </c>
      <c r="G28" s="116">
        <v>480</v>
      </c>
      <c r="H28" s="250">
        <v>7460.01</v>
      </c>
      <c r="I28" s="250">
        <v>163</v>
      </c>
      <c r="J28" s="250">
        <v>0</v>
      </c>
      <c r="K28" s="250">
        <v>0</v>
      </c>
      <c r="L28" s="250">
        <v>0</v>
      </c>
      <c r="M28" s="116">
        <v>0</v>
      </c>
      <c r="N28" s="117">
        <f t="shared" si="0"/>
        <v>25570.32</v>
      </c>
      <c r="O28" s="117">
        <f t="shared" si="0"/>
        <v>643</v>
      </c>
      <c r="P28" s="117">
        <f t="shared" si="3"/>
        <v>-25570.32</v>
      </c>
      <c r="Q28" s="225">
        <v>0</v>
      </c>
      <c r="R28" s="225">
        <f t="shared" si="1"/>
        <v>0</v>
      </c>
      <c r="S28" s="225">
        <v>0</v>
      </c>
      <c r="T28" s="225">
        <v>0</v>
      </c>
      <c r="U28" s="117">
        <f t="shared" si="2"/>
        <v>0</v>
      </c>
    </row>
    <row r="29" spans="1:21" x14ac:dyDescent="0.25">
      <c r="A29" s="112">
        <v>61</v>
      </c>
      <c r="B29" s="112" t="s">
        <v>675</v>
      </c>
      <c r="C29" s="115">
        <v>44361</v>
      </c>
      <c r="D29" s="115">
        <v>44633</v>
      </c>
      <c r="E29" s="112" t="s">
        <v>676</v>
      </c>
      <c r="F29" s="118">
        <v>19077.810000000001</v>
      </c>
      <c r="G29" s="118">
        <v>480</v>
      </c>
      <c r="H29" s="251">
        <v>24267.17</v>
      </c>
      <c r="I29" s="252">
        <v>490</v>
      </c>
      <c r="J29" s="252">
        <v>0</v>
      </c>
      <c r="K29" s="252">
        <v>0</v>
      </c>
      <c r="L29" s="252">
        <v>0</v>
      </c>
      <c r="M29" s="118">
        <v>0</v>
      </c>
      <c r="N29" s="117">
        <f t="shared" si="0"/>
        <v>43344.979999999996</v>
      </c>
      <c r="O29" s="117">
        <f t="shared" si="0"/>
        <v>970</v>
      </c>
      <c r="P29" s="117">
        <f t="shared" si="3"/>
        <v>-43344.979999999996</v>
      </c>
      <c r="Q29" s="225">
        <v>0</v>
      </c>
      <c r="R29" s="225">
        <f t="shared" si="1"/>
        <v>0</v>
      </c>
      <c r="S29" s="225">
        <v>0</v>
      </c>
      <c r="T29" s="225">
        <v>0</v>
      </c>
      <c r="U29" s="117">
        <f t="shared" si="2"/>
        <v>0</v>
      </c>
    </row>
    <row r="30" spans="1:21" x14ac:dyDescent="0.25">
      <c r="A30" s="112">
        <v>34</v>
      </c>
      <c r="B30" s="112" t="s">
        <v>675</v>
      </c>
      <c r="C30" s="112">
        <v>35947</v>
      </c>
      <c r="D30" s="115">
        <v>44712</v>
      </c>
      <c r="E30" s="112" t="s">
        <v>676</v>
      </c>
      <c r="F30" s="116">
        <v>30625.23</v>
      </c>
      <c r="G30" s="116">
        <v>480</v>
      </c>
      <c r="H30" s="250">
        <v>32702.73</v>
      </c>
      <c r="I30" s="250">
        <v>480</v>
      </c>
      <c r="J30" s="250">
        <v>26387.5</v>
      </c>
      <c r="K30" s="250">
        <v>400</v>
      </c>
      <c r="L30" s="250">
        <v>0</v>
      </c>
      <c r="M30" s="116">
        <v>0</v>
      </c>
      <c r="N30" s="117">
        <f t="shared" si="0"/>
        <v>89715.459999999992</v>
      </c>
      <c r="O30" s="117">
        <f t="shared" si="0"/>
        <v>1360</v>
      </c>
      <c r="P30" s="117">
        <f t="shared" si="3"/>
        <v>-89715.459999999992</v>
      </c>
      <c r="Q30" s="225">
        <v>0</v>
      </c>
      <c r="R30" s="225">
        <f t="shared" si="1"/>
        <v>0</v>
      </c>
      <c r="S30" s="225">
        <v>0</v>
      </c>
      <c r="T30" s="225">
        <v>0</v>
      </c>
      <c r="U30" s="117">
        <f t="shared" si="2"/>
        <v>0</v>
      </c>
    </row>
    <row r="31" spans="1:21" s="113" customFormat="1" x14ac:dyDescent="0.25">
      <c r="C31" s="119" t="s">
        <v>678</v>
      </c>
      <c r="D31" s="120"/>
      <c r="F31" s="121">
        <f>SUM(F7:F30)</f>
        <v>282599.61000000004</v>
      </c>
      <c r="G31" s="121"/>
      <c r="H31" s="253">
        <f>SUM(H7:H30)</f>
        <v>293989.94</v>
      </c>
      <c r="I31" s="253"/>
      <c r="J31" s="253">
        <f>SUM(J7:J30)</f>
        <v>264360.07999999996</v>
      </c>
      <c r="K31" s="253"/>
      <c r="L31" s="253">
        <f>SUM(L7:L30)</f>
        <v>252232.22999999998</v>
      </c>
      <c r="M31" s="121"/>
      <c r="N31" s="122">
        <f>SUM(N7:N30)</f>
        <v>1093181.8599999999</v>
      </c>
      <c r="O31" s="122">
        <f>SUM(O7:O30)</f>
        <v>21955.25</v>
      </c>
      <c r="P31" s="122">
        <f t="shared" ref="P31:T31" si="4">SUM(P7:P30)</f>
        <v>-171012.52999999997</v>
      </c>
      <c r="Q31" s="122">
        <f t="shared" si="4"/>
        <v>15184.930966</v>
      </c>
      <c r="R31" s="122">
        <f t="shared" si="4"/>
        <v>937354.26096599991</v>
      </c>
      <c r="S31" s="122">
        <f t="shared" si="4"/>
        <v>53035.918417620014</v>
      </c>
      <c r="T31" s="122">
        <f t="shared" si="4"/>
        <v>522128.97002038074</v>
      </c>
      <c r="U31" s="122">
        <f>SUM(U7:U30)</f>
        <v>1512519.1494040007</v>
      </c>
    </row>
    <row r="32" spans="1:21" x14ac:dyDescent="0.25">
      <c r="D32" s="115"/>
      <c r="F32" s="116"/>
      <c r="G32" s="116"/>
      <c r="H32" s="250"/>
      <c r="I32" s="250"/>
      <c r="J32" s="250"/>
      <c r="K32" s="250"/>
      <c r="L32" s="250"/>
      <c r="M32" s="116"/>
    </row>
    <row r="33" spans="1:21" x14ac:dyDescent="0.25">
      <c r="A33" s="112">
        <v>59</v>
      </c>
      <c r="B33" s="112" t="s">
        <v>675</v>
      </c>
      <c r="C33" s="115">
        <v>44531</v>
      </c>
      <c r="E33" s="112" t="s">
        <v>679</v>
      </c>
      <c r="F33" s="116">
        <v>3514</v>
      </c>
      <c r="G33" s="116">
        <v>123.25</v>
      </c>
      <c r="H33" s="250">
        <v>16379.25</v>
      </c>
      <c r="I33" s="250">
        <v>544.75</v>
      </c>
      <c r="J33" s="250">
        <v>17617.5</v>
      </c>
      <c r="K33" s="250">
        <f>324+109.25+23.75+4.5+76.75+7.5+4.5</f>
        <v>550.25</v>
      </c>
      <c r="L33" s="250">
        <v>19398.75</v>
      </c>
      <c r="M33" s="116">
        <v>603.5</v>
      </c>
      <c r="N33" s="117">
        <f t="shared" ref="N33:O47" si="5">SUM(F33,H33,J33,L33)</f>
        <v>56909.5</v>
      </c>
      <c r="O33" s="117">
        <f t="shared" si="5"/>
        <v>1821.75</v>
      </c>
      <c r="Q33" s="117">
        <v>0</v>
      </c>
      <c r="R33" s="117">
        <f t="shared" ref="R33:R52" si="6">N33+P33+Q33</f>
        <v>56909.5</v>
      </c>
      <c r="S33" s="117">
        <v>3983.6650000000004</v>
      </c>
      <c r="T33" s="117">
        <v>0</v>
      </c>
      <c r="U33" s="117">
        <f t="shared" ref="U33:U52" si="7">R33+S33+T33</f>
        <v>60893.165000000001</v>
      </c>
    </row>
    <row r="34" spans="1:21" x14ac:dyDescent="0.25">
      <c r="A34" s="112">
        <v>56</v>
      </c>
      <c r="B34" s="112" t="s">
        <v>675</v>
      </c>
      <c r="C34" s="115">
        <v>44218</v>
      </c>
      <c r="E34" s="112" t="s">
        <v>679</v>
      </c>
      <c r="F34" s="116">
        <v>4313.25</v>
      </c>
      <c r="G34" s="116">
        <v>160.5</v>
      </c>
      <c r="H34" s="250">
        <v>16019.26</v>
      </c>
      <c r="I34" s="250">
        <v>552.5</v>
      </c>
      <c r="J34" s="250">
        <v>18015</v>
      </c>
      <c r="K34" s="250">
        <f>402+96+0.5+88+6.25</f>
        <v>592.75</v>
      </c>
      <c r="L34" s="249">
        <v>17298.75</v>
      </c>
      <c r="M34" s="116">
        <f>576.25</f>
        <v>576.25</v>
      </c>
      <c r="N34" s="117">
        <f t="shared" si="5"/>
        <v>55646.26</v>
      </c>
      <c r="O34" s="117">
        <f t="shared" si="5"/>
        <v>1882</v>
      </c>
      <c r="Q34" s="117">
        <v>1611.2261000000001</v>
      </c>
      <c r="R34" s="117">
        <f t="shared" si="6"/>
        <v>57257.486100000002</v>
      </c>
      <c r="S34" s="117">
        <v>4008.0240270000004</v>
      </c>
      <c r="T34" s="117">
        <v>0</v>
      </c>
      <c r="U34" s="117">
        <f t="shared" si="7"/>
        <v>61265.510127000001</v>
      </c>
    </row>
    <row r="35" spans="1:21" x14ac:dyDescent="0.25">
      <c r="A35" s="112">
        <v>52</v>
      </c>
      <c r="B35" s="112" t="s">
        <v>677</v>
      </c>
      <c r="C35" s="115">
        <v>44333</v>
      </c>
      <c r="E35" s="112" t="s">
        <v>679</v>
      </c>
      <c r="F35" s="116">
        <v>481.25</v>
      </c>
      <c r="G35" s="116">
        <v>19.25</v>
      </c>
      <c r="H35" s="250">
        <v>875</v>
      </c>
      <c r="I35" s="250">
        <v>24</v>
      </c>
      <c r="J35" s="250">
        <v>450</v>
      </c>
      <c r="K35" s="250">
        <v>16.5</v>
      </c>
      <c r="L35" s="250">
        <v>125</v>
      </c>
      <c r="M35" s="116">
        <v>5</v>
      </c>
      <c r="N35" s="117">
        <f t="shared" si="5"/>
        <v>1931.25</v>
      </c>
      <c r="O35" s="117">
        <f t="shared" si="5"/>
        <v>64.75</v>
      </c>
      <c r="Q35" s="117">
        <v>0</v>
      </c>
      <c r="R35" s="117">
        <f t="shared" si="6"/>
        <v>1931.25</v>
      </c>
      <c r="S35" s="117">
        <v>386.25</v>
      </c>
      <c r="T35" s="117">
        <v>0</v>
      </c>
      <c r="U35" s="117">
        <f t="shared" si="7"/>
        <v>2317.5</v>
      </c>
    </row>
    <row r="36" spans="1:21" x14ac:dyDescent="0.25">
      <c r="A36" s="112">
        <v>51</v>
      </c>
      <c r="B36" s="112" t="s">
        <v>675</v>
      </c>
      <c r="C36" s="115">
        <v>44118</v>
      </c>
      <c r="E36" s="112" t="s">
        <v>679</v>
      </c>
      <c r="F36" s="116">
        <v>15589</v>
      </c>
      <c r="G36" s="116">
        <v>501.25</v>
      </c>
      <c r="H36" s="250">
        <v>13725.5</v>
      </c>
      <c r="I36" s="250">
        <v>422</v>
      </c>
      <c r="J36" s="250">
        <v>17651.25</v>
      </c>
      <c r="K36" s="250">
        <f>343.25+73.75+5.25+3.75+10.25+60+16.25+4+9.25</f>
        <v>525.75</v>
      </c>
      <c r="L36" s="250">
        <v>14002.5</v>
      </c>
      <c r="M36" s="116">
        <v>415.5</v>
      </c>
      <c r="N36" s="117">
        <f t="shared" si="5"/>
        <v>60968.25</v>
      </c>
      <c r="O36" s="117">
        <f t="shared" si="5"/>
        <v>1864.5</v>
      </c>
      <c r="Q36" s="117">
        <v>0</v>
      </c>
      <c r="R36" s="117">
        <f t="shared" si="6"/>
        <v>60968.25</v>
      </c>
      <c r="S36" s="117">
        <v>4267.7775000000001</v>
      </c>
      <c r="T36" s="117">
        <v>0</v>
      </c>
      <c r="U36" s="117">
        <f t="shared" si="7"/>
        <v>65236.027499999997</v>
      </c>
    </row>
    <row r="37" spans="1:21" x14ac:dyDescent="0.25">
      <c r="A37" s="112">
        <v>48</v>
      </c>
      <c r="B37" s="112" t="s">
        <v>675</v>
      </c>
      <c r="C37" s="115">
        <v>44453</v>
      </c>
      <c r="E37" s="112" t="s">
        <v>679</v>
      </c>
      <c r="F37" s="116">
        <v>14187.52</v>
      </c>
      <c r="G37" s="116">
        <v>510.25</v>
      </c>
      <c r="H37" s="249">
        <v>14211.88</v>
      </c>
      <c r="I37" s="250">
        <v>491.75</v>
      </c>
      <c r="J37" s="250">
        <v>17448.75</v>
      </c>
      <c r="K37" s="250">
        <f>374.5+73.5+7.5+4.25</f>
        <v>459.75</v>
      </c>
      <c r="L37" s="250">
        <v>16878.75</v>
      </c>
      <c r="M37" s="116">
        <v>557.25</v>
      </c>
      <c r="N37" s="117">
        <f t="shared" si="5"/>
        <v>62726.9</v>
      </c>
      <c r="O37" s="117">
        <f t="shared" si="5"/>
        <v>2019</v>
      </c>
      <c r="Q37" s="117">
        <v>0</v>
      </c>
      <c r="R37" s="117">
        <f t="shared" si="6"/>
        <v>62726.9</v>
      </c>
      <c r="S37" s="117">
        <v>4390.8830000000007</v>
      </c>
      <c r="T37" s="117">
        <v>0</v>
      </c>
      <c r="U37" s="117">
        <f t="shared" si="7"/>
        <v>67117.782999999996</v>
      </c>
    </row>
    <row r="38" spans="1:21" x14ac:dyDescent="0.25">
      <c r="A38" s="112">
        <v>45</v>
      </c>
      <c r="B38" s="112" t="s">
        <v>675</v>
      </c>
      <c r="C38" s="115">
        <v>42592</v>
      </c>
      <c r="E38" s="112" t="s">
        <v>679</v>
      </c>
      <c r="F38" s="116">
        <v>13391</v>
      </c>
      <c r="G38" s="116">
        <v>457.75</v>
      </c>
      <c r="H38" s="249">
        <v>14950.25</v>
      </c>
      <c r="I38" s="250">
        <v>487.25</v>
      </c>
      <c r="J38" s="250">
        <v>15037.5</v>
      </c>
      <c r="K38" s="250">
        <f>322.75+69.25+85.75+7</f>
        <v>484.75</v>
      </c>
      <c r="L38" s="250">
        <v>15105</v>
      </c>
      <c r="M38" s="116">
        <v>494.25</v>
      </c>
      <c r="N38" s="117">
        <f t="shared" si="5"/>
        <v>58483.75</v>
      </c>
      <c r="O38" s="117">
        <f t="shared" si="5"/>
        <v>1924</v>
      </c>
      <c r="Q38" s="117">
        <v>1676.8290000000002</v>
      </c>
      <c r="R38" s="117">
        <f t="shared" si="6"/>
        <v>60160.578999999998</v>
      </c>
      <c r="S38" s="117">
        <v>4211.24053</v>
      </c>
      <c r="T38" s="117">
        <v>0</v>
      </c>
      <c r="U38" s="117">
        <f t="shared" si="7"/>
        <v>64371.819530000001</v>
      </c>
    </row>
    <row r="39" spans="1:21" x14ac:dyDescent="0.25">
      <c r="A39" s="112">
        <v>29</v>
      </c>
      <c r="B39" s="112" t="s">
        <v>675</v>
      </c>
      <c r="C39" s="115">
        <v>44237</v>
      </c>
      <c r="E39" s="112" t="s">
        <v>679</v>
      </c>
      <c r="F39" s="116">
        <v>15907.5</v>
      </c>
      <c r="G39" s="116">
        <v>525.5</v>
      </c>
      <c r="H39" s="249">
        <v>15869.5</v>
      </c>
      <c r="I39" s="250">
        <v>487.5</v>
      </c>
      <c r="J39" s="250">
        <v>14295</v>
      </c>
      <c r="K39" s="250">
        <f>307.75+56.75+4.5+4.25+6+60.75</f>
        <v>440</v>
      </c>
      <c r="L39" s="250">
        <v>13046.25</v>
      </c>
      <c r="M39" s="116">
        <v>393</v>
      </c>
      <c r="N39" s="117">
        <f t="shared" si="5"/>
        <v>59118.25</v>
      </c>
      <c r="O39" s="117">
        <f t="shared" si="5"/>
        <v>1846</v>
      </c>
      <c r="Q39" s="117">
        <v>0</v>
      </c>
      <c r="R39" s="117">
        <f t="shared" si="6"/>
        <v>59118.25</v>
      </c>
      <c r="S39" s="117">
        <v>4138.2775000000001</v>
      </c>
      <c r="T39" s="117">
        <v>0</v>
      </c>
      <c r="U39" s="117">
        <f t="shared" si="7"/>
        <v>63256.527499999997</v>
      </c>
    </row>
    <row r="40" spans="1:21" x14ac:dyDescent="0.25">
      <c r="A40" s="112">
        <v>26</v>
      </c>
      <c r="B40" s="112" t="s">
        <v>677</v>
      </c>
      <c r="C40" s="115">
        <v>40290</v>
      </c>
      <c r="E40" s="112" t="s">
        <v>679</v>
      </c>
      <c r="F40" s="116">
        <v>0</v>
      </c>
      <c r="G40" s="116">
        <v>0</v>
      </c>
      <c r="H40" s="249">
        <v>700.36</v>
      </c>
      <c r="I40" s="250">
        <v>25</v>
      </c>
      <c r="J40" s="250">
        <v>701.25</v>
      </c>
      <c r="K40" s="250">
        <f>16+4.75+2</f>
        <v>22.75</v>
      </c>
      <c r="L40" s="250">
        <v>232.5</v>
      </c>
      <c r="M40" s="116">
        <v>7</v>
      </c>
      <c r="N40" s="117">
        <f t="shared" si="5"/>
        <v>1634.1100000000001</v>
      </c>
      <c r="O40" s="117">
        <f t="shared" si="5"/>
        <v>54.75</v>
      </c>
      <c r="Q40" s="117">
        <v>44.300200000000004</v>
      </c>
      <c r="R40" s="117">
        <f t="shared" si="6"/>
        <v>1678.4102</v>
      </c>
      <c r="S40" s="117">
        <v>117.48871400000002</v>
      </c>
      <c r="T40" s="117">
        <v>0</v>
      </c>
      <c r="U40" s="117">
        <f t="shared" si="7"/>
        <v>1795.8989140000001</v>
      </c>
    </row>
    <row r="41" spans="1:21" x14ac:dyDescent="0.25">
      <c r="A41" s="112">
        <v>24</v>
      </c>
      <c r="B41" s="112" t="s">
        <v>677</v>
      </c>
      <c r="C41" s="115">
        <v>44677</v>
      </c>
      <c r="E41" s="112" t="s">
        <v>679</v>
      </c>
      <c r="F41" s="116">
        <v>0</v>
      </c>
      <c r="G41" s="116">
        <v>0</v>
      </c>
      <c r="H41" s="250">
        <v>0</v>
      </c>
      <c r="I41" s="250">
        <v>0</v>
      </c>
      <c r="J41" s="250">
        <v>1245</v>
      </c>
      <c r="K41" s="250">
        <v>41.5</v>
      </c>
      <c r="L41" s="250">
        <v>255</v>
      </c>
      <c r="M41" s="116">
        <v>8</v>
      </c>
      <c r="N41" s="117">
        <f t="shared" si="5"/>
        <v>1500</v>
      </c>
      <c r="O41" s="117">
        <f t="shared" si="5"/>
        <v>49.5</v>
      </c>
      <c r="Q41" s="117">
        <v>0</v>
      </c>
      <c r="R41" s="117">
        <f t="shared" si="6"/>
        <v>1500</v>
      </c>
      <c r="S41" s="117">
        <v>0</v>
      </c>
      <c r="T41" s="117">
        <v>0</v>
      </c>
      <c r="U41" s="117">
        <f t="shared" si="7"/>
        <v>1500</v>
      </c>
    </row>
    <row r="42" spans="1:21" x14ac:dyDescent="0.25">
      <c r="A42" s="112">
        <v>20</v>
      </c>
      <c r="B42" s="112" t="s">
        <v>675</v>
      </c>
      <c r="C42" s="115">
        <v>44431</v>
      </c>
      <c r="E42" s="112" t="s">
        <v>679</v>
      </c>
      <c r="F42" s="116">
        <v>13547.84</v>
      </c>
      <c r="G42" s="116">
        <v>572.25</v>
      </c>
      <c r="H42" s="249">
        <v>14520.94</v>
      </c>
      <c r="I42" s="250">
        <v>510.75</v>
      </c>
      <c r="J42" s="250">
        <v>15603.75</v>
      </c>
      <c r="K42" s="250">
        <f>334+91+7.5+3.25+71.5</f>
        <v>507.25</v>
      </c>
      <c r="L42" s="250">
        <v>13710</v>
      </c>
      <c r="M42" s="116">
        <v>446.75</v>
      </c>
      <c r="N42" s="117">
        <f t="shared" si="5"/>
        <v>57382.53</v>
      </c>
      <c r="O42" s="117">
        <f t="shared" si="5"/>
        <v>2037</v>
      </c>
      <c r="Q42" s="117">
        <v>0</v>
      </c>
      <c r="R42" s="117">
        <f t="shared" si="6"/>
        <v>57382.53</v>
      </c>
      <c r="S42" s="117">
        <v>4016.7771000000002</v>
      </c>
      <c r="T42" s="117">
        <v>0</v>
      </c>
      <c r="U42" s="117">
        <f t="shared" si="7"/>
        <v>61399.307099999998</v>
      </c>
    </row>
    <row r="43" spans="1:21" x14ac:dyDescent="0.25">
      <c r="A43" s="112">
        <v>19</v>
      </c>
      <c r="B43" s="112" t="s">
        <v>675</v>
      </c>
      <c r="C43" s="115">
        <v>44453</v>
      </c>
      <c r="E43" s="112" t="s">
        <v>679</v>
      </c>
      <c r="F43" s="116">
        <v>17490.650000000001</v>
      </c>
      <c r="G43" s="116">
        <v>629.5</v>
      </c>
      <c r="H43" s="250">
        <v>15218.76</v>
      </c>
      <c r="I43" s="250">
        <v>503.25</v>
      </c>
      <c r="J43" s="250">
        <v>16567.5</v>
      </c>
      <c r="K43" s="250">
        <f>316.5+57.25+2+7.5+52+10.75+5+19</f>
        <v>470</v>
      </c>
      <c r="L43" s="250">
        <v>14718.75</v>
      </c>
      <c r="M43" s="116">
        <v>437</v>
      </c>
      <c r="N43" s="117">
        <f t="shared" si="5"/>
        <v>63995.66</v>
      </c>
      <c r="O43" s="117">
        <f t="shared" si="5"/>
        <v>2039.75</v>
      </c>
      <c r="Q43" s="117">
        <v>5461.8820000000014</v>
      </c>
      <c r="R43" s="117">
        <f t="shared" si="6"/>
        <v>69457.542000000001</v>
      </c>
      <c r="S43" s="117">
        <v>4862.0279400000009</v>
      </c>
      <c r="T43" s="117">
        <v>0</v>
      </c>
      <c r="U43" s="117">
        <f t="shared" si="7"/>
        <v>74319.569940000001</v>
      </c>
    </row>
    <row r="44" spans="1:21" x14ac:dyDescent="0.25">
      <c r="A44" s="112">
        <v>12</v>
      </c>
      <c r="B44" s="112" t="s">
        <v>675</v>
      </c>
      <c r="C44" s="115">
        <v>44348</v>
      </c>
      <c r="E44" s="112" t="s">
        <v>679</v>
      </c>
      <c r="F44" s="116">
        <v>19127.5</v>
      </c>
      <c r="G44" s="116">
        <v>598.75</v>
      </c>
      <c r="H44" s="249">
        <v>18726</v>
      </c>
      <c r="I44" s="250">
        <v>560.5</v>
      </c>
      <c r="J44" s="250">
        <v>20767.5</v>
      </c>
      <c r="K44" s="250">
        <f>340.88+95.5+11.25+5+22.75+102.75+21.5</f>
        <v>599.63</v>
      </c>
      <c r="L44" s="250">
        <v>17133.75</v>
      </c>
      <c r="M44" s="116">
        <v>498.5</v>
      </c>
      <c r="N44" s="117">
        <f t="shared" si="5"/>
        <v>75754.75</v>
      </c>
      <c r="O44" s="117">
        <f t="shared" si="5"/>
        <v>2257.38</v>
      </c>
      <c r="Q44" s="117">
        <v>0</v>
      </c>
      <c r="R44" s="117">
        <f t="shared" si="6"/>
        <v>75754.75</v>
      </c>
      <c r="S44" s="117">
        <v>5302.8325000000004</v>
      </c>
      <c r="T44" s="117">
        <v>0</v>
      </c>
      <c r="U44" s="117">
        <f t="shared" si="7"/>
        <v>81057.582500000004</v>
      </c>
    </row>
    <row r="45" spans="1:21" x14ac:dyDescent="0.25">
      <c r="A45" s="112">
        <v>11</v>
      </c>
      <c r="B45" s="112" t="s">
        <v>675</v>
      </c>
      <c r="C45" s="115">
        <v>44676</v>
      </c>
      <c r="E45" s="112" t="s">
        <v>679</v>
      </c>
      <c r="F45" s="116">
        <v>0</v>
      </c>
      <c r="G45" s="116">
        <v>0</v>
      </c>
      <c r="H45" s="250">
        <v>0</v>
      </c>
      <c r="I45" s="250">
        <v>0</v>
      </c>
      <c r="J45" s="250">
        <v>11900</v>
      </c>
      <c r="K45" s="250">
        <v>368.75</v>
      </c>
      <c r="L45" s="250">
        <v>18428.75</v>
      </c>
      <c r="M45" s="116">
        <v>590</v>
      </c>
      <c r="N45" s="117">
        <f t="shared" si="5"/>
        <v>30328.75</v>
      </c>
      <c r="O45" s="117">
        <f t="shared" si="5"/>
        <v>958.75</v>
      </c>
      <c r="Q45" s="117">
        <v>0</v>
      </c>
      <c r="R45" s="117">
        <f t="shared" si="6"/>
        <v>30328.75</v>
      </c>
      <c r="S45" s="117">
        <v>2123.0125000000003</v>
      </c>
      <c r="T45" s="117">
        <v>0</v>
      </c>
      <c r="U45" s="117">
        <f t="shared" si="7"/>
        <v>32451.762500000001</v>
      </c>
    </row>
    <row r="46" spans="1:21" x14ac:dyDescent="0.25">
      <c r="A46" s="112">
        <v>7</v>
      </c>
      <c r="B46" s="112" t="s">
        <v>677</v>
      </c>
      <c r="C46" s="115">
        <v>43313</v>
      </c>
      <c r="E46" s="112" t="s">
        <v>679</v>
      </c>
      <c r="F46" s="116">
        <v>2487.88</v>
      </c>
      <c r="G46" s="116">
        <v>211.18</v>
      </c>
      <c r="H46" s="250">
        <v>64.62</v>
      </c>
      <c r="I46" s="250">
        <v>2</v>
      </c>
      <c r="J46" s="250">
        <v>3540</v>
      </c>
      <c r="K46" s="250">
        <f>40.5+18+11.25+15.25</f>
        <v>85</v>
      </c>
      <c r="L46" s="250">
        <v>1751.25</v>
      </c>
      <c r="M46" s="116">
        <v>42.25</v>
      </c>
      <c r="N46" s="117">
        <f t="shared" si="5"/>
        <v>7843.75</v>
      </c>
      <c r="O46" s="117">
        <f t="shared" si="5"/>
        <v>340.43</v>
      </c>
      <c r="Q46" s="117">
        <v>0</v>
      </c>
      <c r="R46" s="117">
        <f t="shared" si="6"/>
        <v>7843.75</v>
      </c>
      <c r="S46" s="117">
        <v>549.0625</v>
      </c>
      <c r="T46" s="117">
        <v>0</v>
      </c>
      <c r="U46" s="117">
        <f t="shared" si="7"/>
        <v>8392.8125</v>
      </c>
    </row>
    <row r="47" spans="1:21" x14ac:dyDescent="0.25">
      <c r="A47" s="112">
        <v>35</v>
      </c>
      <c r="B47" s="112" t="s">
        <v>675</v>
      </c>
      <c r="C47" s="115">
        <v>44137</v>
      </c>
      <c r="E47" s="112" t="s">
        <v>680</v>
      </c>
      <c r="F47" s="116">
        <v>10797</v>
      </c>
      <c r="G47" s="116">
        <v>349.25</v>
      </c>
      <c r="H47" s="249">
        <v>15823</v>
      </c>
      <c r="I47" s="250">
        <v>478.75</v>
      </c>
      <c r="J47" s="250">
        <v>23962.5</v>
      </c>
      <c r="K47" s="250">
        <f>388.75+73+8.5+14+14+68+7+4</f>
        <v>577.25</v>
      </c>
      <c r="L47" s="250">
        <v>12960</v>
      </c>
      <c r="M47" s="116">
        <v>299.75</v>
      </c>
      <c r="N47" s="117">
        <f t="shared" si="5"/>
        <v>63542.5</v>
      </c>
      <c r="O47" s="117">
        <f t="shared" si="5"/>
        <v>1705</v>
      </c>
      <c r="Q47" s="117">
        <v>3556.0769999999998</v>
      </c>
      <c r="R47" s="117">
        <f t="shared" si="6"/>
        <v>67098.577000000005</v>
      </c>
      <c r="S47" s="117">
        <v>9729.2936649999992</v>
      </c>
      <c r="T47" s="117">
        <v>0</v>
      </c>
      <c r="U47" s="117">
        <f t="shared" si="7"/>
        <v>76827.870665000009</v>
      </c>
    </row>
    <row r="48" spans="1:21" s="227" customFormat="1" x14ac:dyDescent="0.25">
      <c r="A48" s="226">
        <v>63</v>
      </c>
      <c r="B48" s="227" t="s">
        <v>675</v>
      </c>
      <c r="C48" s="228">
        <v>44861</v>
      </c>
      <c r="D48" s="226"/>
      <c r="E48" s="226" t="s">
        <v>679</v>
      </c>
      <c r="Q48" s="229">
        <v>0</v>
      </c>
      <c r="R48" s="229">
        <f t="shared" si="6"/>
        <v>0</v>
      </c>
      <c r="S48" s="229">
        <v>0</v>
      </c>
      <c r="T48" s="229">
        <v>54000</v>
      </c>
      <c r="U48" s="229">
        <f t="shared" si="7"/>
        <v>54000</v>
      </c>
    </row>
    <row r="49" spans="1:22" s="227" customFormat="1" x14ac:dyDescent="0.25">
      <c r="A49" s="226">
        <v>67</v>
      </c>
      <c r="B49" s="227" t="s">
        <v>675</v>
      </c>
      <c r="C49" s="228">
        <v>44931</v>
      </c>
      <c r="D49" s="226"/>
      <c r="E49" s="226" t="s">
        <v>679</v>
      </c>
      <c r="Q49" s="229">
        <v>0</v>
      </c>
      <c r="R49" s="229">
        <f t="shared" si="6"/>
        <v>0</v>
      </c>
      <c r="S49" s="229">
        <v>0</v>
      </c>
      <c r="T49" s="229">
        <v>48600</v>
      </c>
      <c r="U49" s="229">
        <f t="shared" si="7"/>
        <v>48600</v>
      </c>
    </row>
    <row r="50" spans="1:22" x14ac:dyDescent="0.25">
      <c r="A50" s="112">
        <v>10</v>
      </c>
      <c r="B50" s="112" t="s">
        <v>677</v>
      </c>
      <c r="C50" s="115">
        <v>44788</v>
      </c>
      <c r="D50" s="115">
        <v>44819</v>
      </c>
      <c r="E50" s="112" t="s">
        <v>679</v>
      </c>
      <c r="F50" s="116">
        <v>0</v>
      </c>
      <c r="G50" s="116">
        <v>0</v>
      </c>
      <c r="H50" s="250">
        <v>0</v>
      </c>
      <c r="I50" s="250">
        <v>0</v>
      </c>
      <c r="J50" s="250">
        <v>0</v>
      </c>
      <c r="K50" s="250">
        <v>0</v>
      </c>
      <c r="L50" s="250">
        <v>6114.5</v>
      </c>
      <c r="M50" s="116">
        <v>204.5</v>
      </c>
      <c r="N50" s="117">
        <f t="shared" ref="N50:O52" si="8">SUM(F50,H50,J50,L50)</f>
        <v>6114.5</v>
      </c>
      <c r="O50" s="117">
        <f t="shared" si="8"/>
        <v>204.5</v>
      </c>
      <c r="P50" s="117">
        <f>-N50</f>
        <v>-6114.5</v>
      </c>
      <c r="Q50" s="117">
        <v>0</v>
      </c>
      <c r="R50" s="117">
        <f t="shared" si="6"/>
        <v>0</v>
      </c>
      <c r="S50" s="117">
        <v>0</v>
      </c>
      <c r="T50" s="117">
        <v>0</v>
      </c>
      <c r="U50" s="117">
        <f t="shared" si="7"/>
        <v>0</v>
      </c>
    </row>
    <row r="51" spans="1:22" x14ac:dyDescent="0.25">
      <c r="A51" s="112">
        <v>9</v>
      </c>
      <c r="B51" s="112" t="s">
        <v>675</v>
      </c>
      <c r="C51" s="115">
        <v>44137</v>
      </c>
      <c r="D51" s="115">
        <v>44835</v>
      </c>
      <c r="E51" s="112" t="s">
        <v>679</v>
      </c>
      <c r="F51" s="116">
        <v>15697.5</v>
      </c>
      <c r="G51" s="116">
        <v>536.5</v>
      </c>
      <c r="H51" s="249">
        <v>16252.25</v>
      </c>
      <c r="I51" s="250">
        <v>508.5</v>
      </c>
      <c r="J51" s="250">
        <v>16515</v>
      </c>
      <c r="K51" s="250">
        <f>345.25+95.25+96</f>
        <v>536.5</v>
      </c>
      <c r="L51" s="250">
        <v>16065</v>
      </c>
      <c r="M51" s="116">
        <v>518</v>
      </c>
      <c r="N51" s="117">
        <f t="shared" si="8"/>
        <v>64529.75</v>
      </c>
      <c r="O51" s="117">
        <f t="shared" si="8"/>
        <v>2099.5</v>
      </c>
      <c r="P51" s="117">
        <f t="shared" ref="P51:P52" si="9">-N51</f>
        <v>-64529.75</v>
      </c>
      <c r="Q51" s="117">
        <v>0</v>
      </c>
      <c r="R51" s="117">
        <f t="shared" si="6"/>
        <v>0</v>
      </c>
      <c r="S51" s="117">
        <v>0</v>
      </c>
      <c r="T51" s="117">
        <v>0</v>
      </c>
      <c r="U51" s="117">
        <f t="shared" si="7"/>
        <v>0</v>
      </c>
    </row>
    <row r="52" spans="1:22" x14ac:dyDescent="0.25">
      <c r="A52" s="112">
        <v>23</v>
      </c>
      <c r="B52" s="112" t="s">
        <v>675</v>
      </c>
      <c r="C52" s="115">
        <v>44698</v>
      </c>
      <c r="D52" s="115">
        <v>44897</v>
      </c>
      <c r="E52" s="112" t="s">
        <v>679</v>
      </c>
      <c r="F52" s="116">
        <v>0</v>
      </c>
      <c r="G52" s="116">
        <v>0</v>
      </c>
      <c r="H52" s="250">
        <v>0</v>
      </c>
      <c r="I52" s="250">
        <v>0</v>
      </c>
      <c r="J52" s="250">
        <v>4973.5</v>
      </c>
      <c r="K52" s="250">
        <v>175</v>
      </c>
      <c r="L52" s="250">
        <v>12593</v>
      </c>
      <c r="M52" s="116">
        <v>438</v>
      </c>
      <c r="N52" s="117">
        <f t="shared" si="8"/>
        <v>17566.5</v>
      </c>
      <c r="O52" s="117">
        <f t="shared" si="8"/>
        <v>613</v>
      </c>
      <c r="P52" s="117">
        <f t="shared" si="9"/>
        <v>-17566.5</v>
      </c>
      <c r="Q52" s="117">
        <v>0</v>
      </c>
      <c r="R52" s="117">
        <f t="shared" si="6"/>
        <v>0</v>
      </c>
      <c r="S52" s="117">
        <v>0</v>
      </c>
      <c r="T52" s="117">
        <v>0</v>
      </c>
      <c r="U52" s="117">
        <f t="shared" si="7"/>
        <v>0</v>
      </c>
    </row>
    <row r="53" spans="1:22" s="113" customFormat="1" x14ac:dyDescent="0.25">
      <c r="C53" s="119" t="s">
        <v>681</v>
      </c>
      <c r="D53" s="120"/>
      <c r="F53" s="121">
        <f>SUM(F33:F52)</f>
        <v>146531.89000000001</v>
      </c>
      <c r="G53" s="121"/>
      <c r="H53" s="253">
        <f>SUM(H33:H52)</f>
        <v>173336.57</v>
      </c>
      <c r="I53" s="253"/>
      <c r="J53" s="253">
        <f>SUM(J33:J52)</f>
        <v>216291</v>
      </c>
      <c r="K53" s="253"/>
      <c r="L53" s="253">
        <f>SUM(L33:L52)</f>
        <v>209817.5</v>
      </c>
      <c r="M53" s="121"/>
      <c r="N53" s="122">
        <f>SUM(N33:N52)</f>
        <v>745976.96000000008</v>
      </c>
      <c r="O53" s="122">
        <f>SUM(O33:O52)</f>
        <v>23781.56</v>
      </c>
      <c r="P53" s="122">
        <f t="shared" ref="P53:U53" si="10">SUM(P33:P52)</f>
        <v>-88210.75</v>
      </c>
      <c r="Q53" s="122">
        <f t="shared" si="10"/>
        <v>12350.314300000002</v>
      </c>
      <c r="R53" s="122">
        <f t="shared" si="10"/>
        <v>670116.52430000005</v>
      </c>
      <c r="S53" s="122">
        <f t="shared" si="10"/>
        <v>52086.612476000002</v>
      </c>
      <c r="T53" s="122">
        <f t="shared" si="10"/>
        <v>102600</v>
      </c>
      <c r="U53" s="122">
        <f t="shared" si="10"/>
        <v>824803.13677599991</v>
      </c>
    </row>
    <row r="54" spans="1:22" x14ac:dyDescent="0.25">
      <c r="C54" s="115"/>
      <c r="F54" s="116"/>
      <c r="G54" s="116"/>
      <c r="H54" s="123"/>
      <c r="I54" s="250"/>
      <c r="J54" s="250"/>
      <c r="K54" s="250"/>
      <c r="L54" s="250"/>
      <c r="M54" s="116"/>
    </row>
    <row r="55" spans="1:22" x14ac:dyDescent="0.25">
      <c r="A55" s="112">
        <v>27</v>
      </c>
      <c r="B55" s="112" t="s">
        <v>675</v>
      </c>
      <c r="C55" s="115">
        <v>41414</v>
      </c>
      <c r="E55" s="112" t="s">
        <v>682</v>
      </c>
      <c r="F55" s="116">
        <v>17165</v>
      </c>
      <c r="G55" s="116">
        <v>565.75</v>
      </c>
      <c r="H55" s="250">
        <v>16215</v>
      </c>
      <c r="I55" s="250">
        <v>531</v>
      </c>
      <c r="J55" s="250">
        <v>14197.5</v>
      </c>
      <c r="K55" s="250">
        <f>310.5+84.5+4.25+9.25+71.5</f>
        <v>480</v>
      </c>
      <c r="L55" s="250">
        <v>16188.75</v>
      </c>
      <c r="M55" s="116">
        <v>539.25</v>
      </c>
      <c r="N55" s="117">
        <f t="shared" ref="N55:O59" si="11">SUM(F55,H55,J55,L55)</f>
        <v>63766.25</v>
      </c>
      <c r="O55" s="117">
        <f t="shared" si="11"/>
        <v>2116</v>
      </c>
      <c r="Q55" s="117">
        <v>1957.0250000000001</v>
      </c>
      <c r="R55" s="117">
        <f t="shared" ref="R55:R59" si="12">N55+P55+Q55</f>
        <v>65723.274999999994</v>
      </c>
      <c r="S55" s="117">
        <v>4600.62925</v>
      </c>
      <c r="T55" s="117">
        <v>0</v>
      </c>
      <c r="U55" s="117">
        <f t="shared" ref="U55:U59" si="13">R55+S55+T55</f>
        <v>70323.904249999992</v>
      </c>
    </row>
    <row r="56" spans="1:22" x14ac:dyDescent="0.25">
      <c r="A56" s="112">
        <v>25</v>
      </c>
      <c r="B56" s="112" t="s">
        <v>675</v>
      </c>
      <c r="C56" s="115">
        <v>44718</v>
      </c>
      <c r="E56" s="112" t="s">
        <v>682</v>
      </c>
      <c r="F56" s="116">
        <v>0</v>
      </c>
      <c r="G56" s="116">
        <v>0</v>
      </c>
      <c r="H56" s="250">
        <v>0</v>
      </c>
      <c r="I56" s="250">
        <v>0</v>
      </c>
      <c r="J56" s="250">
        <v>200</v>
      </c>
      <c r="K56" s="250">
        <v>8</v>
      </c>
      <c r="L56" s="249">
        <v>10365.629999999999</v>
      </c>
      <c r="M56" s="116">
        <v>412.75</v>
      </c>
      <c r="N56" s="117">
        <f t="shared" si="11"/>
        <v>10565.63</v>
      </c>
      <c r="O56" s="117">
        <f t="shared" si="11"/>
        <v>420.75</v>
      </c>
      <c r="Q56" s="117">
        <v>0</v>
      </c>
      <c r="R56" s="117">
        <f t="shared" si="12"/>
        <v>10565.63</v>
      </c>
      <c r="S56" s="117">
        <v>1479.1882000000001</v>
      </c>
      <c r="T56" s="117">
        <v>37648.296559714792</v>
      </c>
      <c r="U56" s="117">
        <f>R56+S56+T56</f>
        <v>49693.114759714794</v>
      </c>
    </row>
    <row r="57" spans="1:22" x14ac:dyDescent="0.25">
      <c r="A57" s="112">
        <v>22</v>
      </c>
      <c r="B57" s="112" t="s">
        <v>675</v>
      </c>
      <c r="C57" s="115">
        <v>41410</v>
      </c>
      <c r="E57" s="112" t="s">
        <v>682</v>
      </c>
      <c r="F57" s="116">
        <v>15815.96</v>
      </c>
      <c r="G57" s="116">
        <v>570.5</v>
      </c>
      <c r="H57" s="249">
        <v>15922.83</v>
      </c>
      <c r="I57" s="250">
        <v>554.75</v>
      </c>
      <c r="J57" s="250">
        <v>18423.75</v>
      </c>
      <c r="K57" s="250">
        <f>398.75+102.5+92.5+7.75+6</f>
        <v>607.5</v>
      </c>
      <c r="L57" s="250">
        <v>17325</v>
      </c>
      <c r="M57" s="116">
        <v>576</v>
      </c>
      <c r="N57" s="117">
        <f t="shared" si="11"/>
        <v>67487.540000000008</v>
      </c>
      <c r="O57" s="117">
        <f t="shared" si="11"/>
        <v>2308.75</v>
      </c>
      <c r="Q57" s="117">
        <v>2416.0120109999998</v>
      </c>
      <c r="R57" s="117">
        <f t="shared" si="12"/>
        <v>69903.552011000007</v>
      </c>
      <c r="S57" s="117">
        <v>4893.2486407699998</v>
      </c>
      <c r="T57" s="117">
        <v>0</v>
      </c>
      <c r="U57" s="117">
        <f t="shared" si="13"/>
        <v>74796.800651770012</v>
      </c>
    </row>
    <row r="58" spans="1:22" x14ac:dyDescent="0.25">
      <c r="A58" s="112">
        <v>21</v>
      </c>
      <c r="B58" s="112" t="s">
        <v>675</v>
      </c>
      <c r="C58" s="115">
        <v>44249</v>
      </c>
      <c r="E58" s="112" t="s">
        <v>682</v>
      </c>
      <c r="F58" s="116">
        <v>18453.75</v>
      </c>
      <c r="G58" s="116">
        <v>612.75</v>
      </c>
      <c r="H58" s="249">
        <v>21674.98</v>
      </c>
      <c r="I58" s="250">
        <v>679.5</v>
      </c>
      <c r="J58" s="250">
        <v>19344.27</v>
      </c>
      <c r="K58" s="250">
        <f>400.5+95.75+11.25+92.25</f>
        <v>599.75</v>
      </c>
      <c r="L58" s="250">
        <v>19520.82</v>
      </c>
      <c r="M58" s="116">
        <v>606.5</v>
      </c>
      <c r="N58" s="117">
        <f t="shared" si="11"/>
        <v>78993.820000000007</v>
      </c>
      <c r="O58" s="117">
        <f t="shared" si="11"/>
        <v>2498.5</v>
      </c>
      <c r="Q58" s="117">
        <v>2316.2125000000001</v>
      </c>
      <c r="R58" s="117">
        <f t="shared" si="12"/>
        <v>81310.032500000001</v>
      </c>
      <c r="S58" s="117">
        <v>5691.7022750000006</v>
      </c>
      <c r="T58" s="117">
        <v>0</v>
      </c>
      <c r="U58" s="117">
        <f t="shared" si="13"/>
        <v>87001.734775000004</v>
      </c>
    </row>
    <row r="59" spans="1:22" x14ac:dyDescent="0.25">
      <c r="A59" s="112">
        <v>18</v>
      </c>
      <c r="B59" s="112" t="s">
        <v>675</v>
      </c>
      <c r="C59" s="115">
        <v>43753</v>
      </c>
      <c r="E59" s="112" t="s">
        <v>682</v>
      </c>
      <c r="F59" s="116">
        <v>20000.04</v>
      </c>
      <c r="G59" s="116">
        <v>480</v>
      </c>
      <c r="H59" s="249">
        <v>20833.36</v>
      </c>
      <c r="I59" s="250">
        <v>480</v>
      </c>
      <c r="J59" s="250">
        <v>22500</v>
      </c>
      <c r="K59" s="250">
        <v>480</v>
      </c>
      <c r="L59" s="250">
        <v>22500</v>
      </c>
      <c r="M59" s="116">
        <v>480</v>
      </c>
      <c r="N59" s="117">
        <f t="shared" si="11"/>
        <v>85833.4</v>
      </c>
      <c r="O59" s="117">
        <f t="shared" si="11"/>
        <v>1920</v>
      </c>
      <c r="Q59" s="117">
        <v>4166.6750000000002</v>
      </c>
      <c r="R59" s="117">
        <f t="shared" si="12"/>
        <v>90000.074999999997</v>
      </c>
      <c r="S59" s="117">
        <v>6300.0052500000011</v>
      </c>
      <c r="T59" s="117">
        <v>0</v>
      </c>
      <c r="U59" s="117">
        <f t="shared" si="13"/>
        <v>96300.080249999999</v>
      </c>
    </row>
    <row r="60" spans="1:22" s="113" customFormat="1" x14ac:dyDescent="0.25">
      <c r="C60" s="119" t="s">
        <v>683</v>
      </c>
      <c r="F60" s="121">
        <f>SUM(F55:F59)</f>
        <v>71434.75</v>
      </c>
      <c r="G60" s="121"/>
      <c r="H60" s="253">
        <f>SUM(H55:H59)</f>
        <v>74646.17</v>
      </c>
      <c r="I60" s="253"/>
      <c r="J60" s="253">
        <f>SUM(J55:J59)</f>
        <v>74665.52</v>
      </c>
      <c r="K60" s="253"/>
      <c r="L60" s="253">
        <f>SUM(L55:L59)</f>
        <v>85900.2</v>
      </c>
      <c r="M60" s="121"/>
      <c r="N60" s="122">
        <f>SUM(N55:N59)</f>
        <v>306646.64</v>
      </c>
      <c r="O60" s="122">
        <f>SUM(O55:O59)</f>
        <v>9264</v>
      </c>
      <c r="P60" s="122">
        <f t="shared" ref="P60:U60" si="14">SUM(P55:P59)</f>
        <v>0</v>
      </c>
      <c r="Q60" s="122">
        <f t="shared" si="14"/>
        <v>10855.924511000001</v>
      </c>
      <c r="R60" s="122">
        <f t="shared" si="14"/>
        <v>317502.564511</v>
      </c>
      <c r="S60" s="122">
        <f t="shared" si="14"/>
        <v>22964.773615770002</v>
      </c>
      <c r="T60" s="122">
        <f t="shared" si="14"/>
        <v>37648.296559714792</v>
      </c>
      <c r="U60" s="122">
        <f t="shared" si="14"/>
        <v>378115.63468648482</v>
      </c>
      <c r="V60" s="121"/>
    </row>
    <row r="61" spans="1:22" x14ac:dyDescent="0.25">
      <c r="C61" s="115"/>
      <c r="D61" s="115"/>
      <c r="F61" s="116"/>
      <c r="G61" s="116"/>
      <c r="H61" s="250"/>
      <c r="I61" s="250"/>
      <c r="J61" s="250"/>
      <c r="K61" s="250"/>
      <c r="L61" s="250"/>
      <c r="M61" s="116"/>
    </row>
    <row r="62" spans="1:22" x14ac:dyDescent="0.25">
      <c r="A62" s="112">
        <v>38</v>
      </c>
      <c r="B62" s="112" t="s">
        <v>675</v>
      </c>
      <c r="C62" s="115">
        <v>43024</v>
      </c>
      <c r="E62" s="112" t="s">
        <v>684</v>
      </c>
      <c r="F62" s="116">
        <v>15000</v>
      </c>
      <c r="G62" s="116">
        <v>480</v>
      </c>
      <c r="H62" s="250">
        <v>15350</v>
      </c>
      <c r="I62" s="250">
        <v>480</v>
      </c>
      <c r="J62" s="250">
        <v>16050</v>
      </c>
      <c r="K62" s="250">
        <v>480</v>
      </c>
      <c r="L62" s="250">
        <v>16050</v>
      </c>
      <c r="M62" s="116">
        <v>480</v>
      </c>
      <c r="N62" s="117">
        <f t="shared" ref="N62:O68" si="15">SUM(F62,H62,J62,L62)</f>
        <v>62450</v>
      </c>
      <c r="O62" s="117">
        <f t="shared" si="15"/>
        <v>1920</v>
      </c>
      <c r="Q62" s="117">
        <v>1750.0000000000002</v>
      </c>
      <c r="R62" s="117">
        <f t="shared" ref="R62:R68" si="16">N62+P62+Q62</f>
        <v>64200</v>
      </c>
      <c r="S62" s="117">
        <v>4494</v>
      </c>
      <c r="T62" s="117">
        <v>0</v>
      </c>
      <c r="U62" s="117">
        <f t="shared" ref="U62:U68" si="17">R62+S62+T62</f>
        <v>68694</v>
      </c>
    </row>
    <row r="63" spans="1:22" x14ac:dyDescent="0.25">
      <c r="A63" s="112">
        <v>8</v>
      </c>
      <c r="B63" s="112" t="s">
        <v>675</v>
      </c>
      <c r="C63" s="115">
        <v>38722</v>
      </c>
      <c r="E63" s="112" t="s">
        <v>684</v>
      </c>
      <c r="F63" s="116">
        <v>20500.02</v>
      </c>
      <c r="G63" s="116">
        <v>480</v>
      </c>
      <c r="H63" s="249">
        <v>21478.36</v>
      </c>
      <c r="I63" s="250">
        <v>480</v>
      </c>
      <c r="J63" s="250">
        <v>21935.040000000001</v>
      </c>
      <c r="K63" s="250">
        <v>480</v>
      </c>
      <c r="L63" s="250">
        <v>21935.040000000001</v>
      </c>
      <c r="M63" s="116">
        <v>480</v>
      </c>
      <c r="N63" s="117">
        <f t="shared" si="15"/>
        <v>85848.46</v>
      </c>
      <c r="O63" s="117">
        <f t="shared" si="15"/>
        <v>1920</v>
      </c>
      <c r="Q63" s="117">
        <v>2391.6606000000002</v>
      </c>
      <c r="R63" s="117">
        <f t="shared" si="16"/>
        <v>88240.120600000009</v>
      </c>
      <c r="S63" s="117">
        <v>6176.8084420000023</v>
      </c>
      <c r="T63" s="117">
        <v>0</v>
      </c>
      <c r="U63" s="117">
        <f t="shared" si="17"/>
        <v>94416.929042000018</v>
      </c>
    </row>
    <row r="64" spans="1:22" x14ac:dyDescent="0.25">
      <c r="A64" s="112">
        <v>3</v>
      </c>
      <c r="B64" s="112" t="s">
        <v>675</v>
      </c>
      <c r="C64" s="115">
        <v>43640</v>
      </c>
      <c r="E64" s="112" t="s">
        <v>684</v>
      </c>
      <c r="F64" s="116">
        <v>18125.04</v>
      </c>
      <c r="G64" s="116">
        <v>480</v>
      </c>
      <c r="H64" s="250">
        <v>18547.96</v>
      </c>
      <c r="I64" s="250">
        <v>480</v>
      </c>
      <c r="J64" s="250">
        <v>19393.8</v>
      </c>
      <c r="K64" s="250">
        <v>480</v>
      </c>
      <c r="L64" s="250">
        <v>19393.8</v>
      </c>
      <c r="M64" s="116">
        <v>480</v>
      </c>
      <c r="N64" s="117">
        <f t="shared" si="15"/>
        <v>75460.600000000006</v>
      </c>
      <c r="O64" s="117">
        <f t="shared" si="15"/>
        <v>1920</v>
      </c>
      <c r="Q64" s="117">
        <v>2114.5880000000002</v>
      </c>
      <c r="R64" s="117">
        <f t="shared" si="16"/>
        <v>77575.188000000009</v>
      </c>
      <c r="S64" s="117">
        <v>5430.2631600000013</v>
      </c>
      <c r="T64" s="117">
        <v>0</v>
      </c>
      <c r="U64" s="117">
        <f t="shared" si="17"/>
        <v>83005.451160000011</v>
      </c>
    </row>
    <row r="65" spans="1:21" x14ac:dyDescent="0.25">
      <c r="A65" s="112">
        <v>2</v>
      </c>
      <c r="B65" s="112" t="s">
        <v>677</v>
      </c>
      <c r="C65" s="115">
        <v>43405</v>
      </c>
      <c r="E65" s="112" t="s">
        <v>684</v>
      </c>
      <c r="F65" s="116">
        <v>0</v>
      </c>
      <c r="G65" s="116">
        <v>0</v>
      </c>
      <c r="H65" s="250">
        <v>15237.14</v>
      </c>
      <c r="I65" s="250">
        <v>364.5</v>
      </c>
      <c r="J65" s="250">
        <v>5317.82</v>
      </c>
      <c r="K65" s="250">
        <f>160+91.75+6.75</f>
        <v>258.5</v>
      </c>
      <c r="L65" s="250">
        <v>0</v>
      </c>
      <c r="M65" s="116">
        <v>0</v>
      </c>
      <c r="N65" s="117">
        <f t="shared" si="15"/>
        <v>20554.96</v>
      </c>
      <c r="O65" s="117">
        <f t="shared" si="15"/>
        <v>623</v>
      </c>
      <c r="Q65" s="117">
        <v>0</v>
      </c>
      <c r="R65" s="117">
        <f t="shared" si="16"/>
        <v>20554.96</v>
      </c>
      <c r="S65" s="117">
        <v>0</v>
      </c>
      <c r="T65" s="117">
        <v>0</v>
      </c>
      <c r="U65" s="117">
        <f t="shared" si="17"/>
        <v>20554.96</v>
      </c>
    </row>
    <row r="66" spans="1:21" x14ac:dyDescent="0.25">
      <c r="A66" s="112">
        <v>41</v>
      </c>
      <c r="B66" s="112" t="s">
        <v>675</v>
      </c>
      <c r="C66" s="115">
        <v>32748</v>
      </c>
      <c r="E66" s="112" t="s">
        <v>684</v>
      </c>
      <c r="F66" s="116">
        <v>25350</v>
      </c>
      <c r="G66" s="116">
        <v>507</v>
      </c>
      <c r="H66" s="249">
        <v>25350</v>
      </c>
      <c r="I66" s="250">
        <v>507</v>
      </c>
      <c r="J66" s="250">
        <v>25350</v>
      </c>
      <c r="K66" s="250">
        <v>507</v>
      </c>
      <c r="L66" s="250">
        <v>25350</v>
      </c>
      <c r="M66" s="116">
        <v>507</v>
      </c>
      <c r="N66" s="117">
        <f>SUM(F66,H66,J66,L66)</f>
        <v>101400</v>
      </c>
      <c r="O66" s="117">
        <f>SUM(G66,I66,K66,M66)</f>
        <v>2028</v>
      </c>
      <c r="Q66" s="117">
        <v>0</v>
      </c>
      <c r="R66" s="117">
        <f t="shared" si="16"/>
        <v>101400</v>
      </c>
      <c r="S66" s="117">
        <v>0</v>
      </c>
      <c r="T66" s="117">
        <v>0</v>
      </c>
      <c r="U66" s="117">
        <f t="shared" si="17"/>
        <v>101400</v>
      </c>
    </row>
    <row r="67" spans="1:21" s="227" customFormat="1" x14ac:dyDescent="0.25">
      <c r="A67" s="226">
        <v>68</v>
      </c>
      <c r="B67" s="227" t="s">
        <v>675</v>
      </c>
      <c r="C67" s="228">
        <v>44907</v>
      </c>
      <c r="D67" s="226"/>
      <c r="E67" s="226" t="s">
        <v>684</v>
      </c>
      <c r="Q67" s="229">
        <v>0</v>
      </c>
      <c r="R67" s="229">
        <f t="shared" si="16"/>
        <v>0</v>
      </c>
      <c r="S67" s="229">
        <v>0</v>
      </c>
      <c r="T67" s="229">
        <v>54000</v>
      </c>
      <c r="U67" s="229">
        <f t="shared" si="17"/>
        <v>54000</v>
      </c>
    </row>
    <row r="68" spans="1:21" x14ac:dyDescent="0.25">
      <c r="A68" s="112">
        <v>47</v>
      </c>
      <c r="B68" s="112" t="s">
        <v>677</v>
      </c>
      <c r="C68" s="115">
        <v>44333</v>
      </c>
      <c r="D68" s="115">
        <v>44598</v>
      </c>
      <c r="E68" s="112" t="s">
        <v>684</v>
      </c>
      <c r="F68" s="116">
        <v>13222.13</v>
      </c>
      <c r="G68" s="116">
        <v>546.75</v>
      </c>
      <c r="H68" s="250">
        <v>8268.5</v>
      </c>
      <c r="I68" s="250">
        <v>327</v>
      </c>
      <c r="J68" s="250">
        <v>0</v>
      </c>
      <c r="K68" s="250">
        <v>0</v>
      </c>
      <c r="L68" s="250">
        <v>0</v>
      </c>
      <c r="M68" s="116">
        <v>0</v>
      </c>
      <c r="N68" s="117">
        <f t="shared" si="15"/>
        <v>21490.629999999997</v>
      </c>
      <c r="O68" s="117">
        <f t="shared" si="15"/>
        <v>873.75</v>
      </c>
      <c r="P68" s="117">
        <f>-N68</f>
        <v>-21490.629999999997</v>
      </c>
      <c r="Q68" s="117">
        <v>0</v>
      </c>
      <c r="R68" s="117">
        <f t="shared" si="16"/>
        <v>0</v>
      </c>
      <c r="S68" s="117">
        <v>0</v>
      </c>
      <c r="T68" s="117">
        <v>0</v>
      </c>
      <c r="U68" s="117">
        <f t="shared" si="17"/>
        <v>0</v>
      </c>
    </row>
    <row r="69" spans="1:21" s="113" customFormat="1" x14ac:dyDescent="0.25">
      <c r="C69" s="119" t="s">
        <v>685</v>
      </c>
      <c r="D69" s="120"/>
      <c r="F69" s="121">
        <f>SUM(F62:F68)</f>
        <v>92197.19</v>
      </c>
      <c r="G69" s="121"/>
      <c r="H69" s="253">
        <f>SUM(H62:H68)</f>
        <v>104231.95999999999</v>
      </c>
      <c r="I69" s="253"/>
      <c r="J69" s="253">
        <f>SUM(J62:J68)</f>
        <v>88046.66</v>
      </c>
      <c r="K69" s="253"/>
      <c r="L69" s="253">
        <f>SUM(L62:L68)</f>
        <v>82728.84</v>
      </c>
      <c r="M69" s="121"/>
      <c r="N69" s="122">
        <f>SUM(N62:N68)</f>
        <v>367204.65</v>
      </c>
      <c r="O69" s="122">
        <f>SUM(O62:O68)</f>
        <v>9284.75</v>
      </c>
      <c r="P69" s="122">
        <f t="shared" ref="P69:U69" si="18">SUM(P62:P68)</f>
        <v>-21490.629999999997</v>
      </c>
      <c r="Q69" s="122">
        <f t="shared" si="18"/>
        <v>6256.2486000000008</v>
      </c>
      <c r="R69" s="122">
        <f t="shared" si="18"/>
        <v>351970.26860000007</v>
      </c>
      <c r="S69" s="122">
        <f t="shared" si="18"/>
        <v>16101.071602000004</v>
      </c>
      <c r="T69" s="122">
        <f t="shared" si="18"/>
        <v>54000</v>
      </c>
      <c r="U69" s="122">
        <f t="shared" si="18"/>
        <v>422071.34020200005</v>
      </c>
    </row>
    <row r="70" spans="1:21" s="113" customFormat="1" x14ac:dyDescent="0.25">
      <c r="C70" s="120"/>
      <c r="D70" s="120"/>
      <c r="F70" s="121"/>
      <c r="G70" s="121"/>
      <c r="H70" s="253"/>
      <c r="I70" s="253"/>
      <c r="J70" s="253"/>
      <c r="K70" s="253"/>
      <c r="L70" s="253"/>
      <c r="M70" s="121"/>
      <c r="N70" s="122"/>
      <c r="O70" s="122"/>
    </row>
    <row r="71" spans="1:21" s="113" customFormat="1" x14ac:dyDescent="0.25">
      <c r="C71" s="119" t="s">
        <v>686</v>
      </c>
      <c r="D71" s="120"/>
      <c r="F71" s="121">
        <f>F31+F53+F60+F69</f>
        <v>592763.44000000006</v>
      </c>
      <c r="G71" s="121"/>
      <c r="H71" s="253">
        <f>H31+H53+H60+H69</f>
        <v>646204.64</v>
      </c>
      <c r="I71" s="253"/>
      <c r="J71" s="253">
        <f>J31+J53+J60+J69</f>
        <v>643363.26</v>
      </c>
      <c r="K71" s="253"/>
      <c r="L71" s="253">
        <f>L31+L53+L60+L69</f>
        <v>630678.7699999999</v>
      </c>
      <c r="M71" s="121"/>
      <c r="N71" s="121">
        <f>N31+N53+N60+N69</f>
        <v>2513010.11</v>
      </c>
      <c r="O71" s="121">
        <f t="shared" ref="O71:U71" si="19">O31+O53+O60+O69</f>
        <v>64285.56</v>
      </c>
      <c r="P71" s="235">
        <f t="shared" si="19"/>
        <v>-280713.90999999997</v>
      </c>
      <c r="Q71" s="235">
        <f t="shared" si="19"/>
        <v>44647.418377000002</v>
      </c>
      <c r="R71" s="121">
        <f t="shared" si="19"/>
        <v>2276943.6183770001</v>
      </c>
      <c r="S71" s="235">
        <f t="shared" si="19"/>
        <v>144188.37611139001</v>
      </c>
      <c r="T71" s="235">
        <f t="shared" si="19"/>
        <v>716377.26658009563</v>
      </c>
      <c r="U71" s="121">
        <f t="shared" si="19"/>
        <v>3137509.2610684857</v>
      </c>
    </row>
    <row r="72" spans="1:21" x14ac:dyDescent="0.25">
      <c r="C72" s="115"/>
      <c r="D72" s="115"/>
      <c r="F72" s="116"/>
      <c r="G72" s="116"/>
      <c r="H72" s="250"/>
      <c r="I72" s="250"/>
      <c r="J72" s="250"/>
      <c r="K72" s="250"/>
      <c r="L72" s="250"/>
      <c r="M72" s="116"/>
      <c r="P72" s="243" t="s">
        <v>311</v>
      </c>
      <c r="Q72" s="243" t="s">
        <v>312</v>
      </c>
      <c r="S72" s="243" t="s">
        <v>326</v>
      </c>
      <c r="T72" s="243" t="s">
        <v>327</v>
      </c>
    </row>
    <row r="73" spans="1:21" x14ac:dyDescent="0.25">
      <c r="C73" s="115"/>
      <c r="D73" s="115"/>
      <c r="F73" s="116"/>
      <c r="G73" s="116"/>
      <c r="H73" s="250"/>
      <c r="I73" s="250"/>
      <c r="J73" s="250"/>
      <c r="K73" s="250"/>
      <c r="L73" s="250"/>
      <c r="M73" s="116"/>
      <c r="P73" s="124"/>
      <c r="Q73" s="124"/>
      <c r="S73" s="124"/>
      <c r="T73" s="124"/>
    </row>
    <row r="74" spans="1:21" x14ac:dyDescent="0.25">
      <c r="A74" s="112">
        <v>57</v>
      </c>
      <c r="B74" s="112" t="s">
        <v>675</v>
      </c>
      <c r="C74" s="115">
        <v>42170</v>
      </c>
      <c r="E74" s="112" t="s">
        <v>687</v>
      </c>
      <c r="F74" s="116">
        <v>12500.04</v>
      </c>
      <c r="G74" s="116">
        <v>480</v>
      </c>
      <c r="H74" s="249">
        <v>12791.7</v>
      </c>
      <c r="I74" s="250">
        <v>480</v>
      </c>
      <c r="J74" s="250">
        <v>13375.02</v>
      </c>
      <c r="K74" s="250">
        <v>480</v>
      </c>
      <c r="L74" s="250">
        <v>13375.02</v>
      </c>
      <c r="M74" s="116">
        <v>480</v>
      </c>
      <c r="N74" s="117">
        <f t="shared" ref="N74:O83" si="20">SUM(F74,H74,J74,L74)</f>
        <v>52041.78</v>
      </c>
      <c r="O74" s="117">
        <f t="shared" si="20"/>
        <v>1920</v>
      </c>
      <c r="Q74" s="117">
        <v>1458.3380000000002</v>
      </c>
      <c r="R74" s="117">
        <f t="shared" ref="R74:R83" si="21">N74+P74+Q74</f>
        <v>53500.118000000002</v>
      </c>
      <c r="S74" s="117">
        <v>3745.0082600000005</v>
      </c>
      <c r="T74" s="117">
        <v>0</v>
      </c>
      <c r="U74" s="117">
        <f t="shared" ref="U74:U83" si="22">R74+S74+T74</f>
        <v>57245.126260000005</v>
      </c>
    </row>
    <row r="75" spans="1:21" x14ac:dyDescent="0.25">
      <c r="A75" s="112">
        <v>43</v>
      </c>
      <c r="B75" s="112" t="s">
        <v>675</v>
      </c>
      <c r="C75" s="115">
        <v>37792</v>
      </c>
      <c r="E75" s="112" t="s">
        <v>687</v>
      </c>
      <c r="F75" s="116">
        <v>20010</v>
      </c>
      <c r="G75" s="116">
        <v>480</v>
      </c>
      <c r="H75" s="249">
        <v>20010</v>
      </c>
      <c r="I75" s="250">
        <v>480</v>
      </c>
      <c r="J75" s="250">
        <v>20015</v>
      </c>
      <c r="K75" s="250">
        <v>480</v>
      </c>
      <c r="L75" s="250">
        <v>20016</v>
      </c>
      <c r="M75" s="116">
        <v>480</v>
      </c>
      <c r="N75" s="117">
        <f t="shared" si="20"/>
        <v>80051</v>
      </c>
      <c r="O75" s="117">
        <f t="shared" si="20"/>
        <v>1920</v>
      </c>
      <c r="Q75" s="117">
        <v>2334.5</v>
      </c>
      <c r="R75" s="117">
        <f t="shared" si="21"/>
        <v>82385.5</v>
      </c>
      <c r="S75" s="117">
        <v>6703.1433000000006</v>
      </c>
      <c r="T75" s="117">
        <v>0</v>
      </c>
      <c r="U75" s="117">
        <f t="shared" si="22"/>
        <v>89088.643299999996</v>
      </c>
    </row>
    <row r="76" spans="1:21" x14ac:dyDescent="0.25">
      <c r="A76" s="112">
        <v>33</v>
      </c>
      <c r="B76" s="112" t="s">
        <v>675</v>
      </c>
      <c r="C76" s="115">
        <v>35947</v>
      </c>
      <c r="E76" s="112" t="s">
        <v>687</v>
      </c>
      <c r="F76" s="116">
        <v>22505</v>
      </c>
      <c r="G76" s="116">
        <v>480</v>
      </c>
      <c r="H76" s="250">
        <v>22478.84</v>
      </c>
      <c r="I76" s="250">
        <v>480</v>
      </c>
      <c r="J76" s="250">
        <v>24075</v>
      </c>
      <c r="K76" s="250">
        <v>480</v>
      </c>
      <c r="L76" s="250">
        <v>24075</v>
      </c>
      <c r="M76" s="116">
        <v>480</v>
      </c>
      <c r="N76" s="117">
        <f t="shared" si="20"/>
        <v>93133.84</v>
      </c>
      <c r="O76" s="117">
        <f t="shared" si="20"/>
        <v>1920</v>
      </c>
      <c r="Q76" s="117">
        <v>2625.3500000000004</v>
      </c>
      <c r="R76" s="117">
        <f t="shared" si="21"/>
        <v>95759.19</v>
      </c>
      <c r="S76" s="117">
        <v>6703.1433000000006</v>
      </c>
      <c r="T76" s="117">
        <v>0</v>
      </c>
      <c r="U76" s="117">
        <f t="shared" si="22"/>
        <v>102462.3333</v>
      </c>
    </row>
    <row r="77" spans="1:21" x14ac:dyDescent="0.25">
      <c r="A77" s="112">
        <v>30</v>
      </c>
      <c r="B77" s="112" t="s">
        <v>675</v>
      </c>
      <c r="C77" s="115">
        <v>44683</v>
      </c>
      <c r="E77" s="112" t="s">
        <v>687</v>
      </c>
      <c r="F77" s="116">
        <v>0</v>
      </c>
      <c r="G77" s="116">
        <v>0</v>
      </c>
      <c r="H77" s="250">
        <v>0</v>
      </c>
      <c r="I77" s="250">
        <v>0</v>
      </c>
      <c r="J77" s="250">
        <v>8750.01</v>
      </c>
      <c r="K77" s="250">
        <v>240</v>
      </c>
      <c r="L77" s="250">
        <v>17500.02</v>
      </c>
      <c r="M77" s="116">
        <v>480</v>
      </c>
      <c r="N77" s="117">
        <f t="shared" si="20"/>
        <v>26250.03</v>
      </c>
      <c r="O77" s="117">
        <f t="shared" si="20"/>
        <v>720</v>
      </c>
      <c r="Q77" s="117">
        <v>0</v>
      </c>
      <c r="R77" s="117">
        <f t="shared" si="21"/>
        <v>26250.03</v>
      </c>
      <c r="S77" s="117">
        <v>0</v>
      </c>
      <c r="T77" s="117">
        <v>43749.97</v>
      </c>
      <c r="U77" s="117">
        <f t="shared" si="22"/>
        <v>70000</v>
      </c>
    </row>
    <row r="78" spans="1:21" x14ac:dyDescent="0.25">
      <c r="A78" s="112">
        <v>28</v>
      </c>
      <c r="B78" s="112" t="s">
        <v>677</v>
      </c>
      <c r="C78" s="115">
        <v>44770</v>
      </c>
      <c r="E78" s="112" t="s">
        <v>687</v>
      </c>
      <c r="F78" s="116">
        <v>0</v>
      </c>
      <c r="G78" s="116">
        <v>0</v>
      </c>
      <c r="H78" s="250">
        <v>0</v>
      </c>
      <c r="I78" s="250">
        <v>0</v>
      </c>
      <c r="J78" s="250">
        <v>0</v>
      </c>
      <c r="K78" s="250">
        <v>0</v>
      </c>
      <c r="L78" s="250">
        <v>4267.5</v>
      </c>
      <c r="M78" s="116">
        <v>142.25</v>
      </c>
      <c r="N78" s="117">
        <f t="shared" si="20"/>
        <v>4267.5</v>
      </c>
      <c r="O78" s="117">
        <f t="shared" si="20"/>
        <v>142.25</v>
      </c>
      <c r="Q78" s="117">
        <v>0</v>
      </c>
      <c r="R78" s="117">
        <f t="shared" si="21"/>
        <v>4267.5</v>
      </c>
      <c r="S78" s="117">
        <v>710.53875000000005</v>
      </c>
      <c r="T78" s="117">
        <v>0</v>
      </c>
      <c r="U78" s="117">
        <f t="shared" si="22"/>
        <v>4978.0387499999997</v>
      </c>
    </row>
    <row r="79" spans="1:21" x14ac:dyDescent="0.25">
      <c r="A79" s="112">
        <v>32</v>
      </c>
      <c r="B79" s="112" t="s">
        <v>675</v>
      </c>
      <c r="C79" s="115">
        <v>37936</v>
      </c>
      <c r="E79" s="112" t="s">
        <v>688</v>
      </c>
      <c r="F79" s="116">
        <v>22502</v>
      </c>
      <c r="G79" s="116">
        <v>480</v>
      </c>
      <c r="H79" s="249">
        <v>22835.34</v>
      </c>
      <c r="I79" s="250">
        <v>480</v>
      </c>
      <c r="J79" s="250">
        <v>25000.02</v>
      </c>
      <c r="K79" s="250">
        <v>480</v>
      </c>
      <c r="L79" s="250">
        <v>25000.02</v>
      </c>
      <c r="M79" s="116">
        <v>480</v>
      </c>
      <c r="N79" s="117">
        <f t="shared" si="20"/>
        <v>95337.38</v>
      </c>
      <c r="O79" s="117">
        <f t="shared" si="20"/>
        <v>1920</v>
      </c>
      <c r="Q79" s="117">
        <v>2625.1400000000003</v>
      </c>
      <c r="R79" s="117">
        <f t="shared" si="21"/>
        <v>97962.52</v>
      </c>
      <c r="S79" s="117">
        <v>6857.376400000001</v>
      </c>
      <c r="T79" s="117">
        <v>0</v>
      </c>
      <c r="U79" s="117">
        <f t="shared" si="22"/>
        <v>104819.8964</v>
      </c>
    </row>
    <row r="80" spans="1:21" x14ac:dyDescent="0.25">
      <c r="A80" s="112">
        <v>58</v>
      </c>
      <c r="B80" s="112" t="s">
        <v>675</v>
      </c>
      <c r="C80" s="115">
        <v>42174</v>
      </c>
      <c r="D80" s="115">
        <v>44589</v>
      </c>
      <c r="E80" s="112" t="s">
        <v>687</v>
      </c>
      <c r="F80" s="116">
        <v>16250.04</v>
      </c>
      <c r="G80" s="116">
        <v>480</v>
      </c>
      <c r="H80" s="249">
        <v>39125.019999999997</v>
      </c>
      <c r="I80" s="250">
        <v>160</v>
      </c>
      <c r="J80" s="250">
        <v>0</v>
      </c>
      <c r="K80" s="250">
        <v>0</v>
      </c>
      <c r="L80" s="250">
        <v>0</v>
      </c>
      <c r="M80" s="116">
        <v>0</v>
      </c>
      <c r="N80" s="117">
        <f t="shared" si="20"/>
        <v>55375.06</v>
      </c>
      <c r="O80" s="117">
        <f t="shared" si="20"/>
        <v>640</v>
      </c>
      <c r="P80" s="117">
        <f>-N80</f>
        <v>-55375.06</v>
      </c>
      <c r="Q80" s="117">
        <v>0</v>
      </c>
      <c r="R80" s="117">
        <f t="shared" si="21"/>
        <v>0</v>
      </c>
      <c r="S80" s="117">
        <v>0</v>
      </c>
      <c r="T80" s="117">
        <v>0</v>
      </c>
      <c r="U80" s="117">
        <f t="shared" si="22"/>
        <v>0</v>
      </c>
    </row>
    <row r="81" spans="1:22" x14ac:dyDescent="0.25">
      <c r="A81" s="112">
        <v>60</v>
      </c>
      <c r="B81" s="112" t="s">
        <v>677</v>
      </c>
      <c r="C81" s="115">
        <v>44753</v>
      </c>
      <c r="D81" s="115">
        <v>44764</v>
      </c>
      <c r="E81" s="112" t="s">
        <v>687</v>
      </c>
      <c r="F81" s="116">
        <v>0</v>
      </c>
      <c r="G81" s="116">
        <v>0</v>
      </c>
      <c r="H81" s="250">
        <v>0</v>
      </c>
      <c r="I81" s="250">
        <v>0</v>
      </c>
      <c r="J81" s="250">
        <v>0</v>
      </c>
      <c r="K81" s="250">
        <v>0</v>
      </c>
      <c r="L81" s="250">
        <v>1602.27</v>
      </c>
      <c r="M81" s="116">
        <v>39.39</v>
      </c>
      <c r="N81" s="117">
        <f t="shared" si="20"/>
        <v>1602.27</v>
      </c>
      <c r="O81" s="117">
        <f t="shared" si="20"/>
        <v>39.39</v>
      </c>
      <c r="P81" s="117">
        <f t="shared" ref="P81:P83" si="23">-N81</f>
        <v>-1602.27</v>
      </c>
      <c r="Q81" s="117">
        <v>0</v>
      </c>
      <c r="R81" s="117">
        <f t="shared" si="21"/>
        <v>0</v>
      </c>
      <c r="S81" s="117">
        <v>0</v>
      </c>
      <c r="T81" s="117">
        <v>0</v>
      </c>
      <c r="U81" s="117">
        <f t="shared" si="22"/>
        <v>0</v>
      </c>
    </row>
    <row r="82" spans="1:22" x14ac:dyDescent="0.25">
      <c r="A82" s="112">
        <v>17</v>
      </c>
      <c r="B82" s="112" t="s">
        <v>677</v>
      </c>
      <c r="C82" s="115">
        <v>44753</v>
      </c>
      <c r="D82" s="115">
        <v>44764</v>
      </c>
      <c r="E82" s="112" t="s">
        <v>687</v>
      </c>
      <c r="F82" s="116">
        <v>0</v>
      </c>
      <c r="G82" s="116">
        <v>0</v>
      </c>
      <c r="H82" s="250">
        <v>0</v>
      </c>
      <c r="I82" s="250">
        <v>0</v>
      </c>
      <c r="J82" s="250">
        <v>0</v>
      </c>
      <c r="K82" s="250">
        <v>0</v>
      </c>
      <c r="L82" s="250">
        <v>1424.22</v>
      </c>
      <c r="M82" s="116">
        <v>32.520000000000003</v>
      </c>
      <c r="N82" s="117">
        <f t="shared" si="20"/>
        <v>1424.22</v>
      </c>
      <c r="O82" s="117">
        <f t="shared" si="20"/>
        <v>32.520000000000003</v>
      </c>
      <c r="P82" s="117">
        <f t="shared" si="23"/>
        <v>-1424.22</v>
      </c>
      <c r="Q82" s="117">
        <v>0</v>
      </c>
      <c r="R82" s="117">
        <f t="shared" si="21"/>
        <v>0</v>
      </c>
      <c r="S82" s="117">
        <v>0</v>
      </c>
      <c r="T82" s="117">
        <v>0</v>
      </c>
      <c r="U82" s="117">
        <f t="shared" si="22"/>
        <v>0</v>
      </c>
    </row>
    <row r="83" spans="1:22" x14ac:dyDescent="0.25">
      <c r="A83" s="112">
        <v>4</v>
      </c>
      <c r="B83" s="112" t="s">
        <v>677</v>
      </c>
      <c r="C83" s="115">
        <v>43633</v>
      </c>
      <c r="D83" s="115">
        <v>44788</v>
      </c>
      <c r="E83" s="112" t="s">
        <v>687</v>
      </c>
      <c r="F83" s="116">
        <v>12002</v>
      </c>
      <c r="G83" s="116">
        <v>480</v>
      </c>
      <c r="H83" s="249">
        <v>12780</v>
      </c>
      <c r="I83" s="250">
        <v>480</v>
      </c>
      <c r="J83" s="250">
        <v>9431.66</v>
      </c>
      <c r="K83" s="250">
        <v>320</v>
      </c>
      <c r="L83" s="250">
        <v>2916.66</v>
      </c>
      <c r="M83" s="116">
        <v>80</v>
      </c>
      <c r="N83" s="117">
        <f t="shared" si="20"/>
        <v>37130.320000000007</v>
      </c>
      <c r="O83" s="117">
        <f t="shared" si="20"/>
        <v>1360</v>
      </c>
      <c r="P83" s="117">
        <f t="shared" si="23"/>
        <v>-37130.320000000007</v>
      </c>
      <c r="Q83" s="117">
        <v>0</v>
      </c>
      <c r="R83" s="117">
        <f t="shared" si="21"/>
        <v>0</v>
      </c>
      <c r="S83" s="117">
        <v>0</v>
      </c>
      <c r="T83" s="117">
        <v>0</v>
      </c>
      <c r="U83" s="117">
        <f t="shared" si="22"/>
        <v>0</v>
      </c>
    </row>
    <row r="84" spans="1:22" s="113" customFormat="1" x14ac:dyDescent="0.25">
      <c r="C84" s="119" t="s">
        <v>689</v>
      </c>
      <c r="D84" s="120"/>
      <c r="F84" s="121">
        <f>SUM(F74:F83)</f>
        <v>105769.08000000002</v>
      </c>
      <c r="G84" s="121"/>
      <c r="H84" s="253">
        <f>SUM(H74:H83)</f>
        <v>130020.9</v>
      </c>
      <c r="I84" s="253"/>
      <c r="J84" s="253">
        <f>SUM(J74:J83)</f>
        <v>100646.71</v>
      </c>
      <c r="K84" s="253"/>
      <c r="L84" s="253">
        <f>SUM(L74:L83)</f>
        <v>110176.71000000002</v>
      </c>
      <c r="M84" s="121"/>
      <c r="N84" s="122">
        <f t="shared" ref="N84:U84" si="24">SUM(N74:N83)</f>
        <v>446613.4</v>
      </c>
      <c r="O84" s="122">
        <f t="shared" si="24"/>
        <v>10614.16</v>
      </c>
      <c r="P84" s="236">
        <f t="shared" si="24"/>
        <v>-95531.87</v>
      </c>
      <c r="Q84" s="236">
        <f t="shared" si="24"/>
        <v>9043.3280000000013</v>
      </c>
      <c r="R84" s="122">
        <f t="shared" si="24"/>
        <v>360124.85800000001</v>
      </c>
      <c r="S84" s="236">
        <f t="shared" si="24"/>
        <v>24719.210010000003</v>
      </c>
      <c r="T84" s="236">
        <f t="shared" si="24"/>
        <v>43749.97</v>
      </c>
      <c r="U84" s="122">
        <f t="shared" si="24"/>
        <v>428594.03801000002</v>
      </c>
    </row>
    <row r="85" spans="1:22" s="113" customFormat="1" x14ac:dyDescent="0.25">
      <c r="C85" s="120"/>
      <c r="D85" s="120"/>
      <c r="F85" s="121"/>
      <c r="G85" s="121"/>
      <c r="H85" s="253"/>
      <c r="I85" s="253"/>
      <c r="J85" s="253"/>
      <c r="K85" s="253"/>
      <c r="L85" s="253"/>
      <c r="M85" s="121"/>
      <c r="N85" s="122"/>
      <c r="O85" s="122"/>
      <c r="P85" s="243" t="s">
        <v>314</v>
      </c>
      <c r="Q85" s="243" t="s">
        <v>315</v>
      </c>
      <c r="S85" s="243" t="s">
        <v>330</v>
      </c>
      <c r="T85" s="243" t="s">
        <v>331</v>
      </c>
    </row>
    <row r="86" spans="1:22" s="113" customFormat="1" x14ac:dyDescent="0.25">
      <c r="C86" s="120"/>
      <c r="D86" s="120"/>
      <c r="F86" s="121"/>
      <c r="G86" s="121"/>
      <c r="H86" s="253"/>
      <c r="I86" s="253"/>
      <c r="J86" s="253"/>
      <c r="K86" s="253"/>
      <c r="L86" s="253"/>
      <c r="M86" s="121"/>
      <c r="N86" s="122"/>
      <c r="O86" s="122"/>
      <c r="P86" s="124"/>
      <c r="Q86" s="124"/>
      <c r="S86" s="124"/>
      <c r="T86" s="124"/>
    </row>
    <row r="87" spans="1:22" x14ac:dyDescent="0.25">
      <c r="A87" s="112">
        <v>40</v>
      </c>
      <c r="B87" s="112" t="s">
        <v>675</v>
      </c>
      <c r="C87" s="115">
        <v>32748</v>
      </c>
      <c r="E87" s="112" t="s">
        <v>690</v>
      </c>
      <c r="F87" s="116">
        <v>28717.42</v>
      </c>
      <c r="G87" s="116">
        <v>520</v>
      </c>
      <c r="H87" s="250">
        <v>28717.42</v>
      </c>
      <c r="I87" s="250">
        <v>520</v>
      </c>
      <c r="J87" s="250">
        <v>28717.42</v>
      </c>
      <c r="K87" s="250">
        <v>520</v>
      </c>
      <c r="L87" s="250">
        <v>28717.42</v>
      </c>
      <c r="M87" s="116">
        <v>520</v>
      </c>
      <c r="N87" s="117">
        <f t="shared" ref="N87:O88" si="25">SUM(F87,H87,J87,L87)</f>
        <v>114869.68</v>
      </c>
      <c r="O87" s="117">
        <f t="shared" si="25"/>
        <v>2080</v>
      </c>
      <c r="Q87" s="117">
        <v>0</v>
      </c>
      <c r="R87" s="117">
        <f t="shared" ref="R87:R88" si="26">N87+P87+Q87</f>
        <v>114869.68</v>
      </c>
      <c r="S87" s="117">
        <v>0</v>
      </c>
      <c r="T87" s="117">
        <v>0</v>
      </c>
      <c r="U87" s="117">
        <f>R87+S87</f>
        <v>114869.68</v>
      </c>
    </row>
    <row r="88" spans="1:22" x14ac:dyDescent="0.25">
      <c r="A88" s="112">
        <v>39</v>
      </c>
      <c r="B88" s="112" t="s">
        <v>675</v>
      </c>
      <c r="C88" s="115">
        <v>32748</v>
      </c>
      <c r="E88" s="112" t="s">
        <v>690</v>
      </c>
      <c r="F88" s="116">
        <v>16320.54</v>
      </c>
      <c r="G88" s="116">
        <v>480</v>
      </c>
      <c r="H88" s="249">
        <v>16639.400000000001</v>
      </c>
      <c r="I88" s="250">
        <v>480</v>
      </c>
      <c r="J88" s="250">
        <v>22555.27</v>
      </c>
      <c r="K88" s="250">
        <v>480</v>
      </c>
      <c r="L88" s="250">
        <v>23555.279999999999</v>
      </c>
      <c r="M88" s="116">
        <v>480</v>
      </c>
      <c r="N88" s="117">
        <f t="shared" si="25"/>
        <v>79070.490000000005</v>
      </c>
      <c r="O88" s="117">
        <f t="shared" si="25"/>
        <v>1920</v>
      </c>
      <c r="Q88" s="117">
        <v>1901.2378000000003</v>
      </c>
      <c r="R88" s="117">
        <f t="shared" si="26"/>
        <v>80971.727800000008</v>
      </c>
      <c r="S88" s="117">
        <v>5668.0209460000015</v>
      </c>
      <c r="T88" s="117">
        <v>0</v>
      </c>
      <c r="U88" s="117">
        <f>R88+S88</f>
        <v>86639.748746000012</v>
      </c>
    </row>
    <row r="89" spans="1:22" s="113" customFormat="1" x14ac:dyDescent="0.25">
      <c r="C89" s="119" t="s">
        <v>691</v>
      </c>
      <c r="F89" s="121">
        <f>SUM(F87:F88)</f>
        <v>45037.96</v>
      </c>
      <c r="G89" s="121"/>
      <c r="H89" s="253">
        <f>SUM(H87:H88)</f>
        <v>45356.82</v>
      </c>
      <c r="I89" s="253"/>
      <c r="J89" s="253">
        <f>SUM(J87:J88)</f>
        <v>51272.69</v>
      </c>
      <c r="K89" s="253"/>
      <c r="L89" s="253">
        <f>SUM(L87:L88)</f>
        <v>52272.7</v>
      </c>
      <c r="M89" s="121"/>
      <c r="N89" s="122">
        <f>SUM(N87:N88)</f>
        <v>193940.16999999998</v>
      </c>
      <c r="O89" s="122">
        <f>SUM(O87:O88)</f>
        <v>4000</v>
      </c>
      <c r="P89" s="122">
        <f t="shared" ref="P89:U89" si="27">SUM(P87:P88)</f>
        <v>0</v>
      </c>
      <c r="Q89" s="236">
        <f t="shared" si="27"/>
        <v>1901.2378000000003</v>
      </c>
      <c r="R89" s="122">
        <f t="shared" si="27"/>
        <v>195841.40779999999</v>
      </c>
      <c r="S89" s="236">
        <f t="shared" si="27"/>
        <v>5668.0209460000015</v>
      </c>
      <c r="T89" s="122">
        <f t="shared" si="27"/>
        <v>0</v>
      </c>
      <c r="U89" s="122">
        <f t="shared" si="27"/>
        <v>201509.42874599999</v>
      </c>
    </row>
    <row r="90" spans="1:22" s="113" customFormat="1" x14ac:dyDescent="0.25">
      <c r="C90" s="120"/>
      <c r="F90" s="121"/>
      <c r="G90" s="121"/>
      <c r="H90" s="253"/>
      <c r="I90" s="253"/>
      <c r="J90" s="253"/>
      <c r="K90" s="253"/>
      <c r="M90" s="121"/>
      <c r="N90" s="122"/>
      <c r="O90" s="122"/>
      <c r="Q90" s="243" t="s">
        <v>313</v>
      </c>
      <c r="S90" s="243" t="s">
        <v>329</v>
      </c>
    </row>
    <row r="91" spans="1:22" s="113" customFormat="1" x14ac:dyDescent="0.25">
      <c r="C91" s="120"/>
      <c r="F91" s="121"/>
      <c r="G91" s="121"/>
      <c r="H91" s="253"/>
      <c r="I91" s="253"/>
      <c r="J91" s="253"/>
      <c r="K91" s="253"/>
      <c r="M91" s="121"/>
      <c r="N91" s="122"/>
      <c r="O91" s="122"/>
      <c r="Q91" s="124"/>
      <c r="S91" s="124"/>
    </row>
    <row r="92" spans="1:22" s="113" customFormat="1" x14ac:dyDescent="0.25">
      <c r="C92" s="113" t="s">
        <v>692</v>
      </c>
      <c r="F92" s="121">
        <f>F71+F84+F89</f>
        <v>743570.48</v>
      </c>
      <c r="G92" s="121"/>
      <c r="H92" s="253">
        <f>H71+H84+H89</f>
        <v>821582.36</v>
      </c>
      <c r="I92" s="253"/>
      <c r="J92" s="253">
        <f>J71+J84+J89</f>
        <v>795282.65999999992</v>
      </c>
      <c r="K92" s="253"/>
      <c r="L92" s="253">
        <f>L71+L84+L89</f>
        <v>793128.17999999993</v>
      </c>
      <c r="M92" s="121"/>
      <c r="N92" s="121">
        <f>N71+N84+N89</f>
        <v>3153563.6799999997</v>
      </c>
      <c r="O92" s="122"/>
      <c r="R92" s="121">
        <f>R71+R84+R89</f>
        <v>2832909.8841770003</v>
      </c>
      <c r="U92" s="121">
        <f>U71+U84+U89</f>
        <v>3767612.7278244859</v>
      </c>
    </row>
    <row r="93" spans="1:22" x14ac:dyDescent="0.25">
      <c r="C93" s="115"/>
      <c r="F93" s="116"/>
      <c r="G93" s="116"/>
      <c r="H93" s="123"/>
      <c r="I93" s="250"/>
      <c r="J93" s="250"/>
      <c r="K93" s="250"/>
      <c r="L93" s="250"/>
      <c r="M93" s="116"/>
      <c r="N93" s="117"/>
      <c r="U93" s="121"/>
    </row>
    <row r="94" spans="1:22" x14ac:dyDescent="0.25">
      <c r="C94" s="115"/>
      <c r="D94" s="115"/>
      <c r="H94" s="250"/>
      <c r="I94" s="250"/>
      <c r="J94" s="250"/>
      <c r="K94" s="250"/>
      <c r="L94" s="250"/>
      <c r="M94" s="116"/>
      <c r="N94" s="117"/>
      <c r="O94" s="116"/>
      <c r="P94" s="121">
        <f>P71+P84+P89</f>
        <v>-376245.77999999997</v>
      </c>
      <c r="Q94" s="121">
        <f>Q71+Q84+Q89</f>
        <v>55591.984177000006</v>
      </c>
      <c r="R94" s="121"/>
      <c r="S94" s="121">
        <f>S71+S84+S89</f>
        <v>174575.60706739002</v>
      </c>
      <c r="T94" s="121">
        <f>T71+T84+T89</f>
        <v>760127.2365800956</v>
      </c>
      <c r="U94" s="117"/>
    </row>
    <row r="95" spans="1:22" s="113" customFormat="1" x14ac:dyDescent="0.25">
      <c r="U95" s="122"/>
      <c r="V95" s="122"/>
    </row>
    <row r="96" spans="1:22" x14ac:dyDescent="0.25">
      <c r="F96" s="117"/>
      <c r="N96" s="234"/>
      <c r="Q96" s="122"/>
      <c r="T96" s="122"/>
    </row>
    <row r="97" spans="6:6" x14ac:dyDescent="0.25">
      <c r="F97" s="117"/>
    </row>
    <row r="98" spans="6:6" x14ac:dyDescent="0.25">
      <c r="F98" s="117"/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7EF4-7085-4879-A899-01C4AF6694E0}">
  <dimension ref="B1:H32"/>
  <sheetViews>
    <sheetView workbookViewId="0">
      <selection activeCell="H14" sqref="H14"/>
    </sheetView>
  </sheetViews>
  <sheetFormatPr defaultRowHeight="15" x14ac:dyDescent="0.25"/>
  <cols>
    <col min="1" max="1" width="2.7109375" style="125" customWidth="1"/>
    <col min="2" max="2" width="10.85546875" style="125" bestFit="1" customWidth="1"/>
    <col min="3" max="3" width="10.7109375" style="125" bestFit="1" customWidth="1"/>
    <col min="4" max="4" width="15" style="125" bestFit="1" customWidth="1"/>
    <col min="5" max="5" width="50.85546875" style="125" bestFit="1" customWidth="1"/>
    <col min="6" max="6" width="10.85546875" style="127" bestFit="1" customWidth="1"/>
    <col min="7" max="7" width="11.42578125" style="125" bestFit="1" customWidth="1"/>
    <col min="8" max="8" width="8.7109375" style="125" bestFit="1" customWidth="1"/>
    <col min="9" max="16384" width="9.140625" style="125"/>
  </cols>
  <sheetData>
    <row r="1" spans="2:8" ht="18.75" x14ac:dyDescent="0.3">
      <c r="E1" s="126" t="s">
        <v>0</v>
      </c>
    </row>
    <row r="2" spans="2:8" ht="15.75" x14ac:dyDescent="0.25">
      <c r="E2" s="128" t="s">
        <v>284</v>
      </c>
    </row>
    <row r="3" spans="2:8" ht="15.75" x14ac:dyDescent="0.25">
      <c r="E3" s="129" t="s">
        <v>2</v>
      </c>
    </row>
    <row r="4" spans="2:8" ht="15.75" x14ac:dyDescent="0.25">
      <c r="E4" s="129"/>
    </row>
    <row r="5" spans="2:8" ht="15.75" x14ac:dyDescent="0.25">
      <c r="E5" s="129"/>
    </row>
    <row r="6" spans="2:8" ht="15.75" x14ac:dyDescent="0.25">
      <c r="E6" s="129"/>
    </row>
    <row r="7" spans="2:8" x14ac:dyDescent="0.25">
      <c r="E7" s="237" t="s">
        <v>693</v>
      </c>
      <c r="F7" s="238" t="s">
        <v>316</v>
      </c>
      <c r="G7" s="239">
        <f>-G32</f>
        <v>-24120</v>
      </c>
    </row>
    <row r="9" spans="2:8" x14ac:dyDescent="0.25">
      <c r="B9" s="131" t="s">
        <v>178</v>
      </c>
      <c r="C9" s="132"/>
      <c r="D9" s="133"/>
      <c r="E9" s="133"/>
      <c r="F9" s="134"/>
      <c r="G9" s="135"/>
    </row>
    <row r="10" spans="2:8" x14ac:dyDescent="0.25">
      <c r="B10" s="133" t="s">
        <v>694</v>
      </c>
      <c r="C10" s="132">
        <v>44500</v>
      </c>
      <c r="D10" s="133" t="s">
        <v>695</v>
      </c>
      <c r="E10" s="136" t="s">
        <v>696</v>
      </c>
      <c r="F10" s="137">
        <v>1000</v>
      </c>
      <c r="G10" s="138">
        <f>F10</f>
        <v>1000</v>
      </c>
      <c r="H10" s="125" t="s">
        <v>697</v>
      </c>
    </row>
    <row r="11" spans="2:8" x14ac:dyDescent="0.25">
      <c r="B11" s="133" t="s">
        <v>694</v>
      </c>
      <c r="C11" s="132">
        <v>44530</v>
      </c>
      <c r="D11" s="133" t="s">
        <v>698</v>
      </c>
      <c r="E11" s="136" t="s">
        <v>696</v>
      </c>
      <c r="F11" s="137">
        <v>1000</v>
      </c>
      <c r="G11" s="138">
        <f>F11</f>
        <v>1000</v>
      </c>
      <c r="H11" s="125" t="s">
        <v>697</v>
      </c>
    </row>
    <row r="12" spans="2:8" x14ac:dyDescent="0.25">
      <c r="B12" s="133"/>
      <c r="C12" s="132"/>
      <c r="D12" s="133"/>
      <c r="E12" s="133" t="s">
        <v>699</v>
      </c>
      <c r="F12" s="137">
        <v>28.58</v>
      </c>
      <c r="G12" s="135"/>
    </row>
    <row r="13" spans="2:8" x14ac:dyDescent="0.25">
      <c r="B13" s="133" t="s">
        <v>694</v>
      </c>
      <c r="C13" s="132">
        <v>44561</v>
      </c>
      <c r="D13" s="133" t="s">
        <v>700</v>
      </c>
      <c r="E13" s="133" t="s">
        <v>699</v>
      </c>
      <c r="F13" s="137">
        <v>21.88</v>
      </c>
      <c r="G13" s="135"/>
    </row>
    <row r="14" spans="2:8" x14ac:dyDescent="0.25">
      <c r="B14" s="133" t="s">
        <v>694</v>
      </c>
      <c r="C14" s="132">
        <v>44620</v>
      </c>
      <c r="D14" s="133" t="s">
        <v>701</v>
      </c>
      <c r="E14" s="133" t="s">
        <v>702</v>
      </c>
      <c r="F14" s="137">
        <v>5120</v>
      </c>
      <c r="G14" s="138">
        <f>F14</f>
        <v>5120</v>
      </c>
      <c r="H14" s="125" t="s">
        <v>703</v>
      </c>
    </row>
    <row r="15" spans="2:8" x14ac:dyDescent="0.25">
      <c r="B15" s="133" t="s">
        <v>694</v>
      </c>
      <c r="C15" s="132">
        <v>44651</v>
      </c>
      <c r="D15" s="133" t="s">
        <v>704</v>
      </c>
      <c r="E15" s="133" t="s">
        <v>705</v>
      </c>
      <c r="F15" s="137">
        <v>300</v>
      </c>
      <c r="G15" s="135"/>
    </row>
    <row r="16" spans="2:8" x14ac:dyDescent="0.25">
      <c r="B16" s="133"/>
      <c r="C16" s="132"/>
      <c r="D16" s="133"/>
      <c r="E16" s="133" t="s">
        <v>702</v>
      </c>
      <c r="F16" s="137">
        <v>3000</v>
      </c>
      <c r="G16" s="138">
        <f>F16</f>
        <v>3000</v>
      </c>
      <c r="H16" s="125" t="s">
        <v>703</v>
      </c>
    </row>
    <row r="17" spans="2:8" x14ac:dyDescent="0.25">
      <c r="B17" s="133"/>
      <c r="C17" s="132"/>
      <c r="D17" s="133"/>
      <c r="E17" s="136" t="s">
        <v>696</v>
      </c>
      <c r="F17" s="137">
        <v>2000</v>
      </c>
      <c r="G17" s="138">
        <f>F17</f>
        <v>2000</v>
      </c>
      <c r="H17" s="125" t="s">
        <v>697</v>
      </c>
    </row>
    <row r="18" spans="2:8" x14ac:dyDescent="0.25">
      <c r="B18" s="133" t="s">
        <v>706</v>
      </c>
      <c r="C18" s="132">
        <v>44677</v>
      </c>
      <c r="D18" s="133" t="s">
        <v>707</v>
      </c>
      <c r="E18" s="133" t="s">
        <v>708</v>
      </c>
      <c r="F18" s="137">
        <v>74.5</v>
      </c>
      <c r="G18" s="135"/>
    </row>
    <row r="19" spans="2:8" x14ac:dyDescent="0.25">
      <c r="B19" s="133" t="s">
        <v>706</v>
      </c>
      <c r="C19" s="132">
        <v>44683</v>
      </c>
      <c r="D19" s="133" t="s">
        <v>709</v>
      </c>
      <c r="E19" s="133" t="s">
        <v>710</v>
      </c>
      <c r="F19" s="137">
        <v>1625</v>
      </c>
      <c r="G19" s="135"/>
    </row>
    <row r="20" spans="2:8" x14ac:dyDescent="0.25">
      <c r="B20" s="133" t="s">
        <v>711</v>
      </c>
      <c r="C20" s="132">
        <v>44691</v>
      </c>
      <c r="D20" s="133" t="s">
        <v>712</v>
      </c>
      <c r="E20" s="133" t="s">
        <v>713</v>
      </c>
      <c r="F20" s="137">
        <v>3000</v>
      </c>
      <c r="G20" s="138">
        <f>F20</f>
        <v>3000</v>
      </c>
      <c r="H20" s="125" t="s">
        <v>703</v>
      </c>
    </row>
    <row r="21" spans="2:8" x14ac:dyDescent="0.25">
      <c r="B21" s="133" t="s">
        <v>706</v>
      </c>
      <c r="C21" s="132">
        <v>44692</v>
      </c>
      <c r="D21" s="133" t="s">
        <v>714</v>
      </c>
      <c r="E21" s="133" t="s">
        <v>715</v>
      </c>
      <c r="F21" s="137">
        <v>386.1</v>
      </c>
      <c r="G21" s="135"/>
    </row>
    <row r="22" spans="2:8" x14ac:dyDescent="0.25">
      <c r="B22" s="133" t="s">
        <v>711</v>
      </c>
      <c r="C22" s="132">
        <v>44706</v>
      </c>
      <c r="D22" s="133" t="s">
        <v>716</v>
      </c>
      <c r="E22" s="133" t="s">
        <v>713</v>
      </c>
      <c r="F22" s="137">
        <v>3000</v>
      </c>
      <c r="G22" s="138">
        <f>F22</f>
        <v>3000</v>
      </c>
      <c r="H22" s="125" t="s">
        <v>703</v>
      </c>
    </row>
    <row r="23" spans="2:8" x14ac:dyDescent="0.25">
      <c r="B23" s="133" t="s">
        <v>706</v>
      </c>
      <c r="C23" s="132">
        <v>44707</v>
      </c>
      <c r="D23" s="133" t="s">
        <v>717</v>
      </c>
      <c r="E23" s="133" t="s">
        <v>708</v>
      </c>
      <c r="F23" s="137">
        <v>40</v>
      </c>
      <c r="G23" s="135"/>
    </row>
    <row r="24" spans="2:8" x14ac:dyDescent="0.25">
      <c r="B24" s="133" t="s">
        <v>706</v>
      </c>
      <c r="C24" s="132">
        <v>44713</v>
      </c>
      <c r="D24" s="133" t="s">
        <v>718</v>
      </c>
      <c r="E24" s="133" t="s">
        <v>710</v>
      </c>
      <c r="F24" s="137">
        <v>4437.5</v>
      </c>
      <c r="G24" s="135"/>
    </row>
    <row r="25" spans="2:8" x14ac:dyDescent="0.25">
      <c r="B25" s="133" t="s">
        <v>711</v>
      </c>
      <c r="C25" s="139">
        <v>44721</v>
      </c>
      <c r="D25" s="136" t="s">
        <v>719</v>
      </c>
      <c r="E25" s="136" t="s">
        <v>696</v>
      </c>
      <c r="F25" s="137">
        <v>3000</v>
      </c>
      <c r="G25" s="138">
        <f>F25</f>
        <v>3000</v>
      </c>
      <c r="H25" s="125" t="s">
        <v>697</v>
      </c>
    </row>
    <row r="26" spans="2:8" x14ac:dyDescent="0.25">
      <c r="B26" s="133" t="s">
        <v>711</v>
      </c>
      <c r="C26" s="132">
        <v>44722</v>
      </c>
      <c r="D26" s="133" t="s">
        <v>720</v>
      </c>
      <c r="E26" s="133" t="s">
        <v>713</v>
      </c>
      <c r="F26" s="137">
        <v>3000</v>
      </c>
      <c r="G26" s="138">
        <f>F26</f>
        <v>3000</v>
      </c>
      <c r="H26" s="125" t="s">
        <v>703</v>
      </c>
    </row>
    <row r="27" spans="2:8" x14ac:dyDescent="0.25">
      <c r="B27" s="133" t="s">
        <v>706</v>
      </c>
      <c r="C27" s="132">
        <v>44738</v>
      </c>
      <c r="D27" s="133" t="s">
        <v>721</v>
      </c>
      <c r="E27" s="133" t="s">
        <v>708</v>
      </c>
      <c r="F27" s="137">
        <v>59</v>
      </c>
      <c r="G27" s="135"/>
    </row>
    <row r="28" spans="2:8" x14ac:dyDescent="0.25">
      <c r="B28" s="133" t="s">
        <v>706</v>
      </c>
      <c r="C28" s="132">
        <v>44774</v>
      </c>
      <c r="D28" s="133" t="s">
        <v>722</v>
      </c>
      <c r="E28" s="133" t="s">
        <v>710</v>
      </c>
      <c r="F28" s="137">
        <v>1937.5</v>
      </c>
      <c r="G28" s="135"/>
    </row>
    <row r="29" spans="2:8" x14ac:dyDescent="0.25">
      <c r="B29" s="133" t="s">
        <v>706</v>
      </c>
      <c r="C29" s="132">
        <v>44798</v>
      </c>
      <c r="D29" s="133" t="s">
        <v>723</v>
      </c>
      <c r="E29" s="133" t="s">
        <v>708</v>
      </c>
      <c r="F29" s="137">
        <v>17</v>
      </c>
      <c r="G29" s="135"/>
    </row>
    <row r="30" spans="2:8" x14ac:dyDescent="0.25">
      <c r="B30" s="133" t="s">
        <v>706</v>
      </c>
      <c r="C30" s="132">
        <v>44805</v>
      </c>
      <c r="D30" s="133" t="s">
        <v>724</v>
      </c>
      <c r="E30" s="133" t="s">
        <v>710</v>
      </c>
      <c r="F30" s="137">
        <v>1937.5</v>
      </c>
      <c r="G30" s="135"/>
    </row>
    <row r="31" spans="2:8" x14ac:dyDescent="0.25">
      <c r="B31" s="133" t="s">
        <v>706</v>
      </c>
      <c r="C31" s="132">
        <v>44832</v>
      </c>
      <c r="D31" s="133" t="s">
        <v>725</v>
      </c>
      <c r="E31" s="133" t="s">
        <v>715</v>
      </c>
      <c r="F31" s="137">
        <v>188.6</v>
      </c>
      <c r="G31" s="135"/>
    </row>
    <row r="32" spans="2:8" x14ac:dyDescent="0.25">
      <c r="B32" s="140" t="s">
        <v>726</v>
      </c>
      <c r="C32" s="141"/>
      <c r="D32" s="131"/>
      <c r="E32" s="131"/>
      <c r="F32" s="142">
        <f>SUM(F10:F31)</f>
        <v>35173.159999999996</v>
      </c>
      <c r="G32" s="254">
        <f>SUM(G10:G31)</f>
        <v>24120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EABF-F132-4880-A538-C8D901C8CC9C}">
  <dimension ref="B1:M85"/>
  <sheetViews>
    <sheetView workbookViewId="0">
      <pane ySplit="9" topLeftCell="A67" activePane="bottomLeft" state="frozen"/>
      <selection pane="bottomLeft" activeCell="E80" sqref="E80"/>
    </sheetView>
  </sheetViews>
  <sheetFormatPr defaultColWidth="12.42578125" defaultRowHeight="15" x14ac:dyDescent="0.25"/>
  <cols>
    <col min="1" max="1" width="3" style="144" customWidth="1"/>
    <col min="2" max="2" width="9.7109375" style="143" bestFit="1" customWidth="1"/>
    <col min="3" max="3" width="11.140625" style="144" bestFit="1" customWidth="1"/>
    <col min="4" max="4" width="40.85546875" style="151" bestFit="1" customWidth="1"/>
    <col min="5" max="5" width="11.5703125" style="145" bestFit="1" customWidth="1"/>
    <col min="6" max="6" width="10.5703125" style="145" bestFit="1" customWidth="1"/>
    <col min="7" max="8" width="14.85546875" style="145" bestFit="1" customWidth="1"/>
    <col min="9" max="9" width="10.5703125" style="145" bestFit="1" customWidth="1"/>
    <col min="10" max="10" width="9.5703125" style="145" bestFit="1" customWidth="1"/>
    <col min="11" max="11" width="10.5703125" style="145" bestFit="1" customWidth="1"/>
    <col min="12" max="256" width="12.42578125" style="144"/>
    <col min="257" max="257" width="3" style="144" customWidth="1"/>
    <col min="258" max="258" width="9.7109375" style="144" bestFit="1" customWidth="1"/>
    <col min="259" max="259" width="11.140625" style="144" bestFit="1" customWidth="1"/>
    <col min="260" max="260" width="40.85546875" style="144" bestFit="1" customWidth="1"/>
    <col min="261" max="261" width="11.5703125" style="144" bestFit="1" customWidth="1"/>
    <col min="262" max="262" width="10.5703125" style="144" bestFit="1" customWidth="1"/>
    <col min="263" max="264" width="14.85546875" style="144" bestFit="1" customWidth="1"/>
    <col min="265" max="265" width="10.5703125" style="144" bestFit="1" customWidth="1"/>
    <col min="266" max="266" width="9.5703125" style="144" bestFit="1" customWidth="1"/>
    <col min="267" max="267" width="10.5703125" style="144" bestFit="1" customWidth="1"/>
    <col min="268" max="512" width="12.42578125" style="144"/>
    <col min="513" max="513" width="3" style="144" customWidth="1"/>
    <col min="514" max="514" width="9.7109375" style="144" bestFit="1" customWidth="1"/>
    <col min="515" max="515" width="11.140625" style="144" bestFit="1" customWidth="1"/>
    <col min="516" max="516" width="40.85546875" style="144" bestFit="1" customWidth="1"/>
    <col min="517" max="517" width="11.5703125" style="144" bestFit="1" customWidth="1"/>
    <col min="518" max="518" width="10.5703125" style="144" bestFit="1" customWidth="1"/>
    <col min="519" max="520" width="14.85546875" style="144" bestFit="1" customWidth="1"/>
    <col min="521" max="521" width="10.5703125" style="144" bestFit="1" customWidth="1"/>
    <col min="522" max="522" width="9.5703125" style="144" bestFit="1" customWidth="1"/>
    <col min="523" max="523" width="10.5703125" style="144" bestFit="1" customWidth="1"/>
    <col min="524" max="768" width="12.42578125" style="144"/>
    <col min="769" max="769" width="3" style="144" customWidth="1"/>
    <col min="770" max="770" width="9.7109375" style="144" bestFit="1" customWidth="1"/>
    <col min="771" max="771" width="11.140625" style="144" bestFit="1" customWidth="1"/>
    <col min="772" max="772" width="40.85546875" style="144" bestFit="1" customWidth="1"/>
    <col min="773" max="773" width="11.5703125" style="144" bestFit="1" customWidth="1"/>
    <col min="774" max="774" width="10.5703125" style="144" bestFit="1" customWidth="1"/>
    <col min="775" max="776" width="14.85546875" style="144" bestFit="1" customWidth="1"/>
    <col min="777" max="777" width="10.5703125" style="144" bestFit="1" customWidth="1"/>
    <col min="778" max="778" width="9.5703125" style="144" bestFit="1" customWidth="1"/>
    <col min="779" max="779" width="10.5703125" style="144" bestFit="1" customWidth="1"/>
    <col min="780" max="1024" width="12.42578125" style="144"/>
    <col min="1025" max="1025" width="3" style="144" customWidth="1"/>
    <col min="1026" max="1026" width="9.7109375" style="144" bestFit="1" customWidth="1"/>
    <col min="1027" max="1027" width="11.140625" style="144" bestFit="1" customWidth="1"/>
    <col min="1028" max="1028" width="40.85546875" style="144" bestFit="1" customWidth="1"/>
    <col min="1029" max="1029" width="11.5703125" style="144" bestFit="1" customWidth="1"/>
    <col min="1030" max="1030" width="10.5703125" style="144" bestFit="1" customWidth="1"/>
    <col min="1031" max="1032" width="14.85546875" style="144" bestFit="1" customWidth="1"/>
    <col min="1033" max="1033" width="10.5703125" style="144" bestFit="1" customWidth="1"/>
    <col min="1034" max="1034" width="9.5703125" style="144" bestFit="1" customWidth="1"/>
    <col min="1035" max="1035" width="10.5703125" style="144" bestFit="1" customWidth="1"/>
    <col min="1036" max="1280" width="12.42578125" style="144"/>
    <col min="1281" max="1281" width="3" style="144" customWidth="1"/>
    <col min="1282" max="1282" width="9.7109375" style="144" bestFit="1" customWidth="1"/>
    <col min="1283" max="1283" width="11.140625" style="144" bestFit="1" customWidth="1"/>
    <col min="1284" max="1284" width="40.85546875" style="144" bestFit="1" customWidth="1"/>
    <col min="1285" max="1285" width="11.5703125" style="144" bestFit="1" customWidth="1"/>
    <col min="1286" max="1286" width="10.5703125" style="144" bestFit="1" customWidth="1"/>
    <col min="1287" max="1288" width="14.85546875" style="144" bestFit="1" customWidth="1"/>
    <col min="1289" max="1289" width="10.5703125" style="144" bestFit="1" customWidth="1"/>
    <col min="1290" max="1290" width="9.5703125" style="144" bestFit="1" customWidth="1"/>
    <col min="1291" max="1291" width="10.5703125" style="144" bestFit="1" customWidth="1"/>
    <col min="1292" max="1536" width="12.42578125" style="144"/>
    <col min="1537" max="1537" width="3" style="144" customWidth="1"/>
    <col min="1538" max="1538" width="9.7109375" style="144" bestFit="1" customWidth="1"/>
    <col min="1539" max="1539" width="11.140625" style="144" bestFit="1" customWidth="1"/>
    <col min="1540" max="1540" width="40.85546875" style="144" bestFit="1" customWidth="1"/>
    <col min="1541" max="1541" width="11.5703125" style="144" bestFit="1" customWidth="1"/>
    <col min="1542" max="1542" width="10.5703125" style="144" bestFit="1" customWidth="1"/>
    <col min="1543" max="1544" width="14.85546875" style="144" bestFit="1" customWidth="1"/>
    <col min="1545" max="1545" width="10.5703125" style="144" bestFit="1" customWidth="1"/>
    <col min="1546" max="1546" width="9.5703125" style="144" bestFit="1" customWidth="1"/>
    <col min="1547" max="1547" width="10.5703125" style="144" bestFit="1" customWidth="1"/>
    <col min="1548" max="1792" width="12.42578125" style="144"/>
    <col min="1793" max="1793" width="3" style="144" customWidth="1"/>
    <col min="1794" max="1794" width="9.7109375" style="144" bestFit="1" customWidth="1"/>
    <col min="1795" max="1795" width="11.140625" style="144" bestFit="1" customWidth="1"/>
    <col min="1796" max="1796" width="40.85546875" style="144" bestFit="1" customWidth="1"/>
    <col min="1797" max="1797" width="11.5703125" style="144" bestFit="1" customWidth="1"/>
    <col min="1798" max="1798" width="10.5703125" style="144" bestFit="1" customWidth="1"/>
    <col min="1799" max="1800" width="14.85546875" style="144" bestFit="1" customWidth="1"/>
    <col min="1801" max="1801" width="10.5703125" style="144" bestFit="1" customWidth="1"/>
    <col min="1802" max="1802" width="9.5703125" style="144" bestFit="1" customWidth="1"/>
    <col min="1803" max="1803" width="10.5703125" style="144" bestFit="1" customWidth="1"/>
    <col min="1804" max="2048" width="12.42578125" style="144"/>
    <col min="2049" max="2049" width="3" style="144" customWidth="1"/>
    <col min="2050" max="2050" width="9.7109375" style="144" bestFit="1" customWidth="1"/>
    <col min="2051" max="2051" width="11.140625" style="144" bestFit="1" customWidth="1"/>
    <col min="2052" max="2052" width="40.85546875" style="144" bestFit="1" customWidth="1"/>
    <col min="2053" max="2053" width="11.5703125" style="144" bestFit="1" customWidth="1"/>
    <col min="2054" max="2054" width="10.5703125" style="144" bestFit="1" customWidth="1"/>
    <col min="2055" max="2056" width="14.85546875" style="144" bestFit="1" customWidth="1"/>
    <col min="2057" max="2057" width="10.5703125" style="144" bestFit="1" customWidth="1"/>
    <col min="2058" max="2058" width="9.5703125" style="144" bestFit="1" customWidth="1"/>
    <col min="2059" max="2059" width="10.5703125" style="144" bestFit="1" customWidth="1"/>
    <col min="2060" max="2304" width="12.42578125" style="144"/>
    <col min="2305" max="2305" width="3" style="144" customWidth="1"/>
    <col min="2306" max="2306" width="9.7109375" style="144" bestFit="1" customWidth="1"/>
    <col min="2307" max="2307" width="11.140625" style="144" bestFit="1" customWidth="1"/>
    <col min="2308" max="2308" width="40.85546875" style="144" bestFit="1" customWidth="1"/>
    <col min="2309" max="2309" width="11.5703125" style="144" bestFit="1" customWidth="1"/>
    <col min="2310" max="2310" width="10.5703125" style="144" bestFit="1" customWidth="1"/>
    <col min="2311" max="2312" width="14.85546875" style="144" bestFit="1" customWidth="1"/>
    <col min="2313" max="2313" width="10.5703125" style="144" bestFit="1" customWidth="1"/>
    <col min="2314" max="2314" width="9.5703125" style="144" bestFit="1" customWidth="1"/>
    <col min="2315" max="2315" width="10.5703125" style="144" bestFit="1" customWidth="1"/>
    <col min="2316" max="2560" width="12.42578125" style="144"/>
    <col min="2561" max="2561" width="3" style="144" customWidth="1"/>
    <col min="2562" max="2562" width="9.7109375" style="144" bestFit="1" customWidth="1"/>
    <col min="2563" max="2563" width="11.140625" style="144" bestFit="1" customWidth="1"/>
    <col min="2564" max="2564" width="40.85546875" style="144" bestFit="1" customWidth="1"/>
    <col min="2565" max="2565" width="11.5703125" style="144" bestFit="1" customWidth="1"/>
    <col min="2566" max="2566" width="10.5703125" style="144" bestFit="1" customWidth="1"/>
    <col min="2567" max="2568" width="14.85546875" style="144" bestFit="1" customWidth="1"/>
    <col min="2569" max="2569" width="10.5703125" style="144" bestFit="1" customWidth="1"/>
    <col min="2570" max="2570" width="9.5703125" style="144" bestFit="1" customWidth="1"/>
    <col min="2571" max="2571" width="10.5703125" style="144" bestFit="1" customWidth="1"/>
    <col min="2572" max="2816" width="12.42578125" style="144"/>
    <col min="2817" max="2817" width="3" style="144" customWidth="1"/>
    <col min="2818" max="2818" width="9.7109375" style="144" bestFit="1" customWidth="1"/>
    <col min="2819" max="2819" width="11.140625" style="144" bestFit="1" customWidth="1"/>
    <col min="2820" max="2820" width="40.85546875" style="144" bestFit="1" customWidth="1"/>
    <col min="2821" max="2821" width="11.5703125" style="144" bestFit="1" customWidth="1"/>
    <col min="2822" max="2822" width="10.5703125" style="144" bestFit="1" customWidth="1"/>
    <col min="2823" max="2824" width="14.85546875" style="144" bestFit="1" customWidth="1"/>
    <col min="2825" max="2825" width="10.5703125" style="144" bestFit="1" customWidth="1"/>
    <col min="2826" max="2826" width="9.5703125" style="144" bestFit="1" customWidth="1"/>
    <col min="2827" max="2827" width="10.5703125" style="144" bestFit="1" customWidth="1"/>
    <col min="2828" max="3072" width="12.42578125" style="144"/>
    <col min="3073" max="3073" width="3" style="144" customWidth="1"/>
    <col min="3074" max="3074" width="9.7109375" style="144" bestFit="1" customWidth="1"/>
    <col min="3075" max="3075" width="11.140625" style="144" bestFit="1" customWidth="1"/>
    <col min="3076" max="3076" width="40.85546875" style="144" bestFit="1" customWidth="1"/>
    <col min="3077" max="3077" width="11.5703125" style="144" bestFit="1" customWidth="1"/>
    <col min="3078" max="3078" width="10.5703125" style="144" bestFit="1" customWidth="1"/>
    <col min="3079" max="3080" width="14.85546875" style="144" bestFit="1" customWidth="1"/>
    <col min="3081" max="3081" width="10.5703125" style="144" bestFit="1" customWidth="1"/>
    <col min="3082" max="3082" width="9.5703125" style="144" bestFit="1" customWidth="1"/>
    <col min="3083" max="3083" width="10.5703125" style="144" bestFit="1" customWidth="1"/>
    <col min="3084" max="3328" width="12.42578125" style="144"/>
    <col min="3329" max="3329" width="3" style="144" customWidth="1"/>
    <col min="3330" max="3330" width="9.7109375" style="144" bestFit="1" customWidth="1"/>
    <col min="3331" max="3331" width="11.140625" style="144" bestFit="1" customWidth="1"/>
    <col min="3332" max="3332" width="40.85546875" style="144" bestFit="1" customWidth="1"/>
    <col min="3333" max="3333" width="11.5703125" style="144" bestFit="1" customWidth="1"/>
    <col min="3334" max="3334" width="10.5703125" style="144" bestFit="1" customWidth="1"/>
    <col min="3335" max="3336" width="14.85546875" style="144" bestFit="1" customWidth="1"/>
    <col min="3337" max="3337" width="10.5703125" style="144" bestFit="1" customWidth="1"/>
    <col min="3338" max="3338" width="9.5703125" style="144" bestFit="1" customWidth="1"/>
    <col min="3339" max="3339" width="10.5703125" style="144" bestFit="1" customWidth="1"/>
    <col min="3340" max="3584" width="12.42578125" style="144"/>
    <col min="3585" max="3585" width="3" style="144" customWidth="1"/>
    <col min="3586" max="3586" width="9.7109375" style="144" bestFit="1" customWidth="1"/>
    <col min="3587" max="3587" width="11.140625" style="144" bestFit="1" customWidth="1"/>
    <col min="3588" max="3588" width="40.85546875" style="144" bestFit="1" customWidth="1"/>
    <col min="3589" max="3589" width="11.5703125" style="144" bestFit="1" customWidth="1"/>
    <col min="3590" max="3590" width="10.5703125" style="144" bestFit="1" customWidth="1"/>
    <col min="3591" max="3592" width="14.85546875" style="144" bestFit="1" customWidth="1"/>
    <col min="3593" max="3593" width="10.5703125" style="144" bestFit="1" customWidth="1"/>
    <col min="3594" max="3594" width="9.5703125" style="144" bestFit="1" customWidth="1"/>
    <col min="3595" max="3595" width="10.5703125" style="144" bestFit="1" customWidth="1"/>
    <col min="3596" max="3840" width="12.42578125" style="144"/>
    <col min="3841" max="3841" width="3" style="144" customWidth="1"/>
    <col min="3842" max="3842" width="9.7109375" style="144" bestFit="1" customWidth="1"/>
    <col min="3843" max="3843" width="11.140625" style="144" bestFit="1" customWidth="1"/>
    <col min="3844" max="3844" width="40.85546875" style="144" bestFit="1" customWidth="1"/>
    <col min="3845" max="3845" width="11.5703125" style="144" bestFit="1" customWidth="1"/>
    <col min="3846" max="3846" width="10.5703125" style="144" bestFit="1" customWidth="1"/>
    <col min="3847" max="3848" width="14.85546875" style="144" bestFit="1" customWidth="1"/>
    <col min="3849" max="3849" width="10.5703125" style="144" bestFit="1" customWidth="1"/>
    <col min="3850" max="3850" width="9.5703125" style="144" bestFit="1" customWidth="1"/>
    <col min="3851" max="3851" width="10.5703125" style="144" bestFit="1" customWidth="1"/>
    <col min="3852" max="4096" width="12.42578125" style="144"/>
    <col min="4097" max="4097" width="3" style="144" customWidth="1"/>
    <col min="4098" max="4098" width="9.7109375" style="144" bestFit="1" customWidth="1"/>
    <col min="4099" max="4099" width="11.140625" style="144" bestFit="1" customWidth="1"/>
    <col min="4100" max="4100" width="40.85546875" style="144" bestFit="1" customWidth="1"/>
    <col min="4101" max="4101" width="11.5703125" style="144" bestFit="1" customWidth="1"/>
    <col min="4102" max="4102" width="10.5703125" style="144" bestFit="1" customWidth="1"/>
    <col min="4103" max="4104" width="14.85546875" style="144" bestFit="1" customWidth="1"/>
    <col min="4105" max="4105" width="10.5703125" style="144" bestFit="1" customWidth="1"/>
    <col min="4106" max="4106" width="9.5703125" style="144" bestFit="1" customWidth="1"/>
    <col min="4107" max="4107" width="10.5703125" style="144" bestFit="1" customWidth="1"/>
    <col min="4108" max="4352" width="12.42578125" style="144"/>
    <col min="4353" max="4353" width="3" style="144" customWidth="1"/>
    <col min="4354" max="4354" width="9.7109375" style="144" bestFit="1" customWidth="1"/>
    <col min="4355" max="4355" width="11.140625" style="144" bestFit="1" customWidth="1"/>
    <col min="4356" max="4356" width="40.85546875" style="144" bestFit="1" customWidth="1"/>
    <col min="4357" max="4357" width="11.5703125" style="144" bestFit="1" customWidth="1"/>
    <col min="4358" max="4358" width="10.5703125" style="144" bestFit="1" customWidth="1"/>
    <col min="4359" max="4360" width="14.85546875" style="144" bestFit="1" customWidth="1"/>
    <col min="4361" max="4361" width="10.5703125" style="144" bestFit="1" customWidth="1"/>
    <col min="4362" max="4362" width="9.5703125" style="144" bestFit="1" customWidth="1"/>
    <col min="4363" max="4363" width="10.5703125" style="144" bestFit="1" customWidth="1"/>
    <col min="4364" max="4608" width="12.42578125" style="144"/>
    <col min="4609" max="4609" width="3" style="144" customWidth="1"/>
    <col min="4610" max="4610" width="9.7109375" style="144" bestFit="1" customWidth="1"/>
    <col min="4611" max="4611" width="11.140625" style="144" bestFit="1" customWidth="1"/>
    <col min="4612" max="4612" width="40.85546875" style="144" bestFit="1" customWidth="1"/>
    <col min="4613" max="4613" width="11.5703125" style="144" bestFit="1" customWidth="1"/>
    <col min="4614" max="4614" width="10.5703125" style="144" bestFit="1" customWidth="1"/>
    <col min="4615" max="4616" width="14.85546875" style="144" bestFit="1" customWidth="1"/>
    <col min="4617" max="4617" width="10.5703125" style="144" bestFit="1" customWidth="1"/>
    <col min="4618" max="4618" width="9.5703125" style="144" bestFit="1" customWidth="1"/>
    <col min="4619" max="4619" width="10.5703125" style="144" bestFit="1" customWidth="1"/>
    <col min="4620" max="4864" width="12.42578125" style="144"/>
    <col min="4865" max="4865" width="3" style="144" customWidth="1"/>
    <col min="4866" max="4866" width="9.7109375" style="144" bestFit="1" customWidth="1"/>
    <col min="4867" max="4867" width="11.140625" style="144" bestFit="1" customWidth="1"/>
    <col min="4868" max="4868" width="40.85546875" style="144" bestFit="1" customWidth="1"/>
    <col min="4869" max="4869" width="11.5703125" style="144" bestFit="1" customWidth="1"/>
    <col min="4870" max="4870" width="10.5703125" style="144" bestFit="1" customWidth="1"/>
    <col min="4871" max="4872" width="14.85546875" style="144" bestFit="1" customWidth="1"/>
    <col min="4873" max="4873" width="10.5703125" style="144" bestFit="1" customWidth="1"/>
    <col min="4874" max="4874" width="9.5703125" style="144" bestFit="1" customWidth="1"/>
    <col min="4875" max="4875" width="10.5703125" style="144" bestFit="1" customWidth="1"/>
    <col min="4876" max="5120" width="12.42578125" style="144"/>
    <col min="5121" max="5121" width="3" style="144" customWidth="1"/>
    <col min="5122" max="5122" width="9.7109375" style="144" bestFit="1" customWidth="1"/>
    <col min="5123" max="5123" width="11.140625" style="144" bestFit="1" customWidth="1"/>
    <col min="5124" max="5124" width="40.85546875" style="144" bestFit="1" customWidth="1"/>
    <col min="5125" max="5125" width="11.5703125" style="144" bestFit="1" customWidth="1"/>
    <col min="5126" max="5126" width="10.5703125" style="144" bestFit="1" customWidth="1"/>
    <col min="5127" max="5128" width="14.85546875" style="144" bestFit="1" customWidth="1"/>
    <col min="5129" max="5129" width="10.5703125" style="144" bestFit="1" customWidth="1"/>
    <col min="5130" max="5130" width="9.5703125" style="144" bestFit="1" customWidth="1"/>
    <col min="5131" max="5131" width="10.5703125" style="144" bestFit="1" customWidth="1"/>
    <col min="5132" max="5376" width="12.42578125" style="144"/>
    <col min="5377" max="5377" width="3" style="144" customWidth="1"/>
    <col min="5378" max="5378" width="9.7109375" style="144" bestFit="1" customWidth="1"/>
    <col min="5379" max="5379" width="11.140625" style="144" bestFit="1" customWidth="1"/>
    <col min="5380" max="5380" width="40.85546875" style="144" bestFit="1" customWidth="1"/>
    <col min="5381" max="5381" width="11.5703125" style="144" bestFit="1" customWidth="1"/>
    <col min="5382" max="5382" width="10.5703125" style="144" bestFit="1" customWidth="1"/>
    <col min="5383" max="5384" width="14.85546875" style="144" bestFit="1" customWidth="1"/>
    <col min="5385" max="5385" width="10.5703125" style="144" bestFit="1" customWidth="1"/>
    <col min="5386" max="5386" width="9.5703125" style="144" bestFit="1" customWidth="1"/>
    <col min="5387" max="5387" width="10.5703125" style="144" bestFit="1" customWidth="1"/>
    <col min="5388" max="5632" width="12.42578125" style="144"/>
    <col min="5633" max="5633" width="3" style="144" customWidth="1"/>
    <col min="5634" max="5634" width="9.7109375" style="144" bestFit="1" customWidth="1"/>
    <col min="5635" max="5635" width="11.140625" style="144" bestFit="1" customWidth="1"/>
    <col min="5636" max="5636" width="40.85546875" style="144" bestFit="1" customWidth="1"/>
    <col min="5637" max="5637" width="11.5703125" style="144" bestFit="1" customWidth="1"/>
    <col min="5638" max="5638" width="10.5703125" style="144" bestFit="1" customWidth="1"/>
    <col min="5639" max="5640" width="14.85546875" style="144" bestFit="1" customWidth="1"/>
    <col min="5641" max="5641" width="10.5703125" style="144" bestFit="1" customWidth="1"/>
    <col min="5642" max="5642" width="9.5703125" style="144" bestFit="1" customWidth="1"/>
    <col min="5643" max="5643" width="10.5703125" style="144" bestFit="1" customWidth="1"/>
    <col min="5644" max="5888" width="12.42578125" style="144"/>
    <col min="5889" max="5889" width="3" style="144" customWidth="1"/>
    <col min="5890" max="5890" width="9.7109375" style="144" bestFit="1" customWidth="1"/>
    <col min="5891" max="5891" width="11.140625" style="144" bestFit="1" customWidth="1"/>
    <col min="5892" max="5892" width="40.85546875" style="144" bestFit="1" customWidth="1"/>
    <col min="5893" max="5893" width="11.5703125" style="144" bestFit="1" customWidth="1"/>
    <col min="5894" max="5894" width="10.5703125" style="144" bestFit="1" customWidth="1"/>
    <col min="5895" max="5896" width="14.85546875" style="144" bestFit="1" customWidth="1"/>
    <col min="5897" max="5897" width="10.5703125" style="144" bestFit="1" customWidth="1"/>
    <col min="5898" max="5898" width="9.5703125" style="144" bestFit="1" customWidth="1"/>
    <col min="5899" max="5899" width="10.5703125" style="144" bestFit="1" customWidth="1"/>
    <col min="5900" max="6144" width="12.42578125" style="144"/>
    <col min="6145" max="6145" width="3" style="144" customWidth="1"/>
    <col min="6146" max="6146" width="9.7109375" style="144" bestFit="1" customWidth="1"/>
    <col min="6147" max="6147" width="11.140625" style="144" bestFit="1" customWidth="1"/>
    <col min="6148" max="6148" width="40.85546875" style="144" bestFit="1" customWidth="1"/>
    <col min="6149" max="6149" width="11.5703125" style="144" bestFit="1" customWidth="1"/>
    <col min="6150" max="6150" width="10.5703125" style="144" bestFit="1" customWidth="1"/>
    <col min="6151" max="6152" width="14.85546875" style="144" bestFit="1" customWidth="1"/>
    <col min="6153" max="6153" width="10.5703125" style="144" bestFit="1" customWidth="1"/>
    <col min="6154" max="6154" width="9.5703125" style="144" bestFit="1" customWidth="1"/>
    <col min="6155" max="6155" width="10.5703125" style="144" bestFit="1" customWidth="1"/>
    <col min="6156" max="6400" width="12.42578125" style="144"/>
    <col min="6401" max="6401" width="3" style="144" customWidth="1"/>
    <col min="6402" max="6402" width="9.7109375" style="144" bestFit="1" customWidth="1"/>
    <col min="6403" max="6403" width="11.140625" style="144" bestFit="1" customWidth="1"/>
    <col min="6404" max="6404" width="40.85546875" style="144" bestFit="1" customWidth="1"/>
    <col min="6405" max="6405" width="11.5703125" style="144" bestFit="1" customWidth="1"/>
    <col min="6406" max="6406" width="10.5703125" style="144" bestFit="1" customWidth="1"/>
    <col min="6407" max="6408" width="14.85546875" style="144" bestFit="1" customWidth="1"/>
    <col min="6409" max="6409" width="10.5703125" style="144" bestFit="1" customWidth="1"/>
    <col min="6410" max="6410" width="9.5703125" style="144" bestFit="1" customWidth="1"/>
    <col min="6411" max="6411" width="10.5703125" style="144" bestFit="1" customWidth="1"/>
    <col min="6412" max="6656" width="12.42578125" style="144"/>
    <col min="6657" max="6657" width="3" style="144" customWidth="1"/>
    <col min="6658" max="6658" width="9.7109375" style="144" bestFit="1" customWidth="1"/>
    <col min="6659" max="6659" width="11.140625" style="144" bestFit="1" customWidth="1"/>
    <col min="6660" max="6660" width="40.85546875" style="144" bestFit="1" customWidth="1"/>
    <col min="6661" max="6661" width="11.5703125" style="144" bestFit="1" customWidth="1"/>
    <col min="6662" max="6662" width="10.5703125" style="144" bestFit="1" customWidth="1"/>
    <col min="6663" max="6664" width="14.85546875" style="144" bestFit="1" customWidth="1"/>
    <col min="6665" max="6665" width="10.5703125" style="144" bestFit="1" customWidth="1"/>
    <col min="6666" max="6666" width="9.5703125" style="144" bestFit="1" customWidth="1"/>
    <col min="6667" max="6667" width="10.5703125" style="144" bestFit="1" customWidth="1"/>
    <col min="6668" max="6912" width="12.42578125" style="144"/>
    <col min="6913" max="6913" width="3" style="144" customWidth="1"/>
    <col min="6914" max="6914" width="9.7109375" style="144" bestFit="1" customWidth="1"/>
    <col min="6915" max="6915" width="11.140625" style="144" bestFit="1" customWidth="1"/>
    <col min="6916" max="6916" width="40.85546875" style="144" bestFit="1" customWidth="1"/>
    <col min="6917" max="6917" width="11.5703125" style="144" bestFit="1" customWidth="1"/>
    <col min="6918" max="6918" width="10.5703125" style="144" bestFit="1" customWidth="1"/>
    <col min="6919" max="6920" width="14.85546875" style="144" bestFit="1" customWidth="1"/>
    <col min="6921" max="6921" width="10.5703125" style="144" bestFit="1" customWidth="1"/>
    <col min="6922" max="6922" width="9.5703125" style="144" bestFit="1" customWidth="1"/>
    <col min="6923" max="6923" width="10.5703125" style="144" bestFit="1" customWidth="1"/>
    <col min="6924" max="7168" width="12.42578125" style="144"/>
    <col min="7169" max="7169" width="3" style="144" customWidth="1"/>
    <col min="7170" max="7170" width="9.7109375" style="144" bestFit="1" customWidth="1"/>
    <col min="7171" max="7171" width="11.140625" style="144" bestFit="1" customWidth="1"/>
    <col min="7172" max="7172" width="40.85546875" style="144" bestFit="1" customWidth="1"/>
    <col min="7173" max="7173" width="11.5703125" style="144" bestFit="1" customWidth="1"/>
    <col min="7174" max="7174" width="10.5703125" style="144" bestFit="1" customWidth="1"/>
    <col min="7175" max="7176" width="14.85546875" style="144" bestFit="1" customWidth="1"/>
    <col min="7177" max="7177" width="10.5703125" style="144" bestFit="1" customWidth="1"/>
    <col min="7178" max="7178" width="9.5703125" style="144" bestFit="1" customWidth="1"/>
    <col min="7179" max="7179" width="10.5703125" style="144" bestFit="1" customWidth="1"/>
    <col min="7180" max="7424" width="12.42578125" style="144"/>
    <col min="7425" max="7425" width="3" style="144" customWidth="1"/>
    <col min="7426" max="7426" width="9.7109375" style="144" bestFit="1" customWidth="1"/>
    <col min="7427" max="7427" width="11.140625" style="144" bestFit="1" customWidth="1"/>
    <col min="7428" max="7428" width="40.85546875" style="144" bestFit="1" customWidth="1"/>
    <col min="7429" max="7429" width="11.5703125" style="144" bestFit="1" customWidth="1"/>
    <col min="7430" max="7430" width="10.5703125" style="144" bestFit="1" customWidth="1"/>
    <col min="7431" max="7432" width="14.85546875" style="144" bestFit="1" customWidth="1"/>
    <col min="7433" max="7433" width="10.5703125" style="144" bestFit="1" customWidth="1"/>
    <col min="7434" max="7434" width="9.5703125" style="144" bestFit="1" customWidth="1"/>
    <col min="7435" max="7435" width="10.5703125" style="144" bestFit="1" customWidth="1"/>
    <col min="7436" max="7680" width="12.42578125" style="144"/>
    <col min="7681" max="7681" width="3" style="144" customWidth="1"/>
    <col min="7682" max="7682" width="9.7109375" style="144" bestFit="1" customWidth="1"/>
    <col min="7683" max="7683" width="11.140625" style="144" bestFit="1" customWidth="1"/>
    <col min="7684" max="7684" width="40.85546875" style="144" bestFit="1" customWidth="1"/>
    <col min="7685" max="7685" width="11.5703125" style="144" bestFit="1" customWidth="1"/>
    <col min="7686" max="7686" width="10.5703125" style="144" bestFit="1" customWidth="1"/>
    <col min="7687" max="7688" width="14.85546875" style="144" bestFit="1" customWidth="1"/>
    <col min="7689" max="7689" width="10.5703125" style="144" bestFit="1" customWidth="1"/>
    <col min="7690" max="7690" width="9.5703125" style="144" bestFit="1" customWidth="1"/>
    <col min="7691" max="7691" width="10.5703125" style="144" bestFit="1" customWidth="1"/>
    <col min="7692" max="7936" width="12.42578125" style="144"/>
    <col min="7937" max="7937" width="3" style="144" customWidth="1"/>
    <col min="7938" max="7938" width="9.7109375" style="144" bestFit="1" customWidth="1"/>
    <col min="7939" max="7939" width="11.140625" style="144" bestFit="1" customWidth="1"/>
    <col min="7940" max="7940" width="40.85546875" style="144" bestFit="1" customWidth="1"/>
    <col min="7941" max="7941" width="11.5703125" style="144" bestFit="1" customWidth="1"/>
    <col min="7942" max="7942" width="10.5703125" style="144" bestFit="1" customWidth="1"/>
    <col min="7943" max="7944" width="14.85546875" style="144" bestFit="1" customWidth="1"/>
    <col min="7945" max="7945" width="10.5703125" style="144" bestFit="1" customWidth="1"/>
    <col min="7946" max="7946" width="9.5703125" style="144" bestFit="1" customWidth="1"/>
    <col min="7947" max="7947" width="10.5703125" style="144" bestFit="1" customWidth="1"/>
    <col min="7948" max="8192" width="12.42578125" style="144"/>
    <col min="8193" max="8193" width="3" style="144" customWidth="1"/>
    <col min="8194" max="8194" width="9.7109375" style="144" bestFit="1" customWidth="1"/>
    <col min="8195" max="8195" width="11.140625" style="144" bestFit="1" customWidth="1"/>
    <col min="8196" max="8196" width="40.85546875" style="144" bestFit="1" customWidth="1"/>
    <col min="8197" max="8197" width="11.5703125" style="144" bestFit="1" customWidth="1"/>
    <col min="8198" max="8198" width="10.5703125" style="144" bestFit="1" customWidth="1"/>
    <col min="8199" max="8200" width="14.85546875" style="144" bestFit="1" customWidth="1"/>
    <col min="8201" max="8201" width="10.5703125" style="144" bestFit="1" customWidth="1"/>
    <col min="8202" max="8202" width="9.5703125" style="144" bestFit="1" customWidth="1"/>
    <col min="8203" max="8203" width="10.5703125" style="144" bestFit="1" customWidth="1"/>
    <col min="8204" max="8448" width="12.42578125" style="144"/>
    <col min="8449" max="8449" width="3" style="144" customWidth="1"/>
    <col min="8450" max="8450" width="9.7109375" style="144" bestFit="1" customWidth="1"/>
    <col min="8451" max="8451" width="11.140625" style="144" bestFit="1" customWidth="1"/>
    <col min="8452" max="8452" width="40.85546875" style="144" bestFit="1" customWidth="1"/>
    <col min="8453" max="8453" width="11.5703125" style="144" bestFit="1" customWidth="1"/>
    <col min="8454" max="8454" width="10.5703125" style="144" bestFit="1" customWidth="1"/>
    <col min="8455" max="8456" width="14.85546875" style="144" bestFit="1" customWidth="1"/>
    <col min="8457" max="8457" width="10.5703125" style="144" bestFit="1" customWidth="1"/>
    <col min="8458" max="8458" width="9.5703125" style="144" bestFit="1" customWidth="1"/>
    <col min="8459" max="8459" width="10.5703125" style="144" bestFit="1" customWidth="1"/>
    <col min="8460" max="8704" width="12.42578125" style="144"/>
    <col min="8705" max="8705" width="3" style="144" customWidth="1"/>
    <col min="8706" max="8706" width="9.7109375" style="144" bestFit="1" customWidth="1"/>
    <col min="8707" max="8707" width="11.140625" style="144" bestFit="1" customWidth="1"/>
    <col min="8708" max="8708" width="40.85546875" style="144" bestFit="1" customWidth="1"/>
    <col min="8709" max="8709" width="11.5703125" style="144" bestFit="1" customWidth="1"/>
    <col min="8710" max="8710" width="10.5703125" style="144" bestFit="1" customWidth="1"/>
    <col min="8711" max="8712" width="14.85546875" style="144" bestFit="1" customWidth="1"/>
    <col min="8713" max="8713" width="10.5703125" style="144" bestFit="1" customWidth="1"/>
    <col min="8714" max="8714" width="9.5703125" style="144" bestFit="1" customWidth="1"/>
    <col min="8715" max="8715" width="10.5703125" style="144" bestFit="1" customWidth="1"/>
    <col min="8716" max="8960" width="12.42578125" style="144"/>
    <col min="8961" max="8961" width="3" style="144" customWidth="1"/>
    <col min="8962" max="8962" width="9.7109375" style="144" bestFit="1" customWidth="1"/>
    <col min="8963" max="8963" width="11.140625" style="144" bestFit="1" customWidth="1"/>
    <col min="8964" max="8964" width="40.85546875" style="144" bestFit="1" customWidth="1"/>
    <col min="8965" max="8965" width="11.5703125" style="144" bestFit="1" customWidth="1"/>
    <col min="8966" max="8966" width="10.5703125" style="144" bestFit="1" customWidth="1"/>
    <col min="8967" max="8968" width="14.85546875" style="144" bestFit="1" customWidth="1"/>
    <col min="8969" max="8969" width="10.5703125" style="144" bestFit="1" customWidth="1"/>
    <col min="8970" max="8970" width="9.5703125" style="144" bestFit="1" customWidth="1"/>
    <col min="8971" max="8971" width="10.5703125" style="144" bestFit="1" customWidth="1"/>
    <col min="8972" max="9216" width="12.42578125" style="144"/>
    <col min="9217" max="9217" width="3" style="144" customWidth="1"/>
    <col min="9218" max="9218" width="9.7109375" style="144" bestFit="1" customWidth="1"/>
    <col min="9219" max="9219" width="11.140625" style="144" bestFit="1" customWidth="1"/>
    <col min="9220" max="9220" width="40.85546875" style="144" bestFit="1" customWidth="1"/>
    <col min="9221" max="9221" width="11.5703125" style="144" bestFit="1" customWidth="1"/>
    <col min="9222" max="9222" width="10.5703125" style="144" bestFit="1" customWidth="1"/>
    <col min="9223" max="9224" width="14.85546875" style="144" bestFit="1" customWidth="1"/>
    <col min="9225" max="9225" width="10.5703125" style="144" bestFit="1" customWidth="1"/>
    <col min="9226" max="9226" width="9.5703125" style="144" bestFit="1" customWidth="1"/>
    <col min="9227" max="9227" width="10.5703125" style="144" bestFit="1" customWidth="1"/>
    <col min="9228" max="9472" width="12.42578125" style="144"/>
    <col min="9473" max="9473" width="3" style="144" customWidth="1"/>
    <col min="9474" max="9474" width="9.7109375" style="144" bestFit="1" customWidth="1"/>
    <col min="9475" max="9475" width="11.140625" style="144" bestFit="1" customWidth="1"/>
    <col min="9476" max="9476" width="40.85546875" style="144" bestFit="1" customWidth="1"/>
    <col min="9477" max="9477" width="11.5703125" style="144" bestFit="1" customWidth="1"/>
    <col min="9478" max="9478" width="10.5703125" style="144" bestFit="1" customWidth="1"/>
    <col min="9479" max="9480" width="14.85546875" style="144" bestFit="1" customWidth="1"/>
    <col min="9481" max="9481" width="10.5703125" style="144" bestFit="1" customWidth="1"/>
    <col min="9482" max="9482" width="9.5703125" style="144" bestFit="1" customWidth="1"/>
    <col min="9483" max="9483" width="10.5703125" style="144" bestFit="1" customWidth="1"/>
    <col min="9484" max="9728" width="12.42578125" style="144"/>
    <col min="9729" max="9729" width="3" style="144" customWidth="1"/>
    <col min="9730" max="9730" width="9.7109375" style="144" bestFit="1" customWidth="1"/>
    <col min="9731" max="9731" width="11.140625" style="144" bestFit="1" customWidth="1"/>
    <col min="9732" max="9732" width="40.85546875" style="144" bestFit="1" customWidth="1"/>
    <col min="9733" max="9733" width="11.5703125" style="144" bestFit="1" customWidth="1"/>
    <col min="9734" max="9734" width="10.5703125" style="144" bestFit="1" customWidth="1"/>
    <col min="9735" max="9736" width="14.85546875" style="144" bestFit="1" customWidth="1"/>
    <col min="9737" max="9737" width="10.5703125" style="144" bestFit="1" customWidth="1"/>
    <col min="9738" max="9738" width="9.5703125" style="144" bestFit="1" customWidth="1"/>
    <col min="9739" max="9739" width="10.5703125" style="144" bestFit="1" customWidth="1"/>
    <col min="9740" max="9984" width="12.42578125" style="144"/>
    <col min="9985" max="9985" width="3" style="144" customWidth="1"/>
    <col min="9986" max="9986" width="9.7109375" style="144" bestFit="1" customWidth="1"/>
    <col min="9987" max="9987" width="11.140625" style="144" bestFit="1" customWidth="1"/>
    <col min="9988" max="9988" width="40.85546875" style="144" bestFit="1" customWidth="1"/>
    <col min="9989" max="9989" width="11.5703125" style="144" bestFit="1" customWidth="1"/>
    <col min="9990" max="9990" width="10.5703125" style="144" bestFit="1" customWidth="1"/>
    <col min="9991" max="9992" width="14.85546875" style="144" bestFit="1" customWidth="1"/>
    <col min="9993" max="9993" width="10.5703125" style="144" bestFit="1" customWidth="1"/>
    <col min="9994" max="9994" width="9.5703125" style="144" bestFit="1" customWidth="1"/>
    <col min="9995" max="9995" width="10.5703125" style="144" bestFit="1" customWidth="1"/>
    <col min="9996" max="10240" width="12.42578125" style="144"/>
    <col min="10241" max="10241" width="3" style="144" customWidth="1"/>
    <col min="10242" max="10242" width="9.7109375" style="144" bestFit="1" customWidth="1"/>
    <col min="10243" max="10243" width="11.140625" style="144" bestFit="1" customWidth="1"/>
    <col min="10244" max="10244" width="40.85546875" style="144" bestFit="1" customWidth="1"/>
    <col min="10245" max="10245" width="11.5703125" style="144" bestFit="1" customWidth="1"/>
    <col min="10246" max="10246" width="10.5703125" style="144" bestFit="1" customWidth="1"/>
    <col min="10247" max="10248" width="14.85546875" style="144" bestFit="1" customWidth="1"/>
    <col min="10249" max="10249" width="10.5703125" style="144" bestFit="1" customWidth="1"/>
    <col min="10250" max="10250" width="9.5703125" style="144" bestFit="1" customWidth="1"/>
    <col min="10251" max="10251" width="10.5703125" style="144" bestFit="1" customWidth="1"/>
    <col min="10252" max="10496" width="12.42578125" style="144"/>
    <col min="10497" max="10497" width="3" style="144" customWidth="1"/>
    <col min="10498" max="10498" width="9.7109375" style="144" bestFit="1" customWidth="1"/>
    <col min="10499" max="10499" width="11.140625" style="144" bestFit="1" customWidth="1"/>
    <col min="10500" max="10500" width="40.85546875" style="144" bestFit="1" customWidth="1"/>
    <col min="10501" max="10501" width="11.5703125" style="144" bestFit="1" customWidth="1"/>
    <col min="10502" max="10502" width="10.5703125" style="144" bestFit="1" customWidth="1"/>
    <col min="10503" max="10504" width="14.85546875" style="144" bestFit="1" customWidth="1"/>
    <col min="10505" max="10505" width="10.5703125" style="144" bestFit="1" customWidth="1"/>
    <col min="10506" max="10506" width="9.5703125" style="144" bestFit="1" customWidth="1"/>
    <col min="10507" max="10507" width="10.5703125" style="144" bestFit="1" customWidth="1"/>
    <col min="10508" max="10752" width="12.42578125" style="144"/>
    <col min="10753" max="10753" width="3" style="144" customWidth="1"/>
    <col min="10754" max="10754" width="9.7109375" style="144" bestFit="1" customWidth="1"/>
    <col min="10755" max="10755" width="11.140625" style="144" bestFit="1" customWidth="1"/>
    <col min="10756" max="10756" width="40.85546875" style="144" bestFit="1" customWidth="1"/>
    <col min="10757" max="10757" width="11.5703125" style="144" bestFit="1" customWidth="1"/>
    <col min="10758" max="10758" width="10.5703125" style="144" bestFit="1" customWidth="1"/>
    <col min="10759" max="10760" width="14.85546875" style="144" bestFit="1" customWidth="1"/>
    <col min="10761" max="10761" width="10.5703125" style="144" bestFit="1" customWidth="1"/>
    <col min="10762" max="10762" width="9.5703125" style="144" bestFit="1" customWidth="1"/>
    <col min="10763" max="10763" width="10.5703125" style="144" bestFit="1" customWidth="1"/>
    <col min="10764" max="11008" width="12.42578125" style="144"/>
    <col min="11009" max="11009" width="3" style="144" customWidth="1"/>
    <col min="11010" max="11010" width="9.7109375" style="144" bestFit="1" customWidth="1"/>
    <col min="11011" max="11011" width="11.140625" style="144" bestFit="1" customWidth="1"/>
    <col min="11012" max="11012" width="40.85546875" style="144" bestFit="1" customWidth="1"/>
    <col min="11013" max="11013" width="11.5703125" style="144" bestFit="1" customWidth="1"/>
    <col min="11014" max="11014" width="10.5703125" style="144" bestFit="1" customWidth="1"/>
    <col min="11015" max="11016" width="14.85546875" style="144" bestFit="1" customWidth="1"/>
    <col min="11017" max="11017" width="10.5703125" style="144" bestFit="1" customWidth="1"/>
    <col min="11018" max="11018" width="9.5703125" style="144" bestFit="1" customWidth="1"/>
    <col min="11019" max="11019" width="10.5703125" style="144" bestFit="1" customWidth="1"/>
    <col min="11020" max="11264" width="12.42578125" style="144"/>
    <col min="11265" max="11265" width="3" style="144" customWidth="1"/>
    <col min="11266" max="11266" width="9.7109375" style="144" bestFit="1" customWidth="1"/>
    <col min="11267" max="11267" width="11.140625" style="144" bestFit="1" customWidth="1"/>
    <col min="11268" max="11268" width="40.85546875" style="144" bestFit="1" customWidth="1"/>
    <col min="11269" max="11269" width="11.5703125" style="144" bestFit="1" customWidth="1"/>
    <col min="11270" max="11270" width="10.5703125" style="144" bestFit="1" customWidth="1"/>
    <col min="11271" max="11272" width="14.85546875" style="144" bestFit="1" customWidth="1"/>
    <col min="11273" max="11273" width="10.5703125" style="144" bestFit="1" customWidth="1"/>
    <col min="11274" max="11274" width="9.5703125" style="144" bestFit="1" customWidth="1"/>
    <col min="11275" max="11275" width="10.5703125" style="144" bestFit="1" customWidth="1"/>
    <col min="11276" max="11520" width="12.42578125" style="144"/>
    <col min="11521" max="11521" width="3" style="144" customWidth="1"/>
    <col min="11522" max="11522" width="9.7109375" style="144" bestFit="1" customWidth="1"/>
    <col min="11523" max="11523" width="11.140625" style="144" bestFit="1" customWidth="1"/>
    <col min="11524" max="11524" width="40.85546875" style="144" bestFit="1" customWidth="1"/>
    <col min="11525" max="11525" width="11.5703125" style="144" bestFit="1" customWidth="1"/>
    <col min="11526" max="11526" width="10.5703125" style="144" bestFit="1" customWidth="1"/>
    <col min="11527" max="11528" width="14.85546875" style="144" bestFit="1" customWidth="1"/>
    <col min="11529" max="11529" width="10.5703125" style="144" bestFit="1" customWidth="1"/>
    <col min="11530" max="11530" width="9.5703125" style="144" bestFit="1" customWidth="1"/>
    <col min="11531" max="11531" width="10.5703125" style="144" bestFit="1" customWidth="1"/>
    <col min="11532" max="11776" width="12.42578125" style="144"/>
    <col min="11777" max="11777" width="3" style="144" customWidth="1"/>
    <col min="11778" max="11778" width="9.7109375" style="144" bestFit="1" customWidth="1"/>
    <col min="11779" max="11779" width="11.140625" style="144" bestFit="1" customWidth="1"/>
    <col min="11780" max="11780" width="40.85546875" style="144" bestFit="1" customWidth="1"/>
    <col min="11781" max="11781" width="11.5703125" style="144" bestFit="1" customWidth="1"/>
    <col min="11782" max="11782" width="10.5703125" style="144" bestFit="1" customWidth="1"/>
    <col min="11783" max="11784" width="14.85546875" style="144" bestFit="1" customWidth="1"/>
    <col min="11785" max="11785" width="10.5703125" style="144" bestFit="1" customWidth="1"/>
    <col min="11786" max="11786" width="9.5703125" style="144" bestFit="1" customWidth="1"/>
    <col min="11787" max="11787" width="10.5703125" style="144" bestFit="1" customWidth="1"/>
    <col min="11788" max="12032" width="12.42578125" style="144"/>
    <col min="12033" max="12033" width="3" style="144" customWidth="1"/>
    <col min="12034" max="12034" width="9.7109375" style="144" bestFit="1" customWidth="1"/>
    <col min="12035" max="12035" width="11.140625" style="144" bestFit="1" customWidth="1"/>
    <col min="12036" max="12036" width="40.85546875" style="144" bestFit="1" customWidth="1"/>
    <col min="12037" max="12037" width="11.5703125" style="144" bestFit="1" customWidth="1"/>
    <col min="12038" max="12038" width="10.5703125" style="144" bestFit="1" customWidth="1"/>
    <col min="12039" max="12040" width="14.85546875" style="144" bestFit="1" customWidth="1"/>
    <col min="12041" max="12041" width="10.5703125" style="144" bestFit="1" customWidth="1"/>
    <col min="12042" max="12042" width="9.5703125" style="144" bestFit="1" customWidth="1"/>
    <col min="12043" max="12043" width="10.5703125" style="144" bestFit="1" customWidth="1"/>
    <col min="12044" max="12288" width="12.42578125" style="144"/>
    <col min="12289" max="12289" width="3" style="144" customWidth="1"/>
    <col min="12290" max="12290" width="9.7109375" style="144" bestFit="1" customWidth="1"/>
    <col min="12291" max="12291" width="11.140625" style="144" bestFit="1" customWidth="1"/>
    <col min="12292" max="12292" width="40.85546875" style="144" bestFit="1" customWidth="1"/>
    <col min="12293" max="12293" width="11.5703125" style="144" bestFit="1" customWidth="1"/>
    <col min="12294" max="12294" width="10.5703125" style="144" bestFit="1" customWidth="1"/>
    <col min="12295" max="12296" width="14.85546875" style="144" bestFit="1" customWidth="1"/>
    <col min="12297" max="12297" width="10.5703125" style="144" bestFit="1" customWidth="1"/>
    <col min="12298" max="12298" width="9.5703125" style="144" bestFit="1" customWidth="1"/>
    <col min="12299" max="12299" width="10.5703125" style="144" bestFit="1" customWidth="1"/>
    <col min="12300" max="12544" width="12.42578125" style="144"/>
    <col min="12545" max="12545" width="3" style="144" customWidth="1"/>
    <col min="12546" max="12546" width="9.7109375" style="144" bestFit="1" customWidth="1"/>
    <col min="12547" max="12547" width="11.140625" style="144" bestFit="1" customWidth="1"/>
    <col min="12548" max="12548" width="40.85546875" style="144" bestFit="1" customWidth="1"/>
    <col min="12549" max="12549" width="11.5703125" style="144" bestFit="1" customWidth="1"/>
    <col min="12550" max="12550" width="10.5703125" style="144" bestFit="1" customWidth="1"/>
    <col min="12551" max="12552" width="14.85546875" style="144" bestFit="1" customWidth="1"/>
    <col min="12553" max="12553" width="10.5703125" style="144" bestFit="1" customWidth="1"/>
    <col min="12554" max="12554" width="9.5703125" style="144" bestFit="1" customWidth="1"/>
    <col min="12555" max="12555" width="10.5703125" style="144" bestFit="1" customWidth="1"/>
    <col min="12556" max="12800" width="12.42578125" style="144"/>
    <col min="12801" max="12801" width="3" style="144" customWidth="1"/>
    <col min="12802" max="12802" width="9.7109375" style="144" bestFit="1" customWidth="1"/>
    <col min="12803" max="12803" width="11.140625" style="144" bestFit="1" customWidth="1"/>
    <col min="12804" max="12804" width="40.85546875" style="144" bestFit="1" customWidth="1"/>
    <col min="12805" max="12805" width="11.5703125" style="144" bestFit="1" customWidth="1"/>
    <col min="12806" max="12806" width="10.5703125" style="144" bestFit="1" customWidth="1"/>
    <col min="12807" max="12808" width="14.85546875" style="144" bestFit="1" customWidth="1"/>
    <col min="12809" max="12809" width="10.5703125" style="144" bestFit="1" customWidth="1"/>
    <col min="12810" max="12810" width="9.5703125" style="144" bestFit="1" customWidth="1"/>
    <col min="12811" max="12811" width="10.5703125" style="144" bestFit="1" customWidth="1"/>
    <col min="12812" max="13056" width="12.42578125" style="144"/>
    <col min="13057" max="13057" width="3" style="144" customWidth="1"/>
    <col min="13058" max="13058" width="9.7109375" style="144" bestFit="1" customWidth="1"/>
    <col min="13059" max="13059" width="11.140625" style="144" bestFit="1" customWidth="1"/>
    <col min="13060" max="13060" width="40.85546875" style="144" bestFit="1" customWidth="1"/>
    <col min="13061" max="13061" width="11.5703125" style="144" bestFit="1" customWidth="1"/>
    <col min="13062" max="13062" width="10.5703125" style="144" bestFit="1" customWidth="1"/>
    <col min="13063" max="13064" width="14.85546875" style="144" bestFit="1" customWidth="1"/>
    <col min="13065" max="13065" width="10.5703125" style="144" bestFit="1" customWidth="1"/>
    <col min="13066" max="13066" width="9.5703125" style="144" bestFit="1" customWidth="1"/>
    <col min="13067" max="13067" width="10.5703125" style="144" bestFit="1" customWidth="1"/>
    <col min="13068" max="13312" width="12.42578125" style="144"/>
    <col min="13313" max="13313" width="3" style="144" customWidth="1"/>
    <col min="13314" max="13314" width="9.7109375" style="144" bestFit="1" customWidth="1"/>
    <col min="13315" max="13315" width="11.140625" style="144" bestFit="1" customWidth="1"/>
    <col min="13316" max="13316" width="40.85546875" style="144" bestFit="1" customWidth="1"/>
    <col min="13317" max="13317" width="11.5703125" style="144" bestFit="1" customWidth="1"/>
    <col min="13318" max="13318" width="10.5703125" style="144" bestFit="1" customWidth="1"/>
    <col min="13319" max="13320" width="14.85546875" style="144" bestFit="1" customWidth="1"/>
    <col min="13321" max="13321" width="10.5703125" style="144" bestFit="1" customWidth="1"/>
    <col min="13322" max="13322" width="9.5703125" style="144" bestFit="1" customWidth="1"/>
    <col min="13323" max="13323" width="10.5703125" style="144" bestFit="1" customWidth="1"/>
    <col min="13324" max="13568" width="12.42578125" style="144"/>
    <col min="13569" max="13569" width="3" style="144" customWidth="1"/>
    <col min="13570" max="13570" width="9.7109375" style="144" bestFit="1" customWidth="1"/>
    <col min="13571" max="13571" width="11.140625" style="144" bestFit="1" customWidth="1"/>
    <col min="13572" max="13572" width="40.85546875" style="144" bestFit="1" customWidth="1"/>
    <col min="13573" max="13573" width="11.5703125" style="144" bestFit="1" customWidth="1"/>
    <col min="13574" max="13574" width="10.5703125" style="144" bestFit="1" customWidth="1"/>
    <col min="13575" max="13576" width="14.85546875" style="144" bestFit="1" customWidth="1"/>
    <col min="13577" max="13577" width="10.5703125" style="144" bestFit="1" customWidth="1"/>
    <col min="13578" max="13578" width="9.5703125" style="144" bestFit="1" customWidth="1"/>
    <col min="13579" max="13579" width="10.5703125" style="144" bestFit="1" customWidth="1"/>
    <col min="13580" max="13824" width="12.42578125" style="144"/>
    <col min="13825" max="13825" width="3" style="144" customWidth="1"/>
    <col min="13826" max="13826" width="9.7109375" style="144" bestFit="1" customWidth="1"/>
    <col min="13827" max="13827" width="11.140625" style="144" bestFit="1" customWidth="1"/>
    <col min="13828" max="13828" width="40.85546875" style="144" bestFit="1" customWidth="1"/>
    <col min="13829" max="13829" width="11.5703125" style="144" bestFit="1" customWidth="1"/>
    <col min="13830" max="13830" width="10.5703125" style="144" bestFit="1" customWidth="1"/>
    <col min="13831" max="13832" width="14.85546875" style="144" bestFit="1" customWidth="1"/>
    <col min="13833" max="13833" width="10.5703125" style="144" bestFit="1" customWidth="1"/>
    <col min="13834" max="13834" width="9.5703125" style="144" bestFit="1" customWidth="1"/>
    <col min="13835" max="13835" width="10.5703125" style="144" bestFit="1" customWidth="1"/>
    <col min="13836" max="14080" width="12.42578125" style="144"/>
    <col min="14081" max="14081" width="3" style="144" customWidth="1"/>
    <col min="14082" max="14082" width="9.7109375" style="144" bestFit="1" customWidth="1"/>
    <col min="14083" max="14083" width="11.140625" style="144" bestFit="1" customWidth="1"/>
    <col min="14084" max="14084" width="40.85546875" style="144" bestFit="1" customWidth="1"/>
    <col min="14085" max="14085" width="11.5703125" style="144" bestFit="1" customWidth="1"/>
    <col min="14086" max="14086" width="10.5703125" style="144" bestFit="1" customWidth="1"/>
    <col min="14087" max="14088" width="14.85546875" style="144" bestFit="1" customWidth="1"/>
    <col min="14089" max="14089" width="10.5703125" style="144" bestFit="1" customWidth="1"/>
    <col min="14090" max="14090" width="9.5703125" style="144" bestFit="1" customWidth="1"/>
    <col min="14091" max="14091" width="10.5703125" style="144" bestFit="1" customWidth="1"/>
    <col min="14092" max="14336" width="12.42578125" style="144"/>
    <col min="14337" max="14337" width="3" style="144" customWidth="1"/>
    <col min="14338" max="14338" width="9.7109375" style="144" bestFit="1" customWidth="1"/>
    <col min="14339" max="14339" width="11.140625" style="144" bestFit="1" customWidth="1"/>
    <col min="14340" max="14340" width="40.85546875" style="144" bestFit="1" customWidth="1"/>
    <col min="14341" max="14341" width="11.5703125" style="144" bestFit="1" customWidth="1"/>
    <col min="14342" max="14342" width="10.5703125" style="144" bestFit="1" customWidth="1"/>
    <col min="14343" max="14344" width="14.85546875" style="144" bestFit="1" customWidth="1"/>
    <col min="14345" max="14345" width="10.5703125" style="144" bestFit="1" customWidth="1"/>
    <col min="14346" max="14346" width="9.5703125" style="144" bestFit="1" customWidth="1"/>
    <col min="14347" max="14347" width="10.5703125" style="144" bestFit="1" customWidth="1"/>
    <col min="14348" max="14592" width="12.42578125" style="144"/>
    <col min="14593" max="14593" width="3" style="144" customWidth="1"/>
    <col min="14594" max="14594" width="9.7109375" style="144" bestFit="1" customWidth="1"/>
    <col min="14595" max="14595" width="11.140625" style="144" bestFit="1" customWidth="1"/>
    <col min="14596" max="14596" width="40.85546875" style="144" bestFit="1" customWidth="1"/>
    <col min="14597" max="14597" width="11.5703125" style="144" bestFit="1" customWidth="1"/>
    <col min="14598" max="14598" width="10.5703125" style="144" bestFit="1" customWidth="1"/>
    <col min="14599" max="14600" width="14.85546875" style="144" bestFit="1" customWidth="1"/>
    <col min="14601" max="14601" width="10.5703125" style="144" bestFit="1" customWidth="1"/>
    <col min="14602" max="14602" width="9.5703125" style="144" bestFit="1" customWidth="1"/>
    <col min="14603" max="14603" width="10.5703125" style="144" bestFit="1" customWidth="1"/>
    <col min="14604" max="14848" width="12.42578125" style="144"/>
    <col min="14849" max="14849" width="3" style="144" customWidth="1"/>
    <col min="14850" max="14850" width="9.7109375" style="144" bestFit="1" customWidth="1"/>
    <col min="14851" max="14851" width="11.140625" style="144" bestFit="1" customWidth="1"/>
    <col min="14852" max="14852" width="40.85546875" style="144" bestFit="1" customWidth="1"/>
    <col min="14853" max="14853" width="11.5703125" style="144" bestFit="1" customWidth="1"/>
    <col min="14854" max="14854" width="10.5703125" style="144" bestFit="1" customWidth="1"/>
    <col min="14855" max="14856" width="14.85546875" style="144" bestFit="1" customWidth="1"/>
    <col min="14857" max="14857" width="10.5703125" style="144" bestFit="1" customWidth="1"/>
    <col min="14858" max="14858" width="9.5703125" style="144" bestFit="1" customWidth="1"/>
    <col min="14859" max="14859" width="10.5703125" style="144" bestFit="1" customWidth="1"/>
    <col min="14860" max="15104" width="12.42578125" style="144"/>
    <col min="15105" max="15105" width="3" style="144" customWidth="1"/>
    <col min="15106" max="15106" width="9.7109375" style="144" bestFit="1" customWidth="1"/>
    <col min="15107" max="15107" width="11.140625" style="144" bestFit="1" customWidth="1"/>
    <col min="15108" max="15108" width="40.85546875" style="144" bestFit="1" customWidth="1"/>
    <col min="15109" max="15109" width="11.5703125" style="144" bestFit="1" customWidth="1"/>
    <col min="15110" max="15110" width="10.5703125" style="144" bestFit="1" customWidth="1"/>
    <col min="15111" max="15112" width="14.85546875" style="144" bestFit="1" customWidth="1"/>
    <col min="15113" max="15113" width="10.5703125" style="144" bestFit="1" customWidth="1"/>
    <col min="15114" max="15114" width="9.5703125" style="144" bestFit="1" customWidth="1"/>
    <col min="15115" max="15115" width="10.5703125" style="144" bestFit="1" customWidth="1"/>
    <col min="15116" max="15360" width="12.42578125" style="144"/>
    <col min="15361" max="15361" width="3" style="144" customWidth="1"/>
    <col min="15362" max="15362" width="9.7109375" style="144" bestFit="1" customWidth="1"/>
    <col min="15363" max="15363" width="11.140625" style="144" bestFit="1" customWidth="1"/>
    <col min="15364" max="15364" width="40.85546875" style="144" bestFit="1" customWidth="1"/>
    <col min="15365" max="15365" width="11.5703125" style="144" bestFit="1" customWidth="1"/>
    <col min="15366" max="15366" width="10.5703125" style="144" bestFit="1" customWidth="1"/>
    <col min="15367" max="15368" width="14.85546875" style="144" bestFit="1" customWidth="1"/>
    <col min="15369" max="15369" width="10.5703125" style="144" bestFit="1" customWidth="1"/>
    <col min="15370" max="15370" width="9.5703125" style="144" bestFit="1" customWidth="1"/>
    <col min="15371" max="15371" width="10.5703125" style="144" bestFit="1" customWidth="1"/>
    <col min="15372" max="15616" width="12.42578125" style="144"/>
    <col min="15617" max="15617" width="3" style="144" customWidth="1"/>
    <col min="15618" max="15618" width="9.7109375" style="144" bestFit="1" customWidth="1"/>
    <col min="15619" max="15619" width="11.140625" style="144" bestFit="1" customWidth="1"/>
    <col min="15620" max="15620" width="40.85546875" style="144" bestFit="1" customWidth="1"/>
    <col min="15621" max="15621" width="11.5703125" style="144" bestFit="1" customWidth="1"/>
    <col min="15622" max="15622" width="10.5703125" style="144" bestFit="1" customWidth="1"/>
    <col min="15623" max="15624" width="14.85546875" style="144" bestFit="1" customWidth="1"/>
    <col min="15625" max="15625" width="10.5703125" style="144" bestFit="1" customWidth="1"/>
    <col min="15626" max="15626" width="9.5703125" style="144" bestFit="1" customWidth="1"/>
    <col min="15627" max="15627" width="10.5703125" style="144" bestFit="1" customWidth="1"/>
    <col min="15628" max="15872" width="12.42578125" style="144"/>
    <col min="15873" max="15873" width="3" style="144" customWidth="1"/>
    <col min="15874" max="15874" width="9.7109375" style="144" bestFit="1" customWidth="1"/>
    <col min="15875" max="15875" width="11.140625" style="144" bestFit="1" customWidth="1"/>
    <col min="15876" max="15876" width="40.85546875" style="144" bestFit="1" customWidth="1"/>
    <col min="15877" max="15877" width="11.5703125" style="144" bestFit="1" customWidth="1"/>
    <col min="15878" max="15878" width="10.5703125" style="144" bestFit="1" customWidth="1"/>
    <col min="15879" max="15880" width="14.85546875" style="144" bestFit="1" customWidth="1"/>
    <col min="15881" max="15881" width="10.5703125" style="144" bestFit="1" customWidth="1"/>
    <col min="15882" max="15882" width="9.5703125" style="144" bestFit="1" customWidth="1"/>
    <col min="15883" max="15883" width="10.5703125" style="144" bestFit="1" customWidth="1"/>
    <col min="15884" max="16128" width="12.42578125" style="144"/>
    <col min="16129" max="16129" width="3" style="144" customWidth="1"/>
    <col min="16130" max="16130" width="9.7109375" style="144" bestFit="1" customWidth="1"/>
    <col min="16131" max="16131" width="11.140625" style="144" bestFit="1" customWidth="1"/>
    <col min="16132" max="16132" width="40.85546875" style="144" bestFit="1" customWidth="1"/>
    <col min="16133" max="16133" width="11.5703125" style="144" bestFit="1" customWidth="1"/>
    <col min="16134" max="16134" width="10.5703125" style="144" bestFit="1" customWidth="1"/>
    <col min="16135" max="16136" width="14.85546875" style="144" bestFit="1" customWidth="1"/>
    <col min="16137" max="16137" width="10.5703125" style="144" bestFit="1" customWidth="1"/>
    <col min="16138" max="16138" width="9.5703125" style="144" bestFit="1" customWidth="1"/>
    <col min="16139" max="16139" width="10.5703125" style="144" bestFit="1" customWidth="1"/>
    <col min="16140" max="16384" width="12.42578125" style="144"/>
  </cols>
  <sheetData>
    <row r="1" spans="2:13" ht="18.75" x14ac:dyDescent="0.3">
      <c r="D1" s="126" t="s">
        <v>0</v>
      </c>
    </row>
    <row r="2" spans="2:13" ht="15.75" x14ac:dyDescent="0.25">
      <c r="D2" s="128" t="s">
        <v>727</v>
      </c>
    </row>
    <row r="3" spans="2:13" ht="15.75" x14ac:dyDescent="0.25">
      <c r="D3" s="129" t="s">
        <v>2</v>
      </c>
    </row>
    <row r="6" spans="2:13" x14ac:dyDescent="0.25">
      <c r="D6" s="244" t="s">
        <v>693</v>
      </c>
      <c r="E6" s="245">
        <f>-K84</f>
        <v>-2257.6400000000003</v>
      </c>
      <c r="F6" s="245" t="s">
        <v>317</v>
      </c>
    </row>
    <row r="7" spans="2:13" x14ac:dyDescent="0.25">
      <c r="D7" s="244" t="s">
        <v>926</v>
      </c>
      <c r="E7" s="245">
        <f>E82</f>
        <v>11407.428480000002</v>
      </c>
      <c r="F7" s="245" t="s">
        <v>332</v>
      </c>
    </row>
    <row r="9" spans="2:13" s="150" customFormat="1" x14ac:dyDescent="0.25">
      <c r="B9" s="146" t="s">
        <v>728</v>
      </c>
      <c r="C9" s="147" t="s">
        <v>729</v>
      </c>
      <c r="D9" s="148" t="s">
        <v>730</v>
      </c>
      <c r="E9" s="149" t="s">
        <v>731</v>
      </c>
      <c r="F9" s="149" t="s">
        <v>687</v>
      </c>
      <c r="G9" s="149" t="s">
        <v>732</v>
      </c>
      <c r="H9" s="149" t="s">
        <v>733</v>
      </c>
      <c r="I9" s="149" t="s">
        <v>734</v>
      </c>
      <c r="J9" s="149" t="s">
        <v>735</v>
      </c>
      <c r="K9" s="149" t="s">
        <v>736</v>
      </c>
      <c r="M9" s="242" t="s">
        <v>737</v>
      </c>
    </row>
    <row r="10" spans="2:13" x14ac:dyDescent="0.25">
      <c r="B10" s="143">
        <v>44470</v>
      </c>
      <c r="C10" s="144">
        <v>14906</v>
      </c>
      <c r="D10" s="151" t="s">
        <v>738</v>
      </c>
      <c r="E10" s="145">
        <v>275</v>
      </c>
      <c r="J10" s="145">
        <f>E10</f>
        <v>275</v>
      </c>
    </row>
    <row r="11" spans="2:13" x14ac:dyDescent="0.25">
      <c r="B11" s="143">
        <v>44470</v>
      </c>
      <c r="C11" s="144">
        <v>173736</v>
      </c>
      <c r="D11" s="151" t="s">
        <v>739</v>
      </c>
      <c r="E11" s="145">
        <v>3931.58</v>
      </c>
      <c r="F11" s="145">
        <f>E11</f>
        <v>3931.58</v>
      </c>
    </row>
    <row r="12" spans="2:13" x14ac:dyDescent="0.25">
      <c r="B12" s="143">
        <v>44470</v>
      </c>
      <c r="C12" s="144">
        <v>173735</v>
      </c>
      <c r="D12" s="151" t="s">
        <v>740</v>
      </c>
      <c r="E12" s="145">
        <v>2737.44</v>
      </c>
      <c r="H12" s="145">
        <f>E12</f>
        <v>2737.44</v>
      </c>
    </row>
    <row r="13" spans="2:13" x14ac:dyDescent="0.25">
      <c r="B13" s="143">
        <v>44470</v>
      </c>
      <c r="C13" s="144">
        <v>173734</v>
      </c>
      <c r="D13" s="151" t="s">
        <v>741</v>
      </c>
      <c r="E13" s="145">
        <v>1648.69</v>
      </c>
      <c r="G13" s="145">
        <f>E13</f>
        <v>1648.69</v>
      </c>
    </row>
    <row r="14" spans="2:13" x14ac:dyDescent="0.25">
      <c r="B14" s="143">
        <v>44470</v>
      </c>
      <c r="C14" s="144">
        <v>173733</v>
      </c>
      <c r="D14" s="151" t="s">
        <v>742</v>
      </c>
      <c r="E14" s="145">
        <v>2488.58</v>
      </c>
      <c r="I14" s="145">
        <f>E14</f>
        <v>2488.58</v>
      </c>
    </row>
    <row r="15" spans="2:13" x14ac:dyDescent="0.25">
      <c r="B15" s="143">
        <v>44501</v>
      </c>
      <c r="C15" s="144">
        <v>15087</v>
      </c>
      <c r="D15" s="151" t="s">
        <v>738</v>
      </c>
      <c r="E15" s="145">
        <v>275</v>
      </c>
      <c r="J15" s="145">
        <f>E15</f>
        <v>275</v>
      </c>
    </row>
    <row r="16" spans="2:13" x14ac:dyDescent="0.25">
      <c r="B16" s="143">
        <v>44501</v>
      </c>
      <c r="C16" s="152">
        <v>435.52380952380952</v>
      </c>
      <c r="D16" s="151" t="s">
        <v>739</v>
      </c>
      <c r="E16" s="145">
        <v>3931.58</v>
      </c>
      <c r="F16" s="145">
        <f>E16</f>
        <v>3931.58</v>
      </c>
    </row>
    <row r="17" spans="2:10" x14ac:dyDescent="0.25">
      <c r="B17" s="143">
        <v>44501</v>
      </c>
      <c r="C17" s="152">
        <v>916.52380952380952</v>
      </c>
      <c r="D17" s="151" t="s">
        <v>740</v>
      </c>
      <c r="E17" s="145">
        <v>2737.44</v>
      </c>
      <c r="H17" s="145">
        <f>E17</f>
        <v>2737.44</v>
      </c>
    </row>
    <row r="18" spans="2:10" x14ac:dyDescent="0.25">
      <c r="B18" s="143">
        <v>44501</v>
      </c>
      <c r="C18" s="152">
        <v>914.52380952380952</v>
      </c>
      <c r="D18" s="151" t="s">
        <v>741</v>
      </c>
      <c r="E18" s="145">
        <v>1648.69</v>
      </c>
      <c r="G18" s="145">
        <f>E18</f>
        <v>1648.69</v>
      </c>
    </row>
    <row r="19" spans="2:10" x14ac:dyDescent="0.25">
      <c r="B19" s="143">
        <v>44501</v>
      </c>
      <c r="C19" s="144" t="s">
        <v>743</v>
      </c>
      <c r="D19" s="151" t="s">
        <v>742</v>
      </c>
      <c r="E19" s="145">
        <v>2488.58</v>
      </c>
      <c r="I19" s="145">
        <f>E19</f>
        <v>2488.58</v>
      </c>
    </row>
    <row r="20" spans="2:10" x14ac:dyDescent="0.25">
      <c r="B20" s="143">
        <v>44531</v>
      </c>
      <c r="C20" s="144">
        <v>99773</v>
      </c>
      <c r="D20" s="151" t="s">
        <v>738</v>
      </c>
      <c r="E20" s="145">
        <v>275</v>
      </c>
      <c r="J20" s="145">
        <f>E20</f>
        <v>275</v>
      </c>
    </row>
    <row r="21" spans="2:10" x14ac:dyDescent="0.25">
      <c r="B21" s="143">
        <v>44531</v>
      </c>
      <c r="C21" s="144">
        <v>15248</v>
      </c>
      <c r="D21" s="151" t="s">
        <v>738</v>
      </c>
      <c r="E21" s="145">
        <v>275</v>
      </c>
      <c r="J21" s="145">
        <f>E21</f>
        <v>275</v>
      </c>
    </row>
    <row r="22" spans="2:10" x14ac:dyDescent="0.25">
      <c r="B22" s="143">
        <v>44531</v>
      </c>
      <c r="C22" s="144">
        <v>174887</v>
      </c>
      <c r="D22" s="151" t="s">
        <v>739</v>
      </c>
      <c r="E22" s="145">
        <v>3931.58</v>
      </c>
      <c r="F22" s="145">
        <f>E22</f>
        <v>3931.58</v>
      </c>
    </row>
    <row r="23" spans="2:10" x14ac:dyDescent="0.25">
      <c r="B23" s="143">
        <v>44531</v>
      </c>
      <c r="C23" s="144">
        <v>174886</v>
      </c>
      <c r="D23" s="151" t="s">
        <v>740</v>
      </c>
      <c r="E23" s="145">
        <v>2737.44</v>
      </c>
      <c r="H23" s="145">
        <f>E23</f>
        <v>2737.44</v>
      </c>
    </row>
    <row r="24" spans="2:10" x14ac:dyDescent="0.25">
      <c r="B24" s="143">
        <v>44531</v>
      </c>
      <c r="C24" s="144">
        <v>174885</v>
      </c>
      <c r="D24" s="151" t="s">
        <v>741</v>
      </c>
      <c r="E24" s="145">
        <v>1648.69</v>
      </c>
      <c r="G24" s="145">
        <f>E24</f>
        <v>1648.69</v>
      </c>
    </row>
    <row r="25" spans="2:10" x14ac:dyDescent="0.25">
      <c r="B25" s="143">
        <v>44531</v>
      </c>
      <c r="C25" s="144">
        <v>174884</v>
      </c>
      <c r="D25" s="151" t="s">
        <v>742</v>
      </c>
      <c r="E25" s="145">
        <v>2488.58</v>
      </c>
      <c r="I25" s="145">
        <f>E25</f>
        <v>2488.58</v>
      </c>
    </row>
    <row r="26" spans="2:10" x14ac:dyDescent="0.25">
      <c r="B26" s="143">
        <v>44562</v>
      </c>
      <c r="C26" s="144">
        <v>15413</v>
      </c>
      <c r="D26" s="151" t="s">
        <v>738</v>
      </c>
      <c r="E26" s="145">
        <v>450</v>
      </c>
      <c r="J26" s="145">
        <f>E26</f>
        <v>450</v>
      </c>
    </row>
    <row r="27" spans="2:10" x14ac:dyDescent="0.25">
      <c r="B27" s="143">
        <v>44562</v>
      </c>
      <c r="C27" s="144">
        <v>175434</v>
      </c>
      <c r="D27" s="151" t="s">
        <v>739</v>
      </c>
      <c r="E27" s="145">
        <v>3931.58</v>
      </c>
      <c r="F27" s="145">
        <f>E27</f>
        <v>3931.58</v>
      </c>
    </row>
    <row r="28" spans="2:10" x14ac:dyDescent="0.25">
      <c r="B28" s="143">
        <v>44562</v>
      </c>
      <c r="C28" s="144">
        <v>175433</v>
      </c>
      <c r="D28" s="151" t="s">
        <v>740</v>
      </c>
      <c r="E28" s="145">
        <v>2737.44</v>
      </c>
      <c r="H28" s="145">
        <f>E28</f>
        <v>2737.44</v>
      </c>
    </row>
    <row r="29" spans="2:10" x14ac:dyDescent="0.25">
      <c r="B29" s="143">
        <v>44562</v>
      </c>
      <c r="C29" s="144">
        <v>175432</v>
      </c>
      <c r="D29" s="151" t="s">
        <v>741</v>
      </c>
      <c r="E29" s="145">
        <v>1648.69</v>
      </c>
      <c r="G29" s="145">
        <f>E29</f>
        <v>1648.69</v>
      </c>
    </row>
    <row r="30" spans="2:10" x14ac:dyDescent="0.25">
      <c r="B30" s="143">
        <v>44562</v>
      </c>
      <c r="C30" s="144">
        <v>175431</v>
      </c>
      <c r="D30" s="151" t="s">
        <v>742</v>
      </c>
      <c r="E30" s="145">
        <v>2488.58</v>
      </c>
      <c r="I30" s="145">
        <f>E30</f>
        <v>2488.58</v>
      </c>
    </row>
    <row r="31" spans="2:10" x14ac:dyDescent="0.25">
      <c r="B31" s="143">
        <v>44593</v>
      </c>
      <c r="C31" s="144">
        <v>15556</v>
      </c>
      <c r="D31" s="151" t="s">
        <v>738</v>
      </c>
      <c r="E31" s="145">
        <v>541.44000000000005</v>
      </c>
      <c r="J31" s="145">
        <f>E31</f>
        <v>541.44000000000005</v>
      </c>
    </row>
    <row r="32" spans="2:10" x14ac:dyDescent="0.25">
      <c r="B32" s="143">
        <v>44593</v>
      </c>
      <c r="C32" s="153" t="s">
        <v>744</v>
      </c>
      <c r="D32" s="151" t="s">
        <v>739</v>
      </c>
      <c r="E32" s="145">
        <v>3931.58</v>
      </c>
      <c r="F32" s="145">
        <f>E32</f>
        <v>3931.58</v>
      </c>
    </row>
    <row r="33" spans="2:11" x14ac:dyDescent="0.25">
      <c r="B33" s="143">
        <v>44593</v>
      </c>
      <c r="C33" s="153" t="s">
        <v>745</v>
      </c>
      <c r="D33" s="151" t="s">
        <v>740</v>
      </c>
      <c r="E33" s="145">
        <v>2737.44</v>
      </c>
      <c r="H33" s="145">
        <f>E33</f>
        <v>2737.44</v>
      </c>
    </row>
    <row r="34" spans="2:11" x14ac:dyDescent="0.25">
      <c r="B34" s="143">
        <v>44593</v>
      </c>
      <c r="C34" s="153" t="s">
        <v>746</v>
      </c>
      <c r="D34" s="151" t="s">
        <v>741</v>
      </c>
      <c r="E34" s="145">
        <v>1648.69</v>
      </c>
      <c r="G34" s="145">
        <f>E34</f>
        <v>1648.69</v>
      </c>
    </row>
    <row r="35" spans="2:11" x14ac:dyDescent="0.25">
      <c r="B35" s="143">
        <v>44593</v>
      </c>
      <c r="C35" s="153" t="s">
        <v>747</v>
      </c>
      <c r="D35" s="151" t="s">
        <v>742</v>
      </c>
      <c r="E35" s="145">
        <v>2488.58</v>
      </c>
      <c r="I35" s="145">
        <f>E35</f>
        <v>2488.58</v>
      </c>
    </row>
    <row r="36" spans="2:11" x14ac:dyDescent="0.25">
      <c r="B36" s="143">
        <v>44621</v>
      </c>
      <c r="C36" s="153" t="s">
        <v>748</v>
      </c>
      <c r="D36" s="151" t="s">
        <v>738</v>
      </c>
      <c r="E36" s="145">
        <v>483.42</v>
      </c>
      <c r="J36" s="145">
        <f>E36</f>
        <v>483.42</v>
      </c>
    </row>
    <row r="37" spans="2:11" x14ac:dyDescent="0.25">
      <c r="B37" s="143">
        <v>44621</v>
      </c>
      <c r="C37" s="144">
        <v>176632</v>
      </c>
      <c r="D37" s="151" t="s">
        <v>742</v>
      </c>
      <c r="E37" s="145">
        <v>2690.16</v>
      </c>
      <c r="I37" s="145">
        <f>E37</f>
        <v>2690.16</v>
      </c>
    </row>
    <row r="38" spans="2:11" x14ac:dyDescent="0.25">
      <c r="B38" s="143">
        <v>44621</v>
      </c>
      <c r="C38" s="144">
        <v>176633</v>
      </c>
      <c r="D38" s="151" t="s">
        <v>741</v>
      </c>
      <c r="E38" s="145">
        <v>1782.24</v>
      </c>
      <c r="G38" s="145">
        <f>E38</f>
        <v>1782.24</v>
      </c>
    </row>
    <row r="39" spans="2:11" x14ac:dyDescent="0.25">
      <c r="B39" s="143">
        <v>44621</v>
      </c>
      <c r="C39" s="144">
        <v>176634</v>
      </c>
      <c r="D39" s="151" t="s">
        <v>740</v>
      </c>
      <c r="E39" s="145">
        <v>2959.17</v>
      </c>
      <c r="H39" s="145">
        <f>E39</f>
        <v>2959.17</v>
      </c>
    </row>
    <row r="40" spans="2:11" x14ac:dyDescent="0.25">
      <c r="B40" s="143">
        <v>44621</v>
      </c>
      <c r="C40" s="144">
        <v>176635</v>
      </c>
      <c r="D40" s="151" t="s">
        <v>739</v>
      </c>
      <c r="E40" s="145">
        <v>4250.04</v>
      </c>
      <c r="F40" s="145">
        <f>E40</f>
        <v>4250.04</v>
      </c>
    </row>
    <row r="41" spans="2:11" x14ac:dyDescent="0.25">
      <c r="B41" s="143">
        <v>44621</v>
      </c>
      <c r="C41" s="144">
        <v>177152</v>
      </c>
      <c r="D41" s="151" t="s">
        <v>749</v>
      </c>
      <c r="E41" s="145">
        <v>171.15</v>
      </c>
      <c r="K41" s="154">
        <f>E41</f>
        <v>171.15</v>
      </c>
    </row>
    <row r="42" spans="2:11" x14ac:dyDescent="0.25">
      <c r="B42" s="143">
        <v>44621</v>
      </c>
      <c r="C42" s="144">
        <v>177151</v>
      </c>
      <c r="D42" s="151" t="s">
        <v>749</v>
      </c>
      <c r="E42" s="145">
        <v>305.93</v>
      </c>
      <c r="K42" s="154">
        <f>E42</f>
        <v>305.93</v>
      </c>
    </row>
    <row r="43" spans="2:11" x14ac:dyDescent="0.25">
      <c r="B43" s="143">
        <v>44652</v>
      </c>
      <c r="C43" s="144">
        <v>15879</v>
      </c>
      <c r="D43" s="151" t="s">
        <v>738</v>
      </c>
      <c r="E43" s="145">
        <v>452.24</v>
      </c>
      <c r="J43" s="145">
        <f>E43</f>
        <v>452.24</v>
      </c>
    </row>
    <row r="44" spans="2:11" x14ac:dyDescent="0.25">
      <c r="B44" s="143">
        <v>44652</v>
      </c>
      <c r="C44" s="144" t="s">
        <v>750</v>
      </c>
      <c r="D44" s="151" t="s">
        <v>739</v>
      </c>
      <c r="E44" s="145">
        <v>4250.04</v>
      </c>
      <c r="F44" s="145">
        <f>E44</f>
        <v>4250.04</v>
      </c>
    </row>
    <row r="45" spans="2:11" x14ac:dyDescent="0.25">
      <c r="B45" s="143">
        <v>44652</v>
      </c>
      <c r="C45" s="144" t="s">
        <v>751</v>
      </c>
      <c r="D45" s="151" t="s">
        <v>740</v>
      </c>
      <c r="E45" s="145">
        <v>2959.17</v>
      </c>
      <c r="H45" s="145">
        <f>E45</f>
        <v>2959.17</v>
      </c>
    </row>
    <row r="46" spans="2:11" x14ac:dyDescent="0.25">
      <c r="B46" s="143">
        <v>44652</v>
      </c>
      <c r="C46" s="144" t="s">
        <v>752</v>
      </c>
      <c r="D46" s="151" t="s">
        <v>741</v>
      </c>
      <c r="E46" s="145">
        <v>1782.24</v>
      </c>
      <c r="G46" s="145">
        <f>E46</f>
        <v>1782.24</v>
      </c>
    </row>
    <row r="47" spans="2:11" x14ac:dyDescent="0.25">
      <c r="B47" s="143">
        <v>44652</v>
      </c>
      <c r="C47" s="144" t="s">
        <v>753</v>
      </c>
      <c r="D47" s="151" t="s">
        <v>742</v>
      </c>
      <c r="E47" s="145">
        <v>2690.16</v>
      </c>
      <c r="I47" s="145">
        <f>E47</f>
        <v>2690.16</v>
      </c>
    </row>
    <row r="48" spans="2:11" x14ac:dyDescent="0.25">
      <c r="B48" s="143">
        <v>44682</v>
      </c>
      <c r="C48" s="144">
        <v>177898</v>
      </c>
      <c r="D48" s="151" t="s">
        <v>740</v>
      </c>
      <c r="E48" s="145">
        <v>2959.17</v>
      </c>
      <c r="H48" s="145">
        <f>E48</f>
        <v>2959.17</v>
      </c>
    </row>
    <row r="49" spans="2:11" x14ac:dyDescent="0.25">
      <c r="B49" s="143">
        <v>44682</v>
      </c>
      <c r="C49" s="144">
        <v>177896</v>
      </c>
      <c r="D49" s="151" t="s">
        <v>742</v>
      </c>
      <c r="E49" s="145">
        <v>2690.16</v>
      </c>
      <c r="I49" s="145">
        <f>E49</f>
        <v>2690.16</v>
      </c>
    </row>
    <row r="50" spans="2:11" x14ac:dyDescent="0.25">
      <c r="B50" s="143">
        <v>44682</v>
      </c>
      <c r="C50" s="144">
        <v>177899</v>
      </c>
      <c r="D50" s="151" t="s">
        <v>739</v>
      </c>
      <c r="E50" s="145">
        <v>4250.04</v>
      </c>
      <c r="F50" s="145">
        <f>E50</f>
        <v>4250.04</v>
      </c>
    </row>
    <row r="51" spans="2:11" x14ac:dyDescent="0.25">
      <c r="B51" s="143">
        <v>44682</v>
      </c>
      <c r="C51" s="144">
        <v>177897</v>
      </c>
      <c r="D51" s="151" t="s">
        <v>741</v>
      </c>
      <c r="E51" s="145">
        <v>1782.24</v>
      </c>
      <c r="G51" s="145">
        <f>E51</f>
        <v>1782.24</v>
      </c>
    </row>
    <row r="52" spans="2:11" x14ac:dyDescent="0.25">
      <c r="B52" s="143">
        <v>44682</v>
      </c>
      <c r="C52" s="144">
        <v>16042</v>
      </c>
      <c r="D52" s="151" t="s">
        <v>738</v>
      </c>
      <c r="E52" s="145">
        <v>451.82</v>
      </c>
      <c r="J52" s="145">
        <f>E52</f>
        <v>451.82</v>
      </c>
    </row>
    <row r="53" spans="2:11" x14ac:dyDescent="0.25">
      <c r="B53" s="143">
        <v>44713</v>
      </c>
      <c r="C53" s="144">
        <v>16268</v>
      </c>
      <c r="D53" s="151" t="s">
        <v>738</v>
      </c>
      <c r="E53" s="145">
        <v>450.28</v>
      </c>
      <c r="J53" s="145">
        <f>E53</f>
        <v>450.28</v>
      </c>
    </row>
    <row r="54" spans="2:11" x14ac:dyDescent="0.25">
      <c r="B54" s="143">
        <v>44713</v>
      </c>
      <c r="C54" s="144">
        <v>178578</v>
      </c>
      <c r="D54" s="151" t="s">
        <v>741</v>
      </c>
      <c r="E54" s="145">
        <v>1782.24</v>
      </c>
      <c r="G54" s="145">
        <f>E54</f>
        <v>1782.24</v>
      </c>
    </row>
    <row r="55" spans="2:11" x14ac:dyDescent="0.25">
      <c r="B55" s="143">
        <v>44713</v>
      </c>
      <c r="C55" s="144">
        <v>178579</v>
      </c>
      <c r="D55" s="151" t="s">
        <v>740</v>
      </c>
      <c r="E55" s="145">
        <v>2959.17</v>
      </c>
      <c r="H55" s="145">
        <f>E55</f>
        <v>2959.17</v>
      </c>
    </row>
    <row r="56" spans="2:11" x14ac:dyDescent="0.25">
      <c r="B56" s="143">
        <v>44713</v>
      </c>
      <c r="C56" s="144">
        <v>178580</v>
      </c>
      <c r="D56" s="151" t="s">
        <v>739</v>
      </c>
      <c r="E56" s="145">
        <v>4250.04</v>
      </c>
      <c r="F56" s="145">
        <f>E56</f>
        <v>4250.04</v>
      </c>
    </row>
    <row r="57" spans="2:11" x14ac:dyDescent="0.25">
      <c r="B57" s="143">
        <v>44713</v>
      </c>
      <c r="C57" s="144">
        <v>178577</v>
      </c>
      <c r="D57" s="151" t="s">
        <v>742</v>
      </c>
      <c r="E57" s="145">
        <v>2690.16</v>
      </c>
      <c r="I57" s="145">
        <f>E57</f>
        <v>2690.16</v>
      </c>
    </row>
    <row r="58" spans="2:11" x14ac:dyDescent="0.25">
      <c r="B58" s="143">
        <v>44713</v>
      </c>
      <c r="C58" s="144">
        <v>99222</v>
      </c>
      <c r="D58" s="151" t="s">
        <v>754</v>
      </c>
      <c r="E58" s="145">
        <v>15000</v>
      </c>
      <c r="K58" s="145">
        <f>E58</f>
        <v>15000</v>
      </c>
    </row>
    <row r="59" spans="2:11" x14ac:dyDescent="0.25">
      <c r="B59" s="143">
        <v>44743</v>
      </c>
      <c r="C59" s="144">
        <v>179278</v>
      </c>
      <c r="D59" s="151" t="s">
        <v>741</v>
      </c>
      <c r="E59" s="145">
        <v>1782.24</v>
      </c>
      <c r="G59" s="145">
        <f>E59</f>
        <v>1782.24</v>
      </c>
    </row>
    <row r="60" spans="2:11" x14ac:dyDescent="0.25">
      <c r="B60" s="143">
        <v>44743</v>
      </c>
      <c r="C60" s="144">
        <v>179277</v>
      </c>
      <c r="D60" s="151" t="s">
        <v>742</v>
      </c>
      <c r="E60" s="145">
        <v>2690.16</v>
      </c>
      <c r="I60" s="145">
        <f>E60</f>
        <v>2690.16</v>
      </c>
    </row>
    <row r="61" spans="2:11" x14ac:dyDescent="0.25">
      <c r="B61" s="143">
        <v>44743</v>
      </c>
      <c r="C61" s="144">
        <v>179280</v>
      </c>
      <c r="D61" s="151" t="s">
        <v>739</v>
      </c>
      <c r="E61" s="145">
        <v>4250.04</v>
      </c>
      <c r="F61" s="145">
        <f>E61</f>
        <v>4250.04</v>
      </c>
    </row>
    <row r="62" spans="2:11" x14ac:dyDescent="0.25">
      <c r="B62" s="143">
        <v>44743</v>
      </c>
      <c r="C62" s="144">
        <v>179279</v>
      </c>
      <c r="D62" s="151" t="s">
        <v>740</v>
      </c>
      <c r="E62" s="145">
        <v>2959.17</v>
      </c>
      <c r="H62" s="145">
        <f>E62</f>
        <v>2959.17</v>
      </c>
    </row>
    <row r="63" spans="2:11" x14ac:dyDescent="0.25">
      <c r="B63" s="143">
        <v>44743</v>
      </c>
      <c r="C63" s="144">
        <v>16608</v>
      </c>
      <c r="D63" s="151" t="s">
        <v>738</v>
      </c>
      <c r="E63" s="145">
        <v>450.84</v>
      </c>
      <c r="J63" s="145">
        <f>E63</f>
        <v>450.84</v>
      </c>
    </row>
    <row r="64" spans="2:11" x14ac:dyDescent="0.25">
      <c r="B64" s="143">
        <v>44774</v>
      </c>
      <c r="C64" s="144">
        <v>179974</v>
      </c>
      <c r="D64" s="151" t="s">
        <v>740</v>
      </c>
      <c r="E64" s="145">
        <v>2959.17</v>
      </c>
      <c r="H64" s="145">
        <f>E64</f>
        <v>2959.17</v>
      </c>
    </row>
    <row r="65" spans="2:12" x14ac:dyDescent="0.25">
      <c r="B65" s="143">
        <v>44774</v>
      </c>
      <c r="C65" s="144">
        <v>179976</v>
      </c>
      <c r="D65" s="151" t="s">
        <v>749</v>
      </c>
      <c r="E65" s="145">
        <v>846.3</v>
      </c>
      <c r="K65" s="154">
        <f>E65</f>
        <v>846.3</v>
      </c>
    </row>
    <row r="66" spans="2:12" x14ac:dyDescent="0.25">
      <c r="B66" s="143">
        <v>44774</v>
      </c>
      <c r="C66" s="144">
        <v>179972</v>
      </c>
      <c r="D66" s="151" t="s">
        <v>742</v>
      </c>
      <c r="E66" s="145">
        <v>2690.16</v>
      </c>
      <c r="I66" s="145">
        <f>E66</f>
        <v>2690.16</v>
      </c>
    </row>
    <row r="67" spans="2:12" x14ac:dyDescent="0.25">
      <c r="B67" s="143">
        <v>44774</v>
      </c>
      <c r="C67" s="144">
        <v>179975</v>
      </c>
      <c r="D67" s="151" t="s">
        <v>739</v>
      </c>
      <c r="E67" s="145">
        <v>4250.04</v>
      </c>
      <c r="F67" s="145">
        <f>E67</f>
        <v>4250.04</v>
      </c>
    </row>
    <row r="68" spans="2:12" x14ac:dyDescent="0.25">
      <c r="B68" s="143">
        <v>44774</v>
      </c>
      <c r="C68" s="144">
        <v>17973</v>
      </c>
      <c r="D68" s="151" t="s">
        <v>741</v>
      </c>
      <c r="E68" s="145">
        <v>1782.24</v>
      </c>
      <c r="G68" s="145">
        <f>E68</f>
        <v>1782.24</v>
      </c>
    </row>
    <row r="69" spans="2:12" x14ac:dyDescent="0.25">
      <c r="B69" s="143">
        <v>44774</v>
      </c>
      <c r="C69" s="144">
        <v>180515</v>
      </c>
      <c r="D69" s="151" t="s">
        <v>749</v>
      </c>
      <c r="E69" s="145">
        <v>87.96</v>
      </c>
      <c r="K69" s="154">
        <f>E69</f>
        <v>87.96</v>
      </c>
    </row>
    <row r="70" spans="2:12" x14ac:dyDescent="0.25">
      <c r="B70" s="143">
        <v>44774</v>
      </c>
      <c r="C70" s="144">
        <v>16741</v>
      </c>
      <c r="D70" s="151" t="s">
        <v>738</v>
      </c>
      <c r="E70" s="145">
        <v>450.84</v>
      </c>
      <c r="J70" s="145">
        <f>E70</f>
        <v>450.84</v>
      </c>
    </row>
    <row r="71" spans="2:12" x14ac:dyDescent="0.25">
      <c r="B71" s="143">
        <v>44805</v>
      </c>
      <c r="C71" s="144">
        <v>180647</v>
      </c>
      <c r="D71" s="151" t="s">
        <v>740</v>
      </c>
      <c r="E71" s="145">
        <v>2959.17</v>
      </c>
      <c r="H71" s="145">
        <f>E71</f>
        <v>2959.17</v>
      </c>
    </row>
    <row r="72" spans="2:12" x14ac:dyDescent="0.25">
      <c r="B72" s="143">
        <v>44805</v>
      </c>
      <c r="C72" s="144">
        <v>180649</v>
      </c>
      <c r="D72" s="151" t="s">
        <v>749</v>
      </c>
      <c r="E72" s="145">
        <v>846.3</v>
      </c>
      <c r="K72" s="154">
        <f>E72</f>
        <v>846.3</v>
      </c>
    </row>
    <row r="73" spans="2:12" x14ac:dyDescent="0.25">
      <c r="B73" s="143">
        <v>44805</v>
      </c>
      <c r="C73" s="144">
        <v>180648</v>
      </c>
      <c r="D73" s="151" t="s">
        <v>739</v>
      </c>
      <c r="E73" s="145">
        <v>4250.04</v>
      </c>
      <c r="F73" s="145">
        <f>E73</f>
        <v>4250.04</v>
      </c>
    </row>
    <row r="74" spans="2:12" x14ac:dyDescent="0.25">
      <c r="B74" s="143">
        <v>44805</v>
      </c>
      <c r="C74" s="144">
        <v>180645</v>
      </c>
      <c r="D74" s="151" t="s">
        <v>742</v>
      </c>
      <c r="E74" s="145">
        <v>2690.16</v>
      </c>
      <c r="I74" s="145">
        <f>E74</f>
        <v>2690.16</v>
      </c>
    </row>
    <row r="75" spans="2:12" x14ac:dyDescent="0.25">
      <c r="B75" s="143">
        <v>44805</v>
      </c>
      <c r="C75" s="144">
        <v>180646</v>
      </c>
      <c r="D75" s="151" t="s">
        <v>741</v>
      </c>
      <c r="E75" s="145">
        <v>1782.24</v>
      </c>
      <c r="G75" s="145">
        <f>E75</f>
        <v>1782.24</v>
      </c>
    </row>
    <row r="76" spans="2:12" x14ac:dyDescent="0.25">
      <c r="B76" s="143">
        <v>44805</v>
      </c>
      <c r="C76" s="144">
        <v>16993</v>
      </c>
      <c r="D76" s="151" t="s">
        <v>738</v>
      </c>
      <c r="E76" s="145">
        <v>451.12</v>
      </c>
      <c r="J76" s="145">
        <f>E76</f>
        <v>451.12</v>
      </c>
    </row>
    <row r="77" spans="2:12" x14ac:dyDescent="0.25">
      <c r="E77" s="155">
        <f>SUM(E10:E76)</f>
        <v>158342.36000000002</v>
      </c>
    </row>
    <row r="78" spans="2:12" x14ac:dyDescent="0.25">
      <c r="F78" s="156">
        <f>SUM(F10:F77)</f>
        <v>49408.180000000008</v>
      </c>
      <c r="G78" s="156">
        <f t="shared" ref="G78:K78" si="0">SUM(G10:G77)</f>
        <v>20719.130000000005</v>
      </c>
      <c r="H78" s="156">
        <f t="shared" si="0"/>
        <v>34401.389999999992</v>
      </c>
      <c r="I78" s="156">
        <f t="shared" si="0"/>
        <v>31274.02</v>
      </c>
      <c r="J78" s="156">
        <f t="shared" si="0"/>
        <v>5282.0000000000009</v>
      </c>
      <c r="K78" s="156">
        <f t="shared" si="0"/>
        <v>17257.64</v>
      </c>
      <c r="L78" s="157">
        <f>SUM(F78:K78)</f>
        <v>158342.35999999999</v>
      </c>
    </row>
    <row r="80" spans="2:12" x14ac:dyDescent="0.25">
      <c r="D80" s="151" t="s">
        <v>985</v>
      </c>
      <c r="E80" s="285">
        <v>8.4000000000000005E-2</v>
      </c>
      <c r="F80" s="145">
        <f>F78*$E$80</f>
        <v>4150.2871200000009</v>
      </c>
      <c r="G80" s="145">
        <f>G78*$E$80</f>
        <v>1740.4069200000006</v>
      </c>
      <c r="H80" s="145">
        <f t="shared" ref="H80:I80" si="1">H78*$E$80</f>
        <v>2889.7167599999993</v>
      </c>
      <c r="I80" s="145">
        <f t="shared" si="1"/>
        <v>2627.0176800000004</v>
      </c>
    </row>
    <row r="81" spans="4:12" x14ac:dyDescent="0.25">
      <c r="D81" s="144"/>
      <c r="L81" s="157"/>
    </row>
    <row r="82" spans="4:12" x14ac:dyDescent="0.25">
      <c r="D82" s="151" t="s">
        <v>755</v>
      </c>
      <c r="E82" s="245">
        <f>SUM(F80:I80)</f>
        <v>11407.428480000002</v>
      </c>
      <c r="F82" s="245" t="s">
        <v>332</v>
      </c>
    </row>
    <row r="84" spans="4:12" x14ac:dyDescent="0.25">
      <c r="J84" s="245" t="s">
        <v>317</v>
      </c>
      <c r="K84" s="245">
        <f>K41+K42+K65+K69+K72</f>
        <v>2257.6400000000003</v>
      </c>
      <c r="L84" s="144" t="s">
        <v>756</v>
      </c>
    </row>
    <row r="85" spans="4:12" x14ac:dyDescent="0.25">
      <c r="J85" s="14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7923A6F4E0A64ABABA53EAFC178EE8" ma:contentTypeVersion="24" ma:contentTypeDescription="" ma:contentTypeScope="" ma:versionID="02f35b7a7bbbd01ab4469a1c053b75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216</IndustryCode>
    <CaseStatus xmlns="dc463f71-b30c-4ab2-9473-d307f9d35888">Closed</CaseStatus>
    <OpenedDate xmlns="dc463f71-b30c-4ab2-9473-d307f9d35888">2023-02-16T08:00:00+00:00</OpenedDate>
    <SignificantOrder xmlns="dc463f71-b30c-4ab2-9473-d307f9d35888">false</SignificantOrder>
    <Date1 xmlns="dc463f71-b30c-4ab2-9473-d307f9d35888">2023-02-16T08:00:00+00:00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230117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7C237B-B21E-4C37-AEA3-070DF8542433}"/>
</file>

<file path=customXml/itemProps2.xml><?xml version="1.0" encoding="utf-8"?>
<ds:datastoreItem xmlns:ds="http://schemas.openxmlformats.org/officeDocument/2006/customXml" ds:itemID="{BD975D59-111C-43B6-8AE0-1FC2DBAD9DC1}"/>
</file>

<file path=customXml/itemProps3.xml><?xml version="1.0" encoding="utf-8"?>
<ds:datastoreItem xmlns:ds="http://schemas.openxmlformats.org/officeDocument/2006/customXml" ds:itemID="{0E586B6E-3256-4458-8547-6FE2BE639741}"/>
</file>

<file path=customXml/itemProps4.xml><?xml version="1.0" encoding="utf-8"?>
<ds:datastoreItem xmlns:ds="http://schemas.openxmlformats.org/officeDocument/2006/customXml" ds:itemID="{05E15CF5-F5C8-41A4-A0CB-ECD88D87D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12-month P&amp;L</vt:lpstr>
      <vt:lpstr>Results of Operations</vt:lpstr>
      <vt:lpstr>Restating Adj</vt:lpstr>
      <vt:lpstr>Pro Forma Adj</vt:lpstr>
      <vt:lpstr>Support</vt:lpstr>
      <vt:lpstr>Reg Depr</vt:lpstr>
      <vt:lpstr>Payroll</vt:lpstr>
      <vt:lpstr>Prof Fees</vt:lpstr>
      <vt:lpstr>Rents</vt:lpstr>
      <vt:lpstr>Moorage</vt:lpstr>
      <vt:lpstr>Price Out</vt:lpstr>
      <vt:lpstr>MEI-Alloc</vt:lpstr>
      <vt:lpstr>Insurance '22-'23</vt:lpstr>
      <vt:lpstr>Insurance '21-'22</vt:lpstr>
      <vt:lpstr>UTC Exp</vt:lpstr>
      <vt:lpstr>B&amp;O Taxes</vt:lpstr>
      <vt:lpstr>Fuel</vt:lpstr>
      <vt:lpstr>Allocators</vt:lpstr>
      <vt:lpstr>Eng Hours</vt:lpstr>
      <vt:lpstr>Crew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Burton</dc:creator>
  <cp:lastModifiedBy>Weldon Burton</cp:lastModifiedBy>
  <dcterms:created xsi:type="dcterms:W3CDTF">2023-02-06T23:17:17Z</dcterms:created>
  <dcterms:modified xsi:type="dcterms:W3CDTF">2023-02-15T23:31:25Z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0x0101006E56B4D1795A2E4DB2F0B01679ED314A008D7923A6F4E0A64ABABA53EAFC178EE8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