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0.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worksheets/sheet9.xml" ContentType="application/vnd.openxmlformats-officedocument.spreadsheetml.worksheet+xml"/>
  <Override PartName="/xl/worksheets/sheet11.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customProperty3.bin" ContentType="application/vnd.openxmlformats-officedocument.spreadsheetml.customProperty"/>
  <Override PartName="/xl/customProperty1.bin" ContentType="application/vnd.openxmlformats-officedocument.spreadsheetml.customProperty"/>
  <Override PartName="/customXml/itemProps1.xml" ContentType="application/vnd.openxmlformats-officedocument.customXmlProperties+xml"/>
  <Override PartName="/xl/calcChain.xml" ContentType="application/vnd.openxmlformats-officedocument.spreadsheetml.calcChain+xml"/>
  <Override PartName="/xl/customProperty6.bin" ContentType="application/vnd.openxmlformats-officedocument.spreadsheetml.customProperty"/>
  <Override PartName="/xl/customProperty5.bin" ContentType="application/vnd.openxmlformats-officedocument.spreadsheetml.customProperty"/>
  <Override PartName="/xl/customProperty4.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omments1.xml" ContentType="application/vnd.openxmlformats-officedocument.spreadsheetml.comments+xml"/>
  <Override PartName="/xl/customProperty2.bin" ContentType="application/vnd.openxmlformats-officedocument.spreadsheetml.customProperty"/>
  <Override PartName="/xl/customProperty11.bin" ContentType="application/vnd.openxmlformats-officedocument.spreadsheetml.customProperty"/>
  <Override PartName="/xl/customProperty10.bin" ContentType="application/vnd.openxmlformats-officedocument.spreadsheetml.customProperty"/>
  <Override PartName="/xl/customProperty9.bin" ContentType="application/vnd.openxmlformats-officedocument.spreadsheetml.customProperty"/>
  <Override PartName="/docProps/custom.xml" ContentType="application/vnd.openxmlformats-officedocument.custom-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estdpt2.puget.com\rpl\GrpRates\Public\RASANEN\#  Rate Filings\Sch 141TEP - Transportation Electrification Program (TEP)\2023\Sent to Tariffs\"/>
    </mc:Choice>
  </mc:AlternateContent>
  <bookViews>
    <workbookView xWindow="120" yWindow="108" windowWidth="15180" windowHeight="6492" tabRatio="931" activeTab="1"/>
  </bookViews>
  <sheets>
    <sheet name="Lead Sheet" sheetId="27" r:id="rId1"/>
    <sheet name="Rate Impacts" sheetId="33" r:id="rId2"/>
    <sheet name="Typical Residential Notice" sheetId="105" r:id="rId3"/>
    <sheet name="Rate Spread" sheetId="72" r:id="rId4"/>
    <sheet name="Estimated Proforma Net Revenue" sheetId="83" r:id="rId5"/>
    <sheet name="TEP 12NCP" sheetId="109" r:id="rId6"/>
    <sheet name="Workpapers&gt;" sheetId="107" r:id="rId7"/>
    <sheet name="Rev Req 2023" sheetId="106" r:id="rId8"/>
    <sheet name="2022 GRC Load Research - NCP" sheetId="108" r:id="rId9"/>
    <sheet name="Controls-&gt;" sheetId="110" r:id="rId10"/>
    <sheet name="Inputs" sheetId="111" r:id="rId11"/>
  </sheets>
  <externalReferences>
    <externalReference r:id="rId12"/>
  </externalReferences>
  <definedNames>
    <definedName name="______Jun09">" BS!$AI$7:$AI$1643"</definedName>
    <definedName name="_____Jun09">" BS!$AI$7:$AI$1643"</definedName>
    <definedName name="____Jun09">" BS!$AI$7:$AI$1643"</definedName>
    <definedName name="___Jun09">" BS!$AI$7:$AI$1643"</definedName>
    <definedName name="__Jun09">" BS!$AI$7:$AI$1643"</definedName>
    <definedName name="_Order1">255</definedName>
    <definedName name="_Order2">255</definedName>
    <definedName name="_Regression_Int">1</definedName>
    <definedName name="AccessDatabase">"I:\COMTREL\FINICLE\TradeSummary.mdb"</definedName>
    <definedName name="AS2DocOpenMode">"AS2DocumentEdit"</definedName>
    <definedName name="Aurora_Prices">"Monthly Price Summary'!$C$4:$H$63"</definedName>
    <definedName name="Button_1">"TradeSummary_Ken_Finicle_List"</definedName>
    <definedName name="CBWorkbookPriority">-2060790043</definedName>
    <definedName name="Company">'[1]Named Ranges E'!$B$2</definedName>
    <definedName name="FIT">'[1]Named Ranges E'!$B$10</definedName>
    <definedName name="HTML_CodePage">1252</definedName>
    <definedName name="HTML_Control" localSheetId="7">{"'Sheet1'!$A$1:$J$121"}</definedName>
    <definedName name="HTML_Control" localSheetId="2">{"'Sheet1'!$A$1:$J$121"}</definedName>
    <definedName name="HTML_Control">{"'Sheet1'!$A$1:$J$121"}</definedName>
    <definedName name="HTML_Description">""</definedName>
    <definedName name="HTML_Email">""</definedName>
    <definedName name="HTML_Header">"Sheet1"</definedName>
    <definedName name="HTML_LastUpdate">"10/21/99"</definedName>
    <definedName name="HTML_LineAfter">FALSE</definedName>
    <definedName name="HTML_LineBefore">FALSE</definedName>
    <definedName name="HTML_Name">"Paulette Peoples"</definedName>
    <definedName name="HTML_OBDlg2">TRUE</definedName>
    <definedName name="HTML_OBDlg4">TRUE</definedName>
    <definedName name="HTML_OS">0</definedName>
    <definedName name="HTML_PathFile">"\\Bhincres01\groups\Mkt_Dev\EXECMKTR\RIGS\RigBible\Web NA.htm"</definedName>
    <definedName name="HTML_Title">"Total North America"</definedName>
    <definedName name="limcount">1</definedName>
    <definedName name="LOLD">1</definedName>
    <definedName name="LOLD_Table">10</definedName>
    <definedName name="LOLD_ZZCOOM_M03_Q001">10</definedName>
    <definedName name="LOLD_ZZCOOM_M03_Q001SKF">13</definedName>
    <definedName name="LOLD_ZZCOOM_M03_Q004">10</definedName>
    <definedName name="LOLD_ZZCOOM_M03_Q004ORDERS">13</definedName>
    <definedName name="LOLD_ZZCOOM_M03_Q004SKF">13</definedName>
    <definedName name="Number_of_Payments" localSheetId="7">MATCH(0.01,End_Bal,-1)+1</definedName>
    <definedName name="Number_of_Payments">MATCH(0.01,End_Bal,-1)+1</definedName>
    <definedName name="NvsASD">"V2005-12-31"</definedName>
    <definedName name="NvsAutoDrillOk">"VN"</definedName>
    <definedName name="NvsElapsedTime">0.00881805555400206</definedName>
    <definedName name="NvsEndTime">38831.5955224537</definedName>
    <definedName name="NvsInstSpec">"%"</definedName>
    <definedName name="NvsLayoutType">"M3"</definedName>
    <definedName name="NvsNplSpec">"%,X,RZF..,CZF.."</definedName>
    <definedName name="NvsPanelEffdt">"V2020-12-31"</definedName>
    <definedName name="NvsPanelSetid">"VCPSTD"</definedName>
    <definedName name="NvsReqBU">"VCPSTD"</definedName>
    <definedName name="NvsReqBUOnly">"VN"</definedName>
    <definedName name="NvsTransLed">"VN"</definedName>
    <definedName name="NvsTreeASD">"V2005-12-31"</definedName>
    <definedName name="NvsValTbl.ACCOUNT">"GL_ACCOUNT_TBL"</definedName>
    <definedName name="NvsValTbl.BUSINESS_UNIT">"BUS_UNIT_TBL_GL"</definedName>
    <definedName name="NvsValTbl.DEPTID">"DEPARTMENT_TBL"</definedName>
    <definedName name="NvsValTbl.PROJECT_ID">"PROJECT_TBL_VW"</definedName>
    <definedName name="NvsValTbl.STATISTICS_CODE">"STAT_TBL"</definedName>
    <definedName name="_xlnm.Print_Area" localSheetId="4">'Estimated Proforma Net Revenue'!$A$1:$T$35</definedName>
    <definedName name="_xlnm.Print_Area" localSheetId="0">'Lead Sheet'!$A$1:$A$15</definedName>
    <definedName name="_xlnm.Print_Area" localSheetId="1">'Rate Impacts'!$A$1:$K$49</definedName>
    <definedName name="_xlnm.Print_Area" localSheetId="3">'Rate Spread'!$A$1:$H$31</definedName>
    <definedName name="_xlnm.Print_Area" localSheetId="2">'Typical Residential Notice'!$A$1:$N$66</definedName>
    <definedName name="RateCase">'[1]Named Ranges E'!$B$7</definedName>
    <definedName name="SAPBEXhrIndnt">"Wide"</definedName>
    <definedName name="SAPsysID">"708C5W7SBKP804JT78WJ0JNKI"</definedName>
    <definedName name="SAPwbID">"ARS"</definedName>
    <definedName name="solver_eval">0</definedName>
    <definedName name="solver_ntri">1000</definedName>
    <definedName name="solver_rsmp">1</definedName>
    <definedName name="solver_seed">0</definedName>
    <definedName name="TestYear">'[1]Named Ranges E'!$B$3</definedName>
    <definedName name="UNI_FILT_OFFSPEC">2</definedName>
    <definedName name="UNI_FILT_ONSPEC">1</definedName>
    <definedName name="UNI_NOTHING">0</definedName>
    <definedName name="UNI_PRES_FILTER">1</definedName>
    <definedName name="UNI_PRES_HEADINGS">16</definedName>
    <definedName name="UNI_PRES_INVERT">2</definedName>
    <definedName name="UNI_PRES_MATRIX">4</definedName>
    <definedName name="UNI_PRES_MERGED">8</definedName>
    <definedName name="UNI_PRES_OUTLIERS">32</definedName>
    <definedName name="UNI_RET_ATTRIB">64</definedName>
    <definedName name="UNI_RET_CONF">32</definedName>
    <definedName name="UNI_RET_DESC">4</definedName>
    <definedName name="UNI_RET_EQUIP">1</definedName>
    <definedName name="UNI_RET_OFFSPEC">512</definedName>
    <definedName name="UNI_RET_ONSPEC">256</definedName>
    <definedName name="UNI_RET_PROP">32</definedName>
    <definedName name="UNI_RET_PROPDESC">64</definedName>
    <definedName name="UNI_RET_SMPLPNT">4</definedName>
    <definedName name="UNI_RET_SPECMAX">2048</definedName>
    <definedName name="UNI_RET_SPECMIN">1024</definedName>
    <definedName name="UNI_RET_TAG">1</definedName>
    <definedName name="UNI_RET_TESTTIME">128</definedName>
    <definedName name="UNI_RET_TIME">8</definedName>
    <definedName name="UNI_RET_UNIT">2</definedName>
    <definedName name="UNI_RET_VALUE">16</definedName>
    <definedName name="Values_Entered" localSheetId="7">IF(Loan_Amount*Interest_Rate*Loan_Years*Loan_Start&gt;0,1,0)</definedName>
    <definedName name="Values_Entered">IF(Loan_Amount*Interest_Rate*Loan_Years*Loan_Start&gt;0,1,0)</definedName>
  </definedNames>
  <calcPr calcId="162913"/>
</workbook>
</file>

<file path=xl/calcChain.xml><?xml version="1.0" encoding="utf-8"?>
<calcChain xmlns="http://schemas.openxmlformats.org/spreadsheetml/2006/main">
  <c r="G20" i="106" l="1"/>
  <c r="G18" i="106"/>
  <c r="G12" i="106"/>
  <c r="G36" i="106"/>
  <c r="G32" i="106"/>
  <c r="F32" i="106" l="1"/>
  <c r="E47" i="106" s="1"/>
  <c r="F26" i="106"/>
  <c r="F30" i="106" s="1"/>
  <c r="E26" i="106"/>
  <c r="G14" i="106"/>
  <c r="E49" i="106"/>
  <c r="A3" i="83"/>
  <c r="A2" i="83"/>
  <c r="A2" i="33"/>
  <c r="E48" i="106" l="1"/>
  <c r="F34" i="106"/>
  <c r="F38" i="106" s="1"/>
  <c r="E30" i="106"/>
  <c r="G26" i="106"/>
  <c r="E46" i="106"/>
  <c r="G16" i="106"/>
  <c r="A4" i="33"/>
  <c r="E34" i="106" l="1"/>
  <c r="G30" i="106"/>
  <c r="H5" i="72"/>
  <c r="E45" i="106" l="1"/>
  <c r="G34" i="106"/>
  <c r="E38" i="106"/>
  <c r="G38" i="106" s="1"/>
  <c r="A25" i="72"/>
  <c r="E50" i="106" l="1"/>
  <c r="E51" i="106" s="1"/>
  <c r="E22" i="72"/>
  <c r="F59" i="105"/>
  <c r="E53" i="105"/>
  <c r="E51" i="105"/>
  <c r="F43" i="105"/>
  <c r="F40" i="105"/>
  <c r="F53" i="105" s="1"/>
  <c r="F38" i="105"/>
  <c r="F51" i="105" s="1"/>
  <c r="E50" i="105"/>
  <c r="F30" i="105"/>
  <c r="F28" i="105"/>
  <c r="E28" i="105"/>
  <c r="F27" i="105"/>
  <c r="F10" i="83"/>
  <c r="R10" i="83"/>
  <c r="J10" i="83"/>
  <c r="K10" i="83"/>
  <c r="Q10" i="83"/>
  <c r="T10" i="83"/>
  <c r="F16" i="83"/>
  <c r="Q16" i="83"/>
  <c r="R16" i="83"/>
  <c r="T16" i="83"/>
  <c r="Q21" i="83"/>
  <c r="T21" i="83"/>
  <c r="F21" i="83"/>
  <c r="R21" i="83"/>
  <c r="F25" i="83"/>
  <c r="Q25" i="83"/>
  <c r="R25" i="83"/>
  <c r="T25" i="83"/>
  <c r="U25" i="83"/>
  <c r="S25" i="83"/>
  <c r="Q31" i="83" l="1"/>
  <c r="Q35" i="83" s="1"/>
  <c r="F31" i="83"/>
  <c r="F35" i="83" s="1"/>
  <c r="T31" i="83"/>
  <c r="T35" i="83" s="1"/>
  <c r="R31" i="83"/>
  <c r="R35" i="83" s="1"/>
  <c r="E44" i="105" l="1"/>
  <c r="F31" i="105"/>
  <c r="F44" i="105" l="1"/>
  <c r="F35" i="105" l="1"/>
  <c r="F48" i="105" s="1"/>
  <c r="E48" i="105"/>
  <c r="O10" i="83"/>
  <c r="F33" i="105"/>
  <c r="F46" i="105" s="1"/>
  <c r="E46" i="105"/>
  <c r="F36" i="105"/>
  <c r="F49" i="105" s="1"/>
  <c r="E49" i="105"/>
  <c r="P10" i="83" l="1"/>
  <c r="M10" i="83"/>
  <c r="M25" i="83"/>
  <c r="M16" i="83"/>
  <c r="M21" i="83" l="1"/>
  <c r="M31" i="83" s="1"/>
  <c r="M35" i="83" s="1"/>
  <c r="N10" i="83" l="1"/>
  <c r="E47" i="105"/>
  <c r="F34" i="105"/>
  <c r="F47" i="105" s="1"/>
  <c r="O25" i="83" l="1"/>
  <c r="P25" i="83" l="1"/>
  <c r="O21" i="83"/>
  <c r="N25" i="83"/>
  <c r="P16" i="83" l="1"/>
  <c r="O16" i="83"/>
  <c r="O31" i="83" s="1"/>
  <c r="O35" i="83" s="1"/>
  <c r="P21" i="83"/>
  <c r="N21" i="83"/>
  <c r="P31" i="83" l="1"/>
  <c r="P35" i="83" s="1"/>
  <c r="F60" i="105" l="1"/>
  <c r="F61" i="105"/>
  <c r="J16" i="83" l="1"/>
  <c r="J21" i="83"/>
  <c r="J25" i="83"/>
  <c r="J31" i="83" l="1"/>
  <c r="J35" i="83" s="1"/>
  <c r="K25" i="83"/>
  <c r="K21" i="83"/>
  <c r="K16" i="83" l="1"/>
  <c r="K31" i="83" s="1"/>
  <c r="K35" i="83" s="1"/>
  <c r="F62" i="105" l="1"/>
  <c r="F63" i="105" s="1"/>
  <c r="E63" i="105"/>
  <c r="F32" i="105" l="1"/>
  <c r="E45" i="105"/>
  <c r="F45" i="105" l="1"/>
  <c r="B22" i="105"/>
  <c r="I25" i="83" l="1"/>
  <c r="L10" i="83" l="1"/>
  <c r="E21" i="83"/>
  <c r="G25" i="83"/>
  <c r="G10" i="83"/>
  <c r="L25" i="83"/>
  <c r="I10" i="83"/>
  <c r="H10" i="83"/>
  <c r="E10" i="83"/>
  <c r="E25" i="83"/>
  <c r="I16" i="83"/>
  <c r="L16" i="83"/>
  <c r="G21" i="83" l="1"/>
  <c r="L21" i="83"/>
  <c r="L31" i="83" s="1"/>
  <c r="L35" i="83" s="1"/>
  <c r="E16" i="83"/>
  <c r="E31" i="83" s="1"/>
  <c r="E35" i="83" s="1"/>
  <c r="I21" i="83"/>
  <c r="I31" i="83" s="1"/>
  <c r="I35" i="83" s="1"/>
  <c r="G16" i="83"/>
  <c r="G31" i="83" s="1"/>
  <c r="G35" i="83" s="1"/>
  <c r="H25" i="83" l="1"/>
  <c r="H21" i="83"/>
  <c r="H16" i="83" l="1"/>
  <c r="H31" i="83" s="1"/>
  <c r="H35" i="83" s="1"/>
  <c r="S21" i="83" l="1"/>
  <c r="F39" i="105" l="1"/>
  <c r="E52" i="105"/>
  <c r="E54" i="105" s="1"/>
  <c r="E41" i="105"/>
  <c r="S16" i="83"/>
  <c r="F52" i="105" l="1"/>
  <c r="N16" i="83" l="1"/>
  <c r="N31" i="83" s="1"/>
  <c r="N35" i="83" s="1"/>
  <c r="S10" i="83" l="1"/>
  <c r="S31" i="83" s="1"/>
  <c r="S35" i="83" s="1"/>
  <c r="D10" i="83" l="1"/>
  <c r="D21" i="83" l="1"/>
  <c r="D16" i="83" l="1"/>
  <c r="F56" i="105" l="1"/>
  <c r="E66" i="105"/>
  <c r="E65" i="105"/>
  <c r="U21" i="83"/>
  <c r="U10" i="83" l="1"/>
  <c r="V9" i="83"/>
  <c r="W9" i="83" s="1"/>
  <c r="U16" i="83"/>
  <c r="U31" i="83" l="1"/>
  <c r="U35" i="83" s="1"/>
  <c r="B8" i="111" l="1"/>
  <c r="A6" i="27"/>
  <c r="F25" i="105" l="1"/>
  <c r="E25" i="105"/>
  <c r="A3" i="105"/>
  <c r="E6" i="33"/>
  <c r="I6" i="33"/>
  <c r="G6" i="33"/>
  <c r="D6" i="33"/>
  <c r="A3" i="33"/>
  <c r="H6" i="33" l="1"/>
  <c r="D3" i="109" l="1"/>
  <c r="E3" i="109"/>
  <c r="F3" i="109"/>
  <c r="G3" i="109"/>
  <c r="H3" i="109"/>
  <c r="I3" i="109"/>
  <c r="J3" i="109"/>
  <c r="K3" i="109"/>
  <c r="L3" i="109"/>
  <c r="M3" i="109"/>
  <c r="N3" i="109"/>
  <c r="O3" i="109"/>
  <c r="P3" i="109"/>
  <c r="Q3" i="109"/>
  <c r="R3" i="109"/>
  <c r="S3" i="109"/>
  <c r="T3" i="109"/>
  <c r="D4" i="109"/>
  <c r="E4" i="109"/>
  <c r="F4" i="109"/>
  <c r="G4" i="109"/>
  <c r="H4" i="109"/>
  <c r="I4" i="109"/>
  <c r="J4" i="109"/>
  <c r="K4" i="109"/>
  <c r="L4" i="109"/>
  <c r="M4" i="109"/>
  <c r="N4" i="109"/>
  <c r="O4" i="109"/>
  <c r="P4" i="109"/>
  <c r="Q4" i="109"/>
  <c r="R4" i="109"/>
  <c r="S4" i="109"/>
  <c r="T4" i="109"/>
  <c r="D5" i="109"/>
  <c r="E5" i="109"/>
  <c r="F5" i="109"/>
  <c r="G5" i="109"/>
  <c r="H5" i="109"/>
  <c r="I5" i="109"/>
  <c r="J5" i="109"/>
  <c r="K5" i="109"/>
  <c r="L5" i="109"/>
  <c r="M5" i="109"/>
  <c r="N5" i="109"/>
  <c r="O5" i="109"/>
  <c r="P5" i="109"/>
  <c r="Q5" i="109"/>
  <c r="R5" i="109"/>
  <c r="S5" i="109"/>
  <c r="T5" i="109"/>
  <c r="D6" i="109"/>
  <c r="E6" i="109"/>
  <c r="F6" i="109"/>
  <c r="G6" i="109"/>
  <c r="H6" i="109"/>
  <c r="I6" i="109"/>
  <c r="J6" i="109"/>
  <c r="K6" i="109"/>
  <c r="L6" i="109"/>
  <c r="M6" i="109"/>
  <c r="N6" i="109"/>
  <c r="O6" i="109"/>
  <c r="P6" i="109"/>
  <c r="Q6" i="109"/>
  <c r="R6" i="109"/>
  <c r="S6" i="109"/>
  <c r="T6" i="109"/>
  <c r="D7" i="109"/>
  <c r="E7" i="109"/>
  <c r="F7" i="109"/>
  <c r="G7" i="109"/>
  <c r="H7" i="109"/>
  <c r="I7" i="109"/>
  <c r="J7" i="109"/>
  <c r="K7" i="109"/>
  <c r="L7" i="109"/>
  <c r="M7" i="109"/>
  <c r="N7" i="109"/>
  <c r="O7" i="109"/>
  <c r="P7" i="109"/>
  <c r="Q7" i="109"/>
  <c r="R7" i="109"/>
  <c r="S7" i="109"/>
  <c r="T7" i="109"/>
  <c r="D8" i="109"/>
  <c r="E8" i="109"/>
  <c r="F8" i="109"/>
  <c r="G8" i="109"/>
  <c r="H8" i="109"/>
  <c r="I8" i="109"/>
  <c r="J8" i="109"/>
  <c r="K8" i="109"/>
  <c r="L8" i="109"/>
  <c r="M8" i="109"/>
  <c r="N8" i="109"/>
  <c r="O8" i="109"/>
  <c r="P8" i="109"/>
  <c r="Q8" i="109"/>
  <c r="R8" i="109"/>
  <c r="S8" i="109"/>
  <c r="T8" i="109"/>
  <c r="D9" i="109"/>
  <c r="E9" i="109"/>
  <c r="F9" i="109"/>
  <c r="G9" i="109"/>
  <c r="H9" i="109"/>
  <c r="I9" i="109"/>
  <c r="J9" i="109"/>
  <c r="K9" i="109"/>
  <c r="L9" i="109"/>
  <c r="M9" i="109"/>
  <c r="N9" i="109"/>
  <c r="O9" i="109"/>
  <c r="P9" i="109"/>
  <c r="Q9" i="109"/>
  <c r="R9" i="109"/>
  <c r="S9" i="109"/>
  <c r="T9" i="109"/>
  <c r="D10" i="109"/>
  <c r="E10" i="109"/>
  <c r="F10" i="109"/>
  <c r="G10" i="109"/>
  <c r="H10" i="109"/>
  <c r="I10" i="109"/>
  <c r="J10" i="109"/>
  <c r="K10" i="109"/>
  <c r="L10" i="109"/>
  <c r="M10" i="109"/>
  <c r="N10" i="109"/>
  <c r="O10" i="109"/>
  <c r="P10" i="109"/>
  <c r="Q10" i="109"/>
  <c r="R10" i="109"/>
  <c r="S10" i="109"/>
  <c r="T10" i="109"/>
  <c r="D11" i="109"/>
  <c r="E11" i="109"/>
  <c r="F11" i="109"/>
  <c r="G11" i="109"/>
  <c r="H11" i="109"/>
  <c r="I11" i="109"/>
  <c r="J11" i="109"/>
  <c r="K11" i="109"/>
  <c r="L11" i="109"/>
  <c r="M11" i="109"/>
  <c r="N11" i="109"/>
  <c r="O11" i="109"/>
  <c r="P11" i="109"/>
  <c r="Q11" i="109"/>
  <c r="R11" i="109"/>
  <c r="S11" i="109"/>
  <c r="T11" i="109"/>
  <c r="D12" i="109"/>
  <c r="E12" i="109"/>
  <c r="F12" i="109"/>
  <c r="G12" i="109"/>
  <c r="H12" i="109"/>
  <c r="I12" i="109"/>
  <c r="J12" i="109"/>
  <c r="K12" i="109"/>
  <c r="L12" i="109"/>
  <c r="M12" i="109"/>
  <c r="N12" i="109"/>
  <c r="O12" i="109"/>
  <c r="P12" i="109"/>
  <c r="Q12" i="109"/>
  <c r="R12" i="109"/>
  <c r="S12" i="109"/>
  <c r="T12" i="109"/>
  <c r="D13" i="109"/>
  <c r="E13" i="109"/>
  <c r="F13" i="109"/>
  <c r="G13" i="109"/>
  <c r="H13" i="109"/>
  <c r="I13" i="109"/>
  <c r="J13" i="109"/>
  <c r="K13" i="109"/>
  <c r="L13" i="109"/>
  <c r="M13" i="109"/>
  <c r="N13" i="109"/>
  <c r="O13" i="109"/>
  <c r="P13" i="109"/>
  <c r="Q13" i="109"/>
  <c r="R13" i="109"/>
  <c r="S13" i="109"/>
  <c r="T13" i="109"/>
  <c r="D14" i="109"/>
  <c r="E14" i="109"/>
  <c r="F14" i="109"/>
  <c r="G14" i="109"/>
  <c r="H14" i="109"/>
  <c r="I14" i="109"/>
  <c r="J14" i="109"/>
  <c r="K14" i="109"/>
  <c r="L14" i="109"/>
  <c r="M14" i="109"/>
  <c r="N14" i="109"/>
  <c r="O14" i="109"/>
  <c r="P14" i="109"/>
  <c r="Q14" i="109"/>
  <c r="R14" i="109"/>
  <c r="S14" i="109"/>
  <c r="T14" i="109"/>
  <c r="C4" i="109"/>
  <c r="C5" i="109"/>
  <c r="C6" i="109"/>
  <c r="C7" i="109"/>
  <c r="C8" i="109"/>
  <c r="C9" i="109"/>
  <c r="C10" i="109"/>
  <c r="C11" i="109"/>
  <c r="C12" i="109"/>
  <c r="C13" i="109"/>
  <c r="C14" i="109"/>
  <c r="C3" i="109"/>
  <c r="C16" i="108"/>
  <c r="C17" i="108" s="1"/>
  <c r="S16" i="108"/>
  <c r="R16" i="108"/>
  <c r="Q16" i="108"/>
  <c r="P16" i="108"/>
  <c r="O16" i="108"/>
  <c r="O17" i="108" s="1"/>
  <c r="N16" i="108"/>
  <c r="N17" i="108" s="1"/>
  <c r="M16" i="108"/>
  <c r="M17" i="108" s="1"/>
  <c r="L16" i="108"/>
  <c r="K16" i="108"/>
  <c r="J16" i="108"/>
  <c r="J17" i="108" s="1"/>
  <c r="I16" i="108"/>
  <c r="I17" i="108" s="1"/>
  <c r="H16" i="108"/>
  <c r="H17" i="108" s="1"/>
  <c r="G16" i="108"/>
  <c r="G17" i="108" s="1"/>
  <c r="F16" i="108"/>
  <c r="F17" i="108" s="1"/>
  <c r="E16" i="108"/>
  <c r="E17" i="108" s="1"/>
  <c r="D16" i="108"/>
  <c r="D17" i="108" s="1"/>
  <c r="N17" i="109" l="1"/>
  <c r="M17" i="109"/>
  <c r="J17" i="109"/>
  <c r="J18" i="109" s="1"/>
  <c r="I17" i="109"/>
  <c r="I18" i="109" s="1"/>
  <c r="R17" i="109"/>
  <c r="F17" i="109"/>
  <c r="F18" i="109" s="1"/>
  <c r="C17" i="109"/>
  <c r="C18" i="109" s="1"/>
  <c r="K17" i="109"/>
  <c r="K18" i="109" s="1"/>
  <c r="P17" i="109"/>
  <c r="D17" i="109"/>
  <c r="D18" i="109" s="1"/>
  <c r="H17" i="109"/>
  <c r="H18" i="109" s="1"/>
  <c r="L17" i="109"/>
  <c r="L18" i="109" s="1"/>
  <c r="S17" i="109"/>
  <c r="G17" i="109"/>
  <c r="G18" i="109" s="1"/>
  <c r="Q17" i="109"/>
  <c r="E17" i="109"/>
  <c r="E18" i="109" s="1"/>
  <c r="O17" i="109"/>
  <c r="T17" i="108"/>
  <c r="O18" i="108" s="1"/>
  <c r="T16" i="108"/>
  <c r="T17" i="109" l="1"/>
  <c r="T18" i="109"/>
  <c r="C19" i="109" s="1"/>
  <c r="I18" i="108"/>
  <c r="H18" i="108"/>
  <c r="G18" i="108"/>
  <c r="F18" i="108"/>
  <c r="E18" i="108"/>
  <c r="S18" i="108"/>
  <c r="R18" i="108"/>
  <c r="L18" i="108"/>
  <c r="Q18" i="108"/>
  <c r="K18" i="108"/>
  <c r="P18" i="108"/>
  <c r="J18" i="108"/>
  <c r="C18" i="108"/>
  <c r="N18" i="108"/>
  <c r="M18" i="108"/>
  <c r="D18" i="108"/>
  <c r="J19" i="109" l="1"/>
  <c r="D16" i="72" s="1"/>
  <c r="I19" i="109"/>
  <c r="D15" i="72" s="1"/>
  <c r="S19" i="109"/>
  <c r="R19" i="109"/>
  <c r="Q19" i="109"/>
  <c r="P19" i="109"/>
  <c r="K19" i="109"/>
  <c r="D18" i="72" s="1"/>
  <c r="L19" i="109"/>
  <c r="D19" i="72" s="1"/>
  <c r="N19" i="109"/>
  <c r="M19" i="109"/>
  <c r="O19" i="109"/>
  <c r="H19" i="109"/>
  <c r="D14" i="72" s="1"/>
  <c r="E19" i="109"/>
  <c r="D10" i="72" s="1"/>
  <c r="F19" i="109"/>
  <c r="D11" i="72" s="1"/>
  <c r="G19" i="109"/>
  <c r="D12" i="72" s="1"/>
  <c r="D19" i="109"/>
  <c r="D9" i="72" s="1"/>
  <c r="D7" i="72"/>
  <c r="T18" i="108"/>
  <c r="D22" i="72" l="1"/>
  <c r="T19" i="109"/>
  <c r="X9" i="83"/>
  <c r="Y9" i="83" s="1"/>
  <c r="G27" i="72" l="1"/>
  <c r="F7" i="72" l="1"/>
  <c r="F16" i="72" l="1"/>
  <c r="F18" i="72"/>
  <c r="F15" i="72"/>
  <c r="F10" i="72"/>
  <c r="F11" i="72"/>
  <c r="F14" i="72"/>
  <c r="F19" i="72"/>
  <c r="F9" i="72"/>
  <c r="F12" i="72"/>
  <c r="F22" i="72" l="1"/>
  <c r="X33" i="83" l="1"/>
  <c r="X29" i="83"/>
  <c r="X27" i="83"/>
  <c r="X24" i="83"/>
  <c r="X23" i="83"/>
  <c r="X20" i="83"/>
  <c r="X19" i="83"/>
  <c r="X18" i="83"/>
  <c r="X15" i="83"/>
  <c r="X14" i="83"/>
  <c r="X13" i="83"/>
  <c r="X12" i="83"/>
  <c r="X10" i="83"/>
  <c r="X25" i="83" l="1"/>
  <c r="X16" i="83"/>
  <c r="X21" i="83"/>
  <c r="X31" i="83" l="1"/>
  <c r="X35" i="83" s="1"/>
  <c r="V12" i="83" l="1"/>
  <c r="W12" i="83" s="1"/>
  <c r="Y12" i="83" s="1"/>
  <c r="V18" i="83"/>
  <c r="W18" i="83" s="1"/>
  <c r="Y18" i="83" s="1"/>
  <c r="V24" i="83"/>
  <c r="W24" i="83" s="1"/>
  <c r="Y24" i="83" s="1"/>
  <c r="V13" i="83"/>
  <c r="W13" i="83" s="1"/>
  <c r="Y13" i="83" s="1"/>
  <c r="V19" i="83"/>
  <c r="W19" i="83" s="1"/>
  <c r="Y19" i="83" s="1"/>
  <c r="V27" i="83"/>
  <c r="W27" i="83" s="1"/>
  <c r="Y27" i="83" s="1"/>
  <c r="V14" i="83"/>
  <c r="W14" i="83" s="1"/>
  <c r="Y14" i="83" s="1"/>
  <c r="V20" i="83"/>
  <c r="W20" i="83" s="1"/>
  <c r="Y20" i="83" s="1"/>
  <c r="V29" i="83"/>
  <c r="W29" i="83" s="1"/>
  <c r="Y29" i="83" s="1"/>
  <c r="V15" i="83"/>
  <c r="W15" i="83" s="1"/>
  <c r="Y15" i="83" s="1"/>
  <c r="V23" i="83"/>
  <c r="V33" i="83"/>
  <c r="W33" i="83" s="1"/>
  <c r="Y33" i="83" s="1"/>
  <c r="V10" i="83" l="1"/>
  <c r="V25" i="83"/>
  <c r="V16" i="83"/>
  <c r="W16" i="83"/>
  <c r="W21" i="83"/>
  <c r="V21" i="83"/>
  <c r="W23" i="83"/>
  <c r="W10" i="83"/>
  <c r="W25" i="83" l="1"/>
  <c r="Y23" i="83"/>
  <c r="V31" i="83"/>
  <c r="V35" i="83" s="1"/>
  <c r="W31" i="83"/>
  <c r="W35" i="83" s="1"/>
  <c r="G7" i="72" l="1"/>
  <c r="H7" i="72" l="1"/>
  <c r="D25" i="83"/>
  <c r="D31" i="83" s="1"/>
  <c r="D35" i="83" s="1"/>
  <c r="C16" i="83"/>
  <c r="C10" i="83"/>
  <c r="C21" i="83"/>
  <c r="C25" i="83" l="1"/>
  <c r="C31" i="83" s="1"/>
  <c r="C35" i="83" s="1"/>
  <c r="C7" i="105" l="1"/>
  <c r="C8" i="105"/>
  <c r="C9" i="105"/>
  <c r="C10" i="105"/>
  <c r="C11" i="105"/>
  <c r="C12" i="105"/>
  <c r="C13" i="105"/>
  <c r="C14" i="105"/>
  <c r="C15" i="105"/>
  <c r="C16" i="105"/>
  <c r="C17" i="105"/>
  <c r="C18" i="105"/>
  <c r="C22" i="105"/>
  <c r="C23" i="105"/>
  <c r="H8" i="105"/>
  <c r="C20" i="105" l="1"/>
  <c r="H13" i="105"/>
  <c r="H23" i="105"/>
  <c r="H18" i="105"/>
  <c r="H10" i="105"/>
  <c r="H15" i="105"/>
  <c r="H17" i="105"/>
  <c r="H9" i="105"/>
  <c r="H22" i="105"/>
  <c r="H12" i="105"/>
  <c r="H14" i="105"/>
  <c r="H11" i="105"/>
  <c r="H7" i="105"/>
  <c r="H16" i="105"/>
  <c r="H20" i="105" l="1"/>
  <c r="B20" i="105"/>
  <c r="D18" i="33" l="1"/>
  <c r="D13" i="33"/>
  <c r="G10" i="72"/>
  <c r="D11" i="33"/>
  <c r="A10" i="83"/>
  <c r="A11" i="83" s="1"/>
  <c r="A12" i="83" s="1"/>
  <c r="A13" i="83" s="1"/>
  <c r="A14" i="83" s="1"/>
  <c r="A15" i="83" s="1"/>
  <c r="A16" i="83" s="1"/>
  <c r="A17" i="83" s="1"/>
  <c r="A18" i="83" s="1"/>
  <c r="A19" i="83" s="1"/>
  <c r="A20" i="83" s="1"/>
  <c r="A21" i="83" s="1"/>
  <c r="A22" i="83" s="1"/>
  <c r="A23" i="83" l="1"/>
  <c r="A24" i="83" s="1"/>
  <c r="A25" i="83" s="1"/>
  <c r="A26" i="83" s="1"/>
  <c r="A27" i="83" s="1"/>
  <c r="A28" i="83" s="1"/>
  <c r="A29" i="83" s="1"/>
  <c r="A30" i="83" s="1"/>
  <c r="A31" i="83" s="1"/>
  <c r="A32" i="83" s="1"/>
  <c r="A33" i="83" s="1"/>
  <c r="A34" i="83" s="1"/>
  <c r="A35" i="83" s="1"/>
  <c r="D12" i="33"/>
  <c r="G26" i="72" l="1"/>
  <c r="D34" i="33"/>
  <c r="D32" i="33"/>
  <c r="G19" i="72"/>
  <c r="D24" i="33"/>
  <c r="D20" i="33"/>
  <c r="G15" i="72"/>
  <c r="G14" i="72"/>
  <c r="D14" i="33"/>
  <c r="D16" i="33" l="1"/>
  <c r="F16" i="33"/>
  <c r="G11" i="72"/>
  <c r="G25" i="72"/>
  <c r="D33" i="33"/>
  <c r="G16" i="72"/>
  <c r="H16" i="72" s="1"/>
  <c r="G20" i="33" s="1"/>
  <c r="G12" i="72"/>
  <c r="G18" i="72"/>
  <c r="H18" i="72" s="1"/>
  <c r="G24" i="33" s="1"/>
  <c r="D19" i="33"/>
  <c r="D25" i="33"/>
  <c r="D27" i="33" l="1"/>
  <c r="F27" i="33" s="1"/>
  <c r="D22" i="33"/>
  <c r="F22" i="33" s="1"/>
  <c r="G5" i="72"/>
  <c r="A8" i="72" l="1"/>
  <c r="A9" i="72" s="1"/>
  <c r="A10" i="72" s="1"/>
  <c r="A11" i="72" s="1"/>
  <c r="A12" i="72" s="1"/>
  <c r="A13" i="72" s="1"/>
  <c r="A14" i="72" s="1"/>
  <c r="A15" i="72" s="1"/>
  <c r="A10" i="33"/>
  <c r="A11" i="33" s="1"/>
  <c r="A12" i="33" s="1"/>
  <c r="A13" i="33" s="1"/>
  <c r="A14" i="33" s="1"/>
  <c r="A15" i="33" s="1"/>
  <c r="A16" i="33" s="1"/>
  <c r="A17" i="33" s="1"/>
  <c r="A18" i="33" s="1"/>
  <c r="A19" i="33" s="1"/>
  <c r="A20" i="33" s="1"/>
  <c r="A21" i="33" s="1"/>
  <c r="A22" i="33" s="1"/>
  <c r="A23" i="33" s="1"/>
  <c r="A24" i="33" s="1"/>
  <c r="A25" i="33" s="1"/>
  <c r="A26" i="33" s="1"/>
  <c r="A16" i="72" l="1"/>
  <c r="A17" i="72" s="1"/>
  <c r="A27" i="33"/>
  <c r="A28" i="33" s="1"/>
  <c r="A29" i="33" s="1"/>
  <c r="E23" i="105"/>
  <c r="E10" i="105"/>
  <c r="E8" i="105"/>
  <c r="E16" i="105"/>
  <c r="E14" i="105"/>
  <c r="E12" i="105"/>
  <c r="E13" i="105"/>
  <c r="E9" i="105"/>
  <c r="E18" i="105"/>
  <c r="E17" i="105"/>
  <c r="E7" i="105"/>
  <c r="E15" i="105"/>
  <c r="E11" i="105"/>
  <c r="E22" i="105"/>
  <c r="D23" i="105"/>
  <c r="D13" i="105"/>
  <c r="D15" i="105"/>
  <c r="D18" i="105"/>
  <c r="D11" i="105"/>
  <c r="D10" i="105"/>
  <c r="D9" i="105"/>
  <c r="D7" i="105"/>
  <c r="D8" i="105"/>
  <c r="D16" i="105"/>
  <c r="D14" i="105"/>
  <c r="D12" i="105"/>
  <c r="D17" i="105"/>
  <c r="D22" i="105"/>
  <c r="A18" i="72" l="1"/>
  <c r="A19" i="72" s="1"/>
  <c r="A20" i="72" s="1"/>
  <c r="A21" i="72" s="1"/>
  <c r="A22" i="72" s="1"/>
  <c r="A23" i="72" s="1"/>
  <c r="A24" i="72" s="1"/>
  <c r="A26" i="72" s="1"/>
  <c r="A27" i="72" s="1"/>
  <c r="A28" i="72" s="1"/>
  <c r="A29" i="72" s="1"/>
  <c r="F16" i="105"/>
  <c r="F23" i="105"/>
  <c r="F11" i="105"/>
  <c r="F14" i="105"/>
  <c r="F18" i="105"/>
  <c r="F13" i="105"/>
  <c r="F8" i="105"/>
  <c r="F12" i="105"/>
  <c r="F9" i="105"/>
  <c r="F15" i="105"/>
  <c r="F17" i="105"/>
  <c r="F22" i="105"/>
  <c r="F10" i="105"/>
  <c r="E20" i="105"/>
  <c r="F7" i="105"/>
  <c r="D20" i="105"/>
  <c r="H15" i="72"/>
  <c r="H14" i="72"/>
  <c r="H19" i="72"/>
  <c r="H11" i="72"/>
  <c r="H12" i="72"/>
  <c r="G9" i="33"/>
  <c r="A30" i="33" l="1"/>
  <c r="A31" i="33" s="1"/>
  <c r="A32" i="33" s="1"/>
  <c r="A33" i="33" s="1"/>
  <c r="A34" i="33" s="1"/>
  <c r="A35" i="33" s="1"/>
  <c r="A36" i="33" s="1"/>
  <c r="G18" i="33"/>
  <c r="G14" i="33"/>
  <c r="G19" i="33"/>
  <c r="G13" i="33"/>
  <c r="G25" i="33"/>
  <c r="F20" i="105"/>
  <c r="G27" i="33" l="1"/>
  <c r="G22" i="33"/>
  <c r="H10" i="72"/>
  <c r="G12" i="33" l="1"/>
  <c r="G9" i="72"/>
  <c r="G22" i="72" s="1"/>
  <c r="G29" i="72" l="1"/>
  <c r="H22" i="72"/>
  <c r="H9" i="72"/>
  <c r="D9" i="33"/>
  <c r="D29" i="33" l="1"/>
  <c r="G11" i="33"/>
  <c r="F29" i="33" l="1"/>
  <c r="D36" i="33"/>
  <c r="G33" i="72" s="1"/>
  <c r="G16" i="33"/>
  <c r="E34" i="33" l="1"/>
  <c r="I34" i="33" l="1"/>
  <c r="H34" i="33"/>
  <c r="J34" i="33" l="1"/>
  <c r="E33" i="33" l="1"/>
  <c r="H33" i="33" l="1"/>
  <c r="I33" i="33"/>
  <c r="J33" i="33" l="1"/>
  <c r="E13" i="33" l="1"/>
  <c r="I13" i="33" l="1"/>
  <c r="H13" i="33"/>
  <c r="J13" i="33" l="1"/>
  <c r="K13" i="33" s="1"/>
  <c r="E12" i="33"/>
  <c r="H12" i="33" l="1"/>
  <c r="I12" i="33"/>
  <c r="E11" i="33"/>
  <c r="J12" i="33" l="1"/>
  <c r="K12" i="33" s="1"/>
  <c r="H11" i="33"/>
  <c r="Y10" i="83"/>
  <c r="E9" i="33"/>
  <c r="I11" i="33"/>
  <c r="J11" i="33" s="1"/>
  <c r="H9" i="33" l="1"/>
  <c r="I9" i="33"/>
  <c r="J9" i="33" l="1"/>
  <c r="K11" i="33"/>
  <c r="K9" i="33" l="1"/>
  <c r="E25" i="33" l="1"/>
  <c r="E20" i="33"/>
  <c r="E19" i="33"/>
  <c r="E14" i="33"/>
  <c r="Y16" i="83"/>
  <c r="Y25" i="83"/>
  <c r="E24" i="33"/>
  <c r="H24" i="33" l="1"/>
  <c r="E27" i="33"/>
  <c r="I24" i="33"/>
  <c r="H20" i="33"/>
  <c r="I20" i="33"/>
  <c r="E16" i="33"/>
  <c r="I19" i="33"/>
  <c r="I25" i="33"/>
  <c r="H25" i="33"/>
  <c r="H19" i="33"/>
  <c r="E32" i="33"/>
  <c r="H14" i="33"/>
  <c r="H16" i="33" s="1"/>
  <c r="I14" i="33"/>
  <c r="I16" i="33" s="1"/>
  <c r="Y21" i="83"/>
  <c r="Y31" i="83" s="1"/>
  <c r="Y35" i="83" s="1"/>
  <c r="E18" i="33"/>
  <c r="E22" i="33" l="1"/>
  <c r="E29" i="33" s="1"/>
  <c r="E36" i="33" s="1"/>
  <c r="J24" i="33"/>
  <c r="K24" i="33" s="1"/>
  <c r="H27" i="33"/>
  <c r="I27" i="33"/>
  <c r="J20" i="33"/>
  <c r="H32" i="33"/>
  <c r="J19" i="33"/>
  <c r="K19" i="33" s="1"/>
  <c r="J25" i="33"/>
  <c r="K25" i="33" s="1"/>
  <c r="I32" i="33"/>
  <c r="J14" i="33"/>
  <c r="J16" i="33" s="1"/>
  <c r="H18" i="33"/>
  <c r="H22" i="33" s="1"/>
  <c r="I18" i="33"/>
  <c r="I22" i="33" s="1"/>
  <c r="K20" i="33" l="1"/>
  <c r="J27" i="33"/>
  <c r="K27" i="33" s="1"/>
  <c r="H29" i="33"/>
  <c r="H36" i="33" s="1"/>
  <c r="I29" i="33"/>
  <c r="I36" i="33" s="1"/>
  <c r="J32" i="33"/>
  <c r="K16" i="33"/>
  <c r="J18" i="33"/>
  <c r="J22" i="33" s="1"/>
  <c r="K22" i="33" s="1"/>
  <c r="K14" i="33"/>
  <c r="K18" i="33" l="1"/>
  <c r="G34" i="72"/>
  <c r="J29" i="33" l="1"/>
  <c r="J36" i="33" s="1"/>
  <c r="G29" i="33"/>
  <c r="K29" i="33" l="1"/>
  <c r="F50" i="105" l="1"/>
  <c r="F54" i="105" s="1"/>
  <c r="F66" i="105" s="1"/>
  <c r="F41" i="105"/>
  <c r="F65" i="105" s="1"/>
  <c r="I14" i="105" l="1"/>
  <c r="I8" i="105"/>
  <c r="I15" i="105"/>
  <c r="I10" i="105"/>
  <c r="K10" i="105" s="1"/>
  <c r="L10" i="105" s="1"/>
  <c r="M10" i="105" s="1"/>
  <c r="I13" i="105"/>
  <c r="K13" i="105" s="1"/>
  <c r="L13" i="105" s="1"/>
  <c r="M13" i="105" s="1"/>
  <c r="I9" i="105"/>
  <c r="K9" i="105" s="1"/>
  <c r="L9" i="105" s="1"/>
  <c r="M9" i="105" s="1"/>
  <c r="I18" i="105"/>
  <c r="I16" i="105"/>
  <c r="I12" i="105"/>
  <c r="I7" i="105"/>
  <c r="I11" i="105"/>
  <c r="I22" i="105"/>
  <c r="K22" i="105" s="1"/>
  <c r="L22" i="105" s="1"/>
  <c r="M22" i="105" s="1"/>
  <c r="I17" i="105"/>
  <c r="I23" i="105"/>
  <c r="J23" i="105"/>
  <c r="J16" i="105"/>
  <c r="J7" i="105"/>
  <c r="J9" i="105"/>
  <c r="J14" i="105"/>
  <c r="J18" i="105"/>
  <c r="J8" i="105"/>
  <c r="J12" i="105"/>
  <c r="J15" i="105"/>
  <c r="J17" i="105"/>
  <c r="J13" i="105"/>
  <c r="J10" i="105"/>
  <c r="J22" i="105"/>
  <c r="J11" i="105"/>
  <c r="K18" i="105" l="1"/>
  <c r="L18" i="105" s="1"/>
  <c r="M18" i="105" s="1"/>
  <c r="K16" i="105"/>
  <c r="L16" i="105" s="1"/>
  <c r="M16" i="105" s="1"/>
  <c r="K23" i="105"/>
  <c r="L23" i="105" s="1"/>
  <c r="M23" i="105" s="1"/>
  <c r="K11" i="105"/>
  <c r="L11" i="105" s="1"/>
  <c r="M11" i="105" s="1"/>
  <c r="K15" i="105"/>
  <c r="L15" i="105" s="1"/>
  <c r="M15" i="105" s="1"/>
  <c r="K17" i="105"/>
  <c r="L17" i="105" s="1"/>
  <c r="M17" i="105" s="1"/>
  <c r="K7" i="105"/>
  <c r="I20" i="105"/>
  <c r="K8" i="105"/>
  <c r="L8" i="105" s="1"/>
  <c r="M8" i="105" s="1"/>
  <c r="J20" i="105"/>
  <c r="K12" i="105"/>
  <c r="L12" i="105" s="1"/>
  <c r="M12" i="105" s="1"/>
  <c r="K14" i="105"/>
  <c r="L14" i="105" s="1"/>
  <c r="M14" i="105" s="1"/>
  <c r="L7" i="105" l="1"/>
  <c r="M7" i="105" s="1"/>
  <c r="K20" i="105"/>
  <c r="L20" i="105" s="1"/>
  <c r="M20" i="105" s="1"/>
</calcChain>
</file>

<file path=xl/comments1.xml><?xml version="1.0" encoding="utf-8"?>
<comments xmlns="http://schemas.openxmlformats.org/spreadsheetml/2006/main">
  <authors>
    <author>Regan, Jared</author>
  </authors>
  <commentList>
    <comment ref="B4" authorId="0" shapeId="0">
      <text>
        <r>
          <rPr>
            <b/>
            <sz val="9"/>
            <color indexed="81"/>
            <rFont val="Tahoma"/>
            <charset val="1"/>
          </rPr>
          <t>Regan, Jared:</t>
        </r>
        <r>
          <rPr>
            <sz val="9"/>
            <color indexed="81"/>
            <rFont val="Tahoma"/>
            <charset val="1"/>
          </rPr>
          <t xml:space="preserve">
Rider doesn’t currently exist. For 2023's filing we are using the base effective date.</t>
        </r>
      </text>
    </comment>
  </commentList>
</comments>
</file>

<file path=xl/sharedStrings.xml><?xml version="1.0" encoding="utf-8"?>
<sst xmlns="http://schemas.openxmlformats.org/spreadsheetml/2006/main" count="392" uniqueCount="257">
  <si>
    <t>Line No.</t>
  </si>
  <si>
    <t>Residential</t>
  </si>
  <si>
    <t>Sec Gen Svc - Small</t>
  </si>
  <si>
    <t>Sec Gen Svc - Medium</t>
  </si>
  <si>
    <t>Sec Gen Svc - Large</t>
  </si>
  <si>
    <t>Sec Irrigation Svc</t>
  </si>
  <si>
    <t>Pri Gen Svc</t>
  </si>
  <si>
    <t>Pri Irrigation Svc</t>
  </si>
  <si>
    <t>Pri Interruptible Svc</t>
  </si>
  <si>
    <t>Lights</t>
  </si>
  <si>
    <t>Subtotal</t>
  </si>
  <si>
    <t>Transportation</t>
  </si>
  <si>
    <t>Total</t>
  </si>
  <si>
    <t>Puget Sound Energy</t>
  </si>
  <si>
    <t>a</t>
  </si>
  <si>
    <t>b</t>
  </si>
  <si>
    <t>c</t>
  </si>
  <si>
    <t>CUSTOMER CLASS</t>
  </si>
  <si>
    <t>SCHEDULE</t>
  </si>
  <si>
    <t>Increase / Decrease 
$</t>
  </si>
  <si>
    <t>Increase / Decrease
%</t>
  </si>
  <si>
    <t>Secondary Service Total</t>
  </si>
  <si>
    <t>Primary Service Total</t>
  </si>
  <si>
    <t>HV Interruptible Svc</t>
  </si>
  <si>
    <t>HV Gen Svc</t>
  </si>
  <si>
    <t>High Voltage Service Total</t>
  </si>
  <si>
    <t>Small Firm Resale</t>
  </si>
  <si>
    <t>005</t>
  </si>
  <si>
    <t>Excluded Schedules</t>
  </si>
  <si>
    <t>$ / kWh</t>
  </si>
  <si>
    <t>kWh</t>
  </si>
  <si>
    <t>Residential Customer Impacts</t>
  </si>
  <si>
    <t>Month</t>
  </si>
  <si>
    <t>$ Difference</t>
  </si>
  <si>
    <t>% Difference</t>
  </si>
  <si>
    <t>January</t>
  </si>
  <si>
    <t>February</t>
  </si>
  <si>
    <t>March</t>
  </si>
  <si>
    <t>April</t>
  </si>
  <si>
    <t>May</t>
  </si>
  <si>
    <t>June</t>
  </si>
  <si>
    <t>July</t>
  </si>
  <si>
    <t>August</t>
  </si>
  <si>
    <t>September</t>
  </si>
  <si>
    <t>October</t>
  </si>
  <si>
    <t>November</t>
  </si>
  <si>
    <t>December</t>
  </si>
  <si>
    <t>Annual Total</t>
  </si>
  <si>
    <t>Customer Monthly Charge:</t>
  </si>
  <si>
    <t>per Month</t>
  </si>
  <si>
    <t>Energy Charge:</t>
  </si>
  <si>
    <t>Schedule 7 first 600 kWh</t>
  </si>
  <si>
    <t>Schedule 7 over 600 kWh</t>
  </si>
  <si>
    <t>Schedule 95 - Power Cost Adjustment Clause</t>
  </si>
  <si>
    <t>Schedule 120 - Conservation Rider</t>
  </si>
  <si>
    <t>Schedule 129 - Low Income</t>
  </si>
  <si>
    <t>Schedule 194 - BPA Exchange Credit</t>
  </si>
  <si>
    <t>Rate Spread &amp; Rate Design</t>
  </si>
  <si>
    <t>Electronic Workpapers</t>
  </si>
  <si>
    <t>50-59</t>
  </si>
  <si>
    <t>Customer Class</t>
  </si>
  <si>
    <t>Firm Resale - Small</t>
  </si>
  <si>
    <t>d</t>
  </si>
  <si>
    <t>g = f - e</t>
  </si>
  <si>
    <t>h = g / e</t>
  </si>
  <si>
    <t>Total Secondary Voltage</t>
  </si>
  <si>
    <t>Total Primary Voltage</t>
  </si>
  <si>
    <t>Total High Voltage</t>
  </si>
  <si>
    <t>Schedule 95A - Wind Power Production Credit</t>
  </si>
  <si>
    <t>Schedule 140 - Property Tax Rider</t>
  </si>
  <si>
    <t>Schedule 142 - Decoupling Rider</t>
  </si>
  <si>
    <t>Subtotal Base Monthly Charge</t>
  </si>
  <si>
    <t>Subtotal Base First 600 kWh Charge</t>
  </si>
  <si>
    <t>Subtotal Base Over 600 kWh Charge</t>
  </si>
  <si>
    <t>8 &amp; 24</t>
  </si>
  <si>
    <t>11, 25 &amp; 7A</t>
  </si>
  <si>
    <t>10 &amp; 31</t>
  </si>
  <si>
    <t>12, 26 &amp; 26P</t>
  </si>
  <si>
    <t>HV - Interruptible Svc</t>
  </si>
  <si>
    <t>HV - General Svc</t>
  </si>
  <si>
    <t>e = 
b + (a * c)</t>
  </si>
  <si>
    <t>f = 
b + (a * d)</t>
  </si>
  <si>
    <t>f</t>
  </si>
  <si>
    <t>j</t>
  </si>
  <si>
    <t xml:space="preserve">Typical Residential </t>
  </si>
  <si>
    <t>Residential Schedule 7 Rates</t>
  </si>
  <si>
    <t>One Phase Basic Charge</t>
  </si>
  <si>
    <t>Other Electric Charges and Credits</t>
  </si>
  <si>
    <t>Subtotal Other Charges</t>
  </si>
  <si>
    <t>Total Block 1 Energy Charge</t>
  </si>
  <si>
    <t>Total Block 2 Energy Charge</t>
  </si>
  <si>
    <t>Tariff</t>
  </si>
  <si>
    <t>All Sales</t>
  </si>
  <si>
    <t>Schedules</t>
  </si>
  <si>
    <t>8/24</t>
  </si>
  <si>
    <t>7A/11/25</t>
  </si>
  <si>
    <t>12/26</t>
  </si>
  <si>
    <t>10/31</t>
  </si>
  <si>
    <t>e</t>
  </si>
  <si>
    <t>h</t>
  </si>
  <si>
    <t>i</t>
  </si>
  <si>
    <t>k</t>
  </si>
  <si>
    <t>l</t>
  </si>
  <si>
    <t>g</t>
  </si>
  <si>
    <t>8, 24</t>
  </si>
  <si>
    <t>7A, 11, 25</t>
  </si>
  <si>
    <t>12, 26, 26P</t>
  </si>
  <si>
    <t>10, 31</t>
  </si>
  <si>
    <t>Transportation/Special Contract</t>
  </si>
  <si>
    <t>449 / 459 / SC</t>
  </si>
  <si>
    <t>m</t>
  </si>
  <si>
    <t>449-459-SC</t>
  </si>
  <si>
    <t>Schedule 141Z - EDIT Rider</t>
  </si>
  <si>
    <t>Bill</t>
  </si>
  <si>
    <t>Over 600 kWh</t>
  </si>
  <si>
    <t>First 600 kWh</t>
  </si>
  <si>
    <t>Basic Charge</t>
  </si>
  <si>
    <t>Proposed Customer Bill in Notice</t>
  </si>
  <si>
    <t>Current Customer Bill in Notice</t>
  </si>
  <si>
    <t>n</t>
  </si>
  <si>
    <t>Tariff Sheet No. Reference</t>
  </si>
  <si>
    <t>Advice No. 22-xxxx</t>
  </si>
  <si>
    <t>Schedule 142 - Decoupling Rider - Supplemental</t>
  </si>
  <si>
    <t>Schedule 95 - Power Cost Adjustment Clause-Supplemental</t>
  </si>
  <si>
    <t>o</t>
  </si>
  <si>
    <t>p</t>
  </si>
  <si>
    <t>Cross check</t>
  </si>
  <si>
    <t>Base</t>
  </si>
  <si>
    <t>Riders</t>
  </si>
  <si>
    <t>q</t>
  </si>
  <si>
    <t>s</t>
  </si>
  <si>
    <t>PUGET SOUND ENERGY</t>
  </si>
  <si>
    <t xml:space="preserve">SCHEDULE 141TEP ANNUAL FILING </t>
  </si>
  <si>
    <t>FOR RATES EFFECTIVE JANUARY - DECEMBER 2023</t>
  </si>
  <si>
    <t>Transportation Electrification Plan</t>
  </si>
  <si>
    <t>LOWER SNAKE RIVER</t>
  </si>
  <si>
    <t>DESCRIPTION</t>
  </si>
  <si>
    <t>Rate Base</t>
  </si>
  <si>
    <t>NOI</t>
  </si>
  <si>
    <t>TOTAL</t>
  </si>
  <si>
    <t>Forecasted TEP AMA Balance as of December 31, 2023</t>
  </si>
  <si>
    <t>NOI of Depreciation (Net of Tax)</t>
  </si>
  <si>
    <t>NOI of OPEX (Net of Tax)</t>
  </si>
  <si>
    <t>NOI of EV Incentive Rate of Return (Net of Tax)</t>
  </si>
  <si>
    <r>
      <t xml:space="preserve">After Tax ROR from </t>
    </r>
    <r>
      <rPr>
        <b/>
        <sz val="8"/>
        <color rgb="FF0033CC"/>
        <rFont val="Arial"/>
        <family val="2"/>
      </rPr>
      <t>2022 GRC</t>
    </r>
  </si>
  <si>
    <t>x</t>
  </si>
  <si>
    <t>Net of Tax ROR and Net of Tax NOI</t>
  </si>
  <si>
    <t>Gross up for FIT</t>
  </si>
  <si>
    <t>¸</t>
  </si>
  <si>
    <t>Revenue requirement before gross up for revenue sensitive items</t>
  </si>
  <si>
    <r>
      <t xml:space="preserve">Electric conversion factor from </t>
    </r>
    <r>
      <rPr>
        <b/>
        <sz val="8"/>
        <color rgb="FF0033CC"/>
        <rFont val="Arial"/>
        <family val="2"/>
      </rPr>
      <t>2022 GRC</t>
    </r>
  </si>
  <si>
    <t>Annual revenue requirement including revenue sensitive items</t>
  </si>
  <si>
    <t>Prior Period True-up</t>
  </si>
  <si>
    <t>Total 2022 Annual Revenue Requirement to be Recovered for Schedule 141TEP</t>
  </si>
  <si>
    <t>Explanation of decrease in revenue requirement credit</t>
  </si>
  <si>
    <t>Approved in PY Filing</t>
  </si>
  <si>
    <t>Change in over/under pass-back of return on rate base</t>
  </si>
  <si>
    <t>Change in over/under pass-back of tax benefit of interest</t>
  </si>
  <si>
    <t>Change in over/under pass-back of Opex</t>
  </si>
  <si>
    <t>Change in over/under pass-back of depreciation</t>
  </si>
  <si>
    <t>Change in over/under pass-back of EV incentive rate of return</t>
  </si>
  <si>
    <t>Current Year Revenue Requirement</t>
  </si>
  <si>
    <t>Schedule 141 TEP Removal</t>
  </si>
  <si>
    <t>Allocation of Revenue Requirement to Rate Schedule 141TEP</t>
  </si>
  <si>
    <t>YearMo</t>
  </si>
  <si>
    <t>_NAME_</t>
  </si>
  <si>
    <t>SCH_7</t>
  </si>
  <si>
    <t>SCH_24</t>
  </si>
  <si>
    <t>SCH_25</t>
  </si>
  <si>
    <t>SCH_26</t>
  </si>
  <si>
    <t>SCH_29</t>
  </si>
  <si>
    <t>SCH_31</t>
  </si>
  <si>
    <t>SCH_35</t>
  </si>
  <si>
    <t>SCH_43</t>
  </si>
  <si>
    <t>SCH_46</t>
  </si>
  <si>
    <t>SCH_49</t>
  </si>
  <si>
    <t>SCH_50</t>
  </si>
  <si>
    <t>SCH_55</t>
  </si>
  <si>
    <t>SCH_5</t>
  </si>
  <si>
    <t>SCH_449HV</t>
  </si>
  <si>
    <t>SCH_449PV</t>
  </si>
  <si>
    <t>SCH_459HV</t>
  </si>
  <si>
    <t>SCH_SC</t>
  </si>
  <si>
    <t>System</t>
  </si>
  <si>
    <t>202007</t>
  </si>
  <si>
    <t>Load</t>
  </si>
  <si>
    <t>202008</t>
  </si>
  <si>
    <t>202009</t>
  </si>
  <si>
    <t>202010</t>
  </si>
  <si>
    <t>202011</t>
  </si>
  <si>
    <t>202012</t>
  </si>
  <si>
    <t>202101</t>
  </si>
  <si>
    <t>202102</t>
  </si>
  <si>
    <t>202103</t>
  </si>
  <si>
    <t>202104</t>
  </si>
  <si>
    <t>202105</t>
  </si>
  <si>
    <t>202106</t>
  </si>
  <si>
    <t>Average 12NCP, Including Retail Wheeling &amp; Special Contract</t>
  </si>
  <si>
    <t>Average 12NCP, Primary &amp; Secondary Voltage Only</t>
  </si>
  <si>
    <t>DEM-4</t>
  </si>
  <si>
    <t>12NCP,  Excluding Interruptibles, Includes Retail Wheeling &amp; Special Contract</t>
  </si>
  <si>
    <t>Special Contract</t>
  </si>
  <si>
    <t>Lighting</t>
  </si>
  <si>
    <t>Transportation (Non-Retail Wheeling)</t>
  </si>
  <si>
    <t>c = a * b</t>
  </si>
  <si>
    <t>e = c / d</t>
  </si>
  <si>
    <t>Schedule No. 141TEP</t>
  </si>
  <si>
    <t>Firm Resale</t>
  </si>
  <si>
    <t>12 NCP (Excluding Non-TEP Eligible Classes)*</t>
  </si>
  <si>
    <t>*Excluded :</t>
  </si>
  <si>
    <t>2023 Revenue Requirement</t>
  </si>
  <si>
    <t>Allocated 2023 Revenue Requirement</t>
  </si>
  <si>
    <t>No Current
Rate
$ per kWh</t>
  </si>
  <si>
    <t>Proposed Rider Rate Effective Start Date</t>
  </si>
  <si>
    <t>Proposed Rider Rate Effective End Date</t>
  </si>
  <si>
    <t>Current Rider Rate Effective Date</t>
  </si>
  <si>
    <t>Budget Forecast</t>
  </si>
  <si>
    <t>F2022</t>
  </si>
  <si>
    <t>Forecasted Test Period Start Date</t>
  </si>
  <si>
    <t>Forecasted Test Period End Date</t>
  </si>
  <si>
    <t>Base Revenue Rate Effective Date</t>
  </si>
  <si>
    <t>Estimated Net Annual Proforma Base Revenue (Excluding Sch 141TEP)</t>
  </si>
  <si>
    <t>r</t>
  </si>
  <si>
    <t>t = ∑
(c to s)</t>
  </si>
  <si>
    <t>u</t>
  </si>
  <si>
    <t>v = (o)</t>
  </si>
  <si>
    <t>w = u + v</t>
  </si>
  <si>
    <t>Schedule 141A - Energy Charge Credit Recovery Adjustment</t>
  </si>
  <si>
    <t>Schedule 141COL - Colstrip Adjustment Rider</t>
  </si>
  <si>
    <t>Schedule 141N - Rates Not Subject to Refund Rate Adjustment</t>
  </si>
  <si>
    <t>Schedule 141R - Rates Subject to Refund Rate Adjustment</t>
  </si>
  <si>
    <t>Schedule 141TEP - TEP Rider</t>
  </si>
  <si>
    <t>Subtotal
Rider
Rates</t>
  </si>
  <si>
    <t>12NCP, Lighting, Retail Wheeling &amp; Special Contract</t>
  </si>
  <si>
    <t>NOI of Tax Benefit of Proforma Interest [AMA Balance x 2.55% x 21%]</t>
  </si>
  <si>
    <t>Annual kWh Delivered Sales  03/01/23 to 02/29/24 (F2022)</t>
  </si>
  <si>
    <t>Estimated Annual
Base Revenue
Rates Effective
01/11/23</t>
  </si>
  <si>
    <t>Schedule 95
PCA Supplemental</t>
  </si>
  <si>
    <t>Schedule 95
PCORC</t>
  </si>
  <si>
    <t>Schedule 95A
Federal Incentive Credit</t>
  </si>
  <si>
    <t>Schedule 120
Conservation</t>
  </si>
  <si>
    <t>Schedule 129
Low Income</t>
  </si>
  <si>
    <t xml:space="preserve">Schedule 139 Green Direct </t>
  </si>
  <si>
    <t>Schedule 139 Green Direct Supplemental</t>
  </si>
  <si>
    <t>Schedule 140
Property Tax</t>
  </si>
  <si>
    <t>Schedule 141A
Energy Charge Credit</t>
  </si>
  <si>
    <t>Schedule 141COL
Colstrip Adjustment</t>
  </si>
  <si>
    <t>Schedule 141N
Rates Not Subject to Refund</t>
  </si>
  <si>
    <t>Schedule 141R
Rates Subject to Refund</t>
  </si>
  <si>
    <t>Schedule 141TEP</t>
  </si>
  <si>
    <t>Schedule 141Z (Unprotected)
EDIT</t>
  </si>
  <si>
    <t>Schedule 142
 Deferral</t>
  </si>
  <si>
    <t>Schedule 142
Supplemental</t>
  </si>
  <si>
    <t>Schedule 194
BPA Res &amp; Farm Credit</t>
  </si>
  <si>
    <t>Annual Estimated Revenue @ Rates Effective 01/11/23</t>
  </si>
  <si>
    <t>Transportation Electrification Plan (TEP) Rider</t>
  </si>
  <si>
    <t>*Note 1:  Estimated Net Revenue Includes Base Tariff Revenue plus the following rider / tracker schedules:  Schedule 95 PCA Supplemental, Schedule 95 PCORC, Schedule 95A Federal Incentive Credit, Schedule 120 Conservation, Schedule 129 Low Income, Schedule 139 Green Direct, Schedule 139 Green Direct Supplemental, Schedule 140 Property Tax, Schedule 141A Energy Charge Credit, Schedule 141COL Colstrip Adjustment, Schedule 141N Rates Not Subject to Refund, Schedule 141R Rates Subject to Refund, Schedule 141Z (Unprotected) EDIT, Schedule 142 Deferral, Schedule 142 Supplemental, Schedule 194 BPA Res &amp; Farm Credit. Sch 141TEP Transportation Electrification Plan Rider revenue is excluded.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</si>
</sst>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2" formatCode="_(&quot;$&quot;* #,##0_);_(&quot;$&quot;* \(#,##0\);_(&quot;$&quot;* &quot;-&quot;_);_(@_)"/>
    <numFmt numFmtId="41" formatCode="_(* #,##0_);_(* \(#,##0\);_(* &quot;-&quot;_);_(@_)"/>
    <numFmt numFmtId="44" formatCode="_(&quot;$&quot;* #,##0.00_);_(&quot;$&quot;* \(#,##0.00\);_(&quot;$&quot;* &quot;-&quot;??_);_(@_)"/>
    <numFmt numFmtId="164" formatCode="_(* #,##0_);_(* \(#,##0\);_(* &quot;-&quot;??_);_(@_)"/>
    <numFmt numFmtId="165" formatCode="_(&quot;$&quot;* #,##0_);_(&quot;$&quot;* \(#,##0\);_(&quot;$&quot;* &quot;-&quot;??_);_(@_)"/>
    <numFmt numFmtId="166" formatCode="0.0000\ \¢"/>
    <numFmt numFmtId="167" formatCode="_(&quot;$&quot;* #,##0.000000_);_(&quot;$&quot;* \(#,##0.000000\);_(&quot;$&quot;* &quot;-&quot;??_);_(@_)"/>
    <numFmt numFmtId="168" formatCode="_(* #,##0.000000_);_(* \(#,##0.000000\);_(* &quot;-&quot;??_);_(@_)"/>
    <numFmt numFmtId="169" formatCode="mmmm\ dd\,\ yyyy"/>
    <numFmt numFmtId="170" formatCode="_(&quot;$&quot;* #,##0.000000_);_(&quot;$&quot;* \(#,##0.000000\);_(&quot;$&quot;* &quot;-&quot;??????_);_(@_)"/>
    <numFmt numFmtId="171" formatCode="0.0%"/>
    <numFmt numFmtId="172" formatCode="m/d/yyyy;@"/>
    <numFmt numFmtId="173" formatCode="mm/dd/yy;@"/>
  </numFmts>
  <fonts count="28" x14ac:knownFonts="1">
    <font>
      <sz val="10"/>
      <name val="Arial"/>
    </font>
    <font>
      <sz val="10"/>
      <name val="Arial"/>
      <family val="2"/>
    </font>
    <font>
      <sz val="8"/>
      <name val="Arial"/>
      <family val="2"/>
    </font>
    <font>
      <b/>
      <sz val="10"/>
      <name val="Arial"/>
      <family val="2"/>
    </font>
    <font>
      <b/>
      <sz val="8"/>
      <name val="Arial"/>
      <family val="2"/>
    </font>
    <font>
      <sz val="8"/>
      <name val="Arial"/>
      <family val="2"/>
    </font>
    <font>
      <sz val="8"/>
      <color rgb="FFFF0000"/>
      <name val="Arial"/>
      <family val="2"/>
    </font>
    <font>
      <sz val="10"/>
      <color rgb="FF008080"/>
      <name val="Arial"/>
      <family val="2"/>
    </font>
    <font>
      <sz val="8"/>
      <color rgb="FF008080"/>
      <name val="Arial"/>
      <family val="2"/>
    </font>
    <font>
      <sz val="8"/>
      <color rgb="FF0033CC"/>
      <name val="Arial"/>
      <family val="2"/>
    </font>
    <font>
      <b/>
      <sz val="8"/>
      <color rgb="FF0033CC"/>
      <name val="Arial"/>
      <family val="2"/>
    </font>
    <font>
      <b/>
      <sz val="10"/>
      <color rgb="FF0033CC"/>
      <name val="Arial"/>
      <family val="2"/>
    </font>
    <font>
      <u val="singleAccounting"/>
      <sz val="8"/>
      <name val="Arial"/>
      <family val="2"/>
    </font>
    <font>
      <u val="singleAccounting"/>
      <sz val="8"/>
      <color rgb="FF008080"/>
      <name val="Arial"/>
      <family val="2"/>
    </font>
    <font>
      <b/>
      <i/>
      <sz val="8"/>
      <name val="Arial"/>
      <family val="2"/>
    </font>
    <font>
      <sz val="8"/>
      <color indexed="8"/>
      <name val="Arial"/>
      <family val="2"/>
    </font>
    <font>
      <b/>
      <sz val="8"/>
      <color rgb="FF008080"/>
      <name val="Arial"/>
      <family val="2"/>
    </font>
    <font>
      <b/>
      <sz val="8"/>
      <color indexed="8"/>
      <name val="Arial"/>
      <family val="2"/>
    </font>
    <font>
      <sz val="10"/>
      <color rgb="FF0033CC"/>
      <name val="Arial"/>
      <family val="2"/>
    </font>
    <font>
      <b/>
      <sz val="8"/>
      <color theme="1"/>
      <name val="Arial"/>
      <family val="2"/>
    </font>
    <font>
      <sz val="8"/>
      <color theme="1"/>
      <name val="Arial"/>
      <family val="2"/>
    </font>
    <font>
      <u/>
      <sz val="8"/>
      <name val="Arial"/>
      <family val="2"/>
    </font>
    <font>
      <sz val="10"/>
      <name val="Arial"/>
    </font>
    <font>
      <sz val="8"/>
      <color rgb="FF0000FF"/>
      <name val="Arial"/>
      <family val="2"/>
    </font>
    <font>
      <sz val="9"/>
      <color indexed="81"/>
      <name val="Tahoma"/>
      <charset val="1"/>
    </font>
    <font>
      <b/>
      <sz val="9"/>
      <color indexed="81"/>
      <name val="Tahoma"/>
      <charset val="1"/>
    </font>
    <font>
      <b/>
      <sz val="8"/>
      <color rgb="FFFF0000"/>
      <name val="Arial"/>
      <family val="2"/>
    </font>
    <font>
      <sz val="8"/>
      <color rgb="FF00B050"/>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1"/>
        <bgColor indexed="64"/>
      </patternFill>
    </fill>
  </fills>
  <borders count="54">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double">
        <color indexed="64"/>
      </bottom>
      <diagonal/>
    </border>
    <border>
      <left/>
      <right/>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hair">
        <color auto="1"/>
      </left>
      <right/>
      <top style="medium">
        <color indexed="64"/>
      </top>
      <bottom/>
      <diagonal/>
    </border>
    <border>
      <left style="medium">
        <color indexed="64"/>
      </left>
      <right style="hair">
        <color indexed="64"/>
      </right>
      <top/>
      <bottom style="thin">
        <color indexed="64"/>
      </bottom>
      <diagonal/>
    </border>
    <border>
      <left style="hair">
        <color auto="1"/>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hair">
        <color auto="1"/>
      </left>
      <right/>
      <top/>
      <bottom style="double">
        <color indexed="64"/>
      </bottom>
      <diagonal/>
    </border>
    <border>
      <left/>
      <right/>
      <top/>
      <bottom style="double">
        <color auto="1"/>
      </bottom>
      <diagonal/>
    </border>
    <border>
      <left style="medium">
        <color indexed="64"/>
      </left>
      <right/>
      <top/>
      <bottom style="double">
        <color indexed="64"/>
      </bottom>
      <diagonal/>
    </border>
    <border>
      <left/>
      <right style="medium">
        <color indexed="64"/>
      </right>
      <top/>
      <bottom style="double">
        <color indexed="64"/>
      </bottom>
      <diagonal/>
    </border>
    <border>
      <left style="hair">
        <color auto="1"/>
      </left>
      <right/>
      <top/>
      <bottom style="medium">
        <color indexed="64"/>
      </bottom>
      <diagonal/>
    </border>
    <border>
      <left style="medium">
        <color rgb="FFFFFF00"/>
      </left>
      <right style="medium">
        <color rgb="FFFFFF00"/>
      </right>
      <top style="medium">
        <color rgb="FFFFFF00"/>
      </top>
      <bottom style="medium">
        <color rgb="FFFFFF00"/>
      </bottom>
      <diagonal/>
    </border>
    <border>
      <left style="medium">
        <color rgb="FFFFFF00"/>
      </left>
      <right/>
      <top style="medium">
        <color rgb="FFFFFF00"/>
      </top>
      <bottom style="medium">
        <color rgb="FFFFFF00"/>
      </bottom>
      <diagonal/>
    </border>
    <border>
      <left/>
      <right style="medium">
        <color rgb="FFFFFF00"/>
      </right>
      <top style="medium">
        <color rgb="FFFFFF00"/>
      </top>
      <bottom style="medium">
        <color rgb="FFFFFF00"/>
      </bottom>
      <diagonal/>
    </border>
    <border>
      <left/>
      <right/>
      <top style="medium">
        <color rgb="FFFFFF00"/>
      </top>
      <bottom style="medium">
        <color rgb="FFFFFF00"/>
      </bottom>
      <diagonal/>
    </border>
    <border>
      <left style="medium">
        <color rgb="FFFFFF00"/>
      </left>
      <right style="medium">
        <color rgb="FFFFFF00"/>
      </right>
      <top style="medium">
        <color rgb="FFFFFF00"/>
      </top>
      <bottom/>
      <diagonal/>
    </border>
    <border>
      <left style="medium">
        <color rgb="FFFFFF00"/>
      </left>
      <right style="medium">
        <color rgb="FFFFFF00"/>
      </right>
      <top/>
      <bottom/>
      <diagonal/>
    </border>
    <border>
      <left style="medium">
        <color rgb="FFFFFF00"/>
      </left>
      <right style="medium">
        <color rgb="FFFFFF00"/>
      </right>
      <top/>
      <bottom style="medium">
        <color rgb="FFFFFF00"/>
      </bottom>
      <diagonal/>
    </border>
    <border>
      <left style="medium">
        <color rgb="FFFFFF00"/>
      </left>
      <right/>
      <top style="medium">
        <color rgb="FFFFFF00"/>
      </top>
      <bottom/>
      <diagonal/>
    </border>
    <border>
      <left/>
      <right style="medium">
        <color rgb="FFFFFF00"/>
      </right>
      <top style="medium">
        <color rgb="FFFFFF00"/>
      </top>
      <bottom/>
      <diagonal/>
    </border>
    <border>
      <left style="medium">
        <color rgb="FFFFFF00"/>
      </left>
      <right/>
      <top/>
      <bottom/>
      <diagonal/>
    </border>
    <border>
      <left/>
      <right style="medium">
        <color rgb="FFFFFF00"/>
      </right>
      <top/>
      <bottom/>
      <diagonal/>
    </border>
    <border>
      <left style="medium">
        <color rgb="FFFFFF00"/>
      </left>
      <right/>
      <top/>
      <bottom style="medium">
        <color rgb="FFFFFF00"/>
      </bottom>
      <diagonal/>
    </border>
    <border>
      <left/>
      <right style="medium">
        <color rgb="FFFFFF00"/>
      </right>
      <top/>
      <bottom style="medium">
        <color rgb="FFFFFF00"/>
      </bottom>
      <diagonal/>
    </border>
    <border>
      <left/>
      <right/>
      <top style="medium">
        <color rgb="FFFFFF00"/>
      </top>
      <bottom/>
      <diagonal/>
    </border>
    <border>
      <left/>
      <right/>
      <top/>
      <bottom style="medium">
        <color rgb="FFFFFF00"/>
      </bottom>
      <diagonal/>
    </border>
  </borders>
  <cellStyleXfs count="4">
    <xf numFmtId="0" fontId="0" fillId="0" borderId="0"/>
    <xf numFmtId="0" fontId="1" fillId="0" borderId="0"/>
    <xf numFmtId="44" fontId="22" fillId="0" borderId="0" applyFont="0" applyFill="0" applyBorder="0" applyAlignment="0" applyProtection="0"/>
    <xf numFmtId="0" fontId="1" fillId="0" borderId="0"/>
  </cellStyleXfs>
  <cellXfs count="326">
    <xf numFmtId="0" fontId="0" fillId="0" borderId="0" xfId="0"/>
    <xf numFmtId="0" fontId="1" fillId="0" borderId="9" xfId="0" applyFont="1" applyFill="1" applyBorder="1" applyAlignment="1">
      <alignment horizontal="center"/>
    </xf>
    <xf numFmtId="0" fontId="1" fillId="0" borderId="0" xfId="0" applyFont="1" applyFill="1" applyBorder="1"/>
    <xf numFmtId="0" fontId="1" fillId="0" borderId="0" xfId="0" applyFont="1" applyFill="1" applyBorder="1" applyAlignment="1">
      <alignment horizontal="center"/>
    </xf>
    <xf numFmtId="0" fontId="1" fillId="0" borderId="10" xfId="0" applyFont="1" applyFill="1" applyBorder="1"/>
    <xf numFmtId="0" fontId="1" fillId="0" borderId="0" xfId="0" applyFont="1" applyFill="1" applyBorder="1" applyAlignment="1">
      <alignment horizontal="center" wrapText="1"/>
    </xf>
    <xf numFmtId="0" fontId="1" fillId="0" borderId="9" xfId="0" applyFont="1" applyFill="1" applyBorder="1" applyAlignment="1">
      <alignment horizontal="center" vertical="top" wrapText="1"/>
    </xf>
    <xf numFmtId="0" fontId="1" fillId="0" borderId="0" xfId="0" applyFont="1" applyFill="1" applyBorder="1" applyAlignment="1">
      <alignment horizontal="center" vertical="top" wrapText="1"/>
    </xf>
    <xf numFmtId="164" fontId="1" fillId="0" borderId="0" xfId="0" quotePrefix="1" applyNumberFormat="1" applyFont="1" applyFill="1" applyBorder="1" applyAlignment="1">
      <alignment horizontal="center" vertical="top" wrapText="1"/>
    </xf>
    <xf numFmtId="164" fontId="1" fillId="0" borderId="0" xfId="0" applyNumberFormat="1" applyFont="1" applyFill="1" applyBorder="1" applyAlignment="1">
      <alignment horizontal="center" vertical="top" wrapText="1"/>
    </xf>
    <xf numFmtId="0" fontId="1" fillId="0" borderId="10" xfId="0" quotePrefix="1" applyFont="1" applyFill="1" applyBorder="1" applyAlignment="1">
      <alignment horizontal="center" vertical="top" wrapText="1"/>
    </xf>
    <xf numFmtId="165" fontId="1" fillId="0" borderId="0" xfId="0" applyNumberFormat="1" applyFont="1" applyFill="1" applyBorder="1"/>
    <xf numFmtId="167" fontId="1" fillId="0" borderId="0" xfId="0" applyNumberFormat="1" applyFont="1" applyFill="1" applyBorder="1"/>
    <xf numFmtId="10" fontId="1" fillId="0" borderId="10" xfId="0" applyNumberFormat="1" applyFont="1" applyFill="1" applyBorder="1"/>
    <xf numFmtId="166" fontId="1" fillId="0" borderId="0" xfId="0" applyNumberFormat="1" applyFont="1" applyFill="1" applyBorder="1"/>
    <xf numFmtId="0" fontId="1" fillId="0" borderId="0" xfId="0" quotePrefix="1" applyFont="1" applyFill="1" applyBorder="1" applyAlignment="1">
      <alignment horizontal="left" indent="1"/>
    </xf>
    <xf numFmtId="0" fontId="1" fillId="0" borderId="0" xfId="0" applyFont="1" applyFill="1" applyBorder="1" applyAlignment="1">
      <alignment horizontal="left" indent="1"/>
    </xf>
    <xf numFmtId="0" fontId="1" fillId="0" borderId="0" xfId="0" quotePrefix="1" applyFont="1" applyFill="1" applyBorder="1" applyAlignment="1">
      <alignment horizontal="center"/>
    </xf>
    <xf numFmtId="0" fontId="1" fillId="0" borderId="0" xfId="0" quotePrefix="1" applyFont="1" applyFill="1" applyBorder="1" applyAlignment="1">
      <alignment horizontal="left"/>
    </xf>
    <xf numFmtId="0" fontId="1" fillId="0" borderId="0" xfId="0" applyFont="1" applyFill="1" applyBorder="1" applyAlignment="1">
      <alignment horizontal="left"/>
    </xf>
    <xf numFmtId="0" fontId="1" fillId="0" borderId="0" xfId="0" quotePrefix="1" applyFont="1" applyFill="1" applyBorder="1" applyAlignment="1"/>
    <xf numFmtId="0" fontId="1" fillId="0" borderId="11" xfId="0" applyFont="1" applyFill="1" applyBorder="1" applyAlignment="1">
      <alignment horizontal="center"/>
    </xf>
    <xf numFmtId="0" fontId="1" fillId="0" borderId="3" xfId="0" applyFont="1" applyFill="1" applyBorder="1"/>
    <xf numFmtId="0" fontId="1" fillId="0" borderId="3" xfId="0" applyFont="1" applyFill="1" applyBorder="1" applyAlignment="1">
      <alignment horizontal="center"/>
    </xf>
    <xf numFmtId="164" fontId="1" fillId="0" borderId="3" xfId="0" applyNumberFormat="1" applyFont="1" applyFill="1" applyBorder="1"/>
    <xf numFmtId="165" fontId="1" fillId="0" borderId="3" xfId="0" applyNumberFormat="1" applyFont="1" applyFill="1" applyBorder="1"/>
    <xf numFmtId="0" fontId="1" fillId="0" borderId="12" xfId="0" applyFont="1" applyFill="1" applyBorder="1"/>
    <xf numFmtId="0" fontId="1" fillId="0" borderId="0" xfId="0" applyFont="1" applyFill="1"/>
    <xf numFmtId="164" fontId="1" fillId="0" borderId="0" xfId="0" applyNumberFormat="1" applyFont="1" applyFill="1" applyBorder="1"/>
    <xf numFmtId="0" fontId="1" fillId="0" borderId="0" xfId="0" applyFont="1" applyFill="1" applyBorder="1" applyAlignment="1">
      <alignment horizontal="center"/>
    </xf>
    <xf numFmtId="165" fontId="1" fillId="0" borderId="0" xfId="0" applyNumberFormat="1" applyFont="1" applyFill="1" applyBorder="1" applyAlignment="1">
      <alignment horizontal="center" wrapText="1"/>
    </xf>
    <xf numFmtId="165" fontId="1" fillId="0" borderId="0" xfId="0" applyNumberFormat="1" applyFont="1" applyFill="1" applyBorder="1"/>
    <xf numFmtId="165" fontId="1" fillId="0" borderId="0" xfId="0" applyNumberFormat="1" applyFont="1" applyFill="1" applyBorder="1" applyAlignment="1">
      <alignment horizontal="center" wrapText="1"/>
    </xf>
    <xf numFmtId="0" fontId="2" fillId="0" borderId="0" xfId="0" applyFont="1"/>
    <xf numFmtId="44" fontId="2" fillId="0" borderId="0" xfId="0" applyNumberFormat="1" applyFont="1"/>
    <xf numFmtId="170" fontId="2" fillId="0" borderId="0" xfId="0" applyNumberFormat="1" applyFont="1"/>
    <xf numFmtId="0" fontId="2" fillId="0" borderId="0" xfId="0" applyFont="1" applyFill="1"/>
    <xf numFmtId="44" fontId="2" fillId="0" borderId="4" xfId="0" applyNumberFormat="1" applyFont="1" applyBorder="1"/>
    <xf numFmtId="0" fontId="2" fillId="0" borderId="0" xfId="0" applyFont="1" applyBorder="1" applyAlignment="1"/>
    <xf numFmtId="164" fontId="2" fillId="0" borderId="4" xfId="0" applyNumberFormat="1" applyFont="1" applyBorder="1"/>
    <xf numFmtId="0" fontId="2" fillId="0" borderId="0" xfId="0" applyFont="1" applyAlignment="1">
      <alignment horizontal="left"/>
    </xf>
    <xf numFmtId="164" fontId="2" fillId="0" borderId="4" xfId="0" applyNumberFormat="1" applyFont="1" applyFill="1" applyBorder="1"/>
    <xf numFmtId="0" fontId="2" fillId="0" borderId="0" xfId="0" applyFont="1" applyFill="1" applyAlignment="1">
      <alignment horizontal="left"/>
    </xf>
    <xf numFmtId="44" fontId="2" fillId="0" borderId="4" xfId="0" applyNumberFormat="1" applyFont="1" applyBorder="1"/>
    <xf numFmtId="0" fontId="2" fillId="0" borderId="0" xfId="0" quotePrefix="1" applyFont="1" applyAlignment="1">
      <alignment horizontal="left"/>
    </xf>
    <xf numFmtId="44" fontId="2" fillId="0" borderId="0" xfId="0" applyNumberFormat="1" applyFont="1"/>
    <xf numFmtId="164" fontId="2" fillId="0" borderId="0" xfId="0" applyNumberFormat="1" applyFont="1"/>
    <xf numFmtId="0" fontId="4" fillId="0" borderId="0" xfId="0" applyFont="1" applyAlignment="1">
      <alignment horizontal="centerContinuous" vertical="center"/>
    </xf>
    <xf numFmtId="0" fontId="4" fillId="0" borderId="0" xfId="0" applyFont="1"/>
    <xf numFmtId="0" fontId="4" fillId="0" borderId="0" xfId="0" applyFont="1" applyAlignment="1">
      <alignment horizontal="centerContinuous"/>
    </xf>
    <xf numFmtId="0" fontId="2" fillId="0" borderId="0" xfId="0" applyFont="1" applyBorder="1"/>
    <xf numFmtId="164" fontId="2" fillId="0" borderId="0" xfId="0" applyNumberFormat="1" applyFont="1" applyFill="1" applyBorder="1"/>
    <xf numFmtId="164" fontId="7" fillId="0" borderId="0" xfId="0" applyNumberFormat="1" applyFont="1" applyFill="1" applyBorder="1"/>
    <xf numFmtId="165" fontId="7" fillId="0" borderId="0" xfId="0" applyNumberFormat="1" applyFont="1" applyFill="1" applyBorder="1"/>
    <xf numFmtId="167" fontId="7" fillId="0" borderId="0" xfId="0" applyNumberFormat="1" applyFont="1" applyFill="1" applyBorder="1"/>
    <xf numFmtId="0" fontId="1" fillId="0" borderId="20" xfId="0" applyFont="1" applyFill="1" applyBorder="1" applyAlignment="1">
      <alignment horizontal="center" vertical="top" wrapText="1"/>
    </xf>
    <xf numFmtId="0" fontId="1" fillId="0" borderId="20" xfId="0" applyFont="1" applyFill="1" applyBorder="1" applyAlignment="1">
      <alignment horizontal="center" wrapText="1"/>
    </xf>
    <xf numFmtId="165" fontId="1" fillId="0" borderId="20" xfId="0" applyNumberFormat="1" applyFont="1" applyFill="1" applyBorder="1" applyAlignment="1">
      <alignment horizontal="center" wrapText="1"/>
    </xf>
    <xf numFmtId="0" fontId="1" fillId="0" borderId="19" xfId="0" applyFont="1" applyFill="1" applyBorder="1" applyAlignment="1">
      <alignment horizontal="center" wrapText="1"/>
    </xf>
    <xf numFmtId="164" fontId="2" fillId="0" borderId="0" xfId="0" applyNumberFormat="1" applyFont="1" applyFill="1"/>
    <xf numFmtId="164" fontId="2" fillId="0" borderId="0" xfId="0" applyNumberFormat="1" applyFont="1" applyFill="1" applyBorder="1"/>
    <xf numFmtId="0" fontId="10" fillId="0" borderId="0" xfId="0" applyFont="1" applyAlignment="1">
      <alignment horizontal="centerContinuous" vertical="center"/>
    </xf>
    <xf numFmtId="0" fontId="3" fillId="0" borderId="11" xfId="0" applyFont="1" applyFill="1" applyBorder="1" applyAlignment="1">
      <alignment horizontal="center" wrapText="1"/>
    </xf>
    <xf numFmtId="0" fontId="3" fillId="0" borderId="3" xfId="0" applyFont="1" applyFill="1" applyBorder="1" applyAlignment="1">
      <alignment horizontal="center" wrapText="1"/>
    </xf>
    <xf numFmtId="164" fontId="11" fillId="0" borderId="3" xfId="0" quotePrefix="1" applyNumberFormat="1" applyFont="1" applyFill="1" applyBorder="1" applyAlignment="1">
      <alignment horizontal="center" wrapText="1"/>
    </xf>
    <xf numFmtId="0" fontId="2" fillId="0" borderId="0" xfId="0" applyFont="1" applyFill="1" applyBorder="1"/>
    <xf numFmtId="0" fontId="2" fillId="0" borderId="9" xfId="0" applyFont="1" applyFill="1" applyBorder="1" applyAlignment="1">
      <alignment horizontal="center" wrapText="1"/>
    </xf>
    <xf numFmtId="0" fontId="2" fillId="0" borderId="0" xfId="0" applyFont="1" applyFill="1" applyBorder="1" applyAlignment="1">
      <alignment horizontal="center" wrapText="1"/>
    </xf>
    <xf numFmtId="164" fontId="4" fillId="0" borderId="3" xfId="0" quotePrefix="1" applyNumberFormat="1" applyFont="1" applyFill="1" applyBorder="1" applyAlignment="1">
      <alignment horizontal="center" wrapText="1"/>
    </xf>
    <xf numFmtId="0" fontId="2" fillId="0" borderId="9" xfId="0" applyFont="1" applyFill="1" applyBorder="1" applyAlignment="1">
      <alignment horizontal="center"/>
    </xf>
    <xf numFmtId="0" fontId="2" fillId="0" borderId="0" xfId="0" applyFont="1" applyFill="1" applyBorder="1" applyAlignment="1">
      <alignment horizontal="center"/>
    </xf>
    <xf numFmtId="0" fontId="4" fillId="0" borderId="0" xfId="0" applyFont="1" applyFill="1" applyBorder="1"/>
    <xf numFmtId="0" fontId="4" fillId="0" borderId="10" xfId="0" applyFont="1" applyFill="1" applyBorder="1"/>
    <xf numFmtId="165" fontId="2" fillId="0" borderId="0" xfId="0" applyNumberFormat="1" applyFont="1" applyFill="1" applyBorder="1"/>
    <xf numFmtId="0" fontId="2" fillId="0" borderId="0" xfId="0" quotePrefix="1" applyFont="1" applyFill="1" applyBorder="1" applyAlignment="1">
      <alignment horizontal="center"/>
    </xf>
    <xf numFmtId="0" fontId="2" fillId="0" borderId="0" xfId="0" quotePrefix="1" applyFont="1" applyFill="1" applyBorder="1" applyAlignment="1">
      <alignment horizontal="left"/>
    </xf>
    <xf numFmtId="0" fontId="2" fillId="0" borderId="11" xfId="0" applyFont="1" applyFill="1" applyBorder="1" applyAlignment="1">
      <alignment horizontal="center"/>
    </xf>
    <xf numFmtId="0" fontId="2" fillId="0" borderId="3" xfId="0" applyFont="1" applyFill="1" applyBorder="1"/>
    <xf numFmtId="164" fontId="2" fillId="0" borderId="3" xfId="0" applyNumberFormat="1" applyFont="1" applyFill="1" applyBorder="1"/>
    <xf numFmtId="0" fontId="2" fillId="0" borderId="12" xfId="0" applyFont="1" applyFill="1" applyBorder="1"/>
    <xf numFmtId="0" fontId="4" fillId="0" borderId="11" xfId="0" applyFont="1" applyFill="1" applyBorder="1" applyAlignment="1">
      <alignment horizontal="center" wrapText="1"/>
    </xf>
    <xf numFmtId="0" fontId="4" fillId="0" borderId="3" xfId="0" applyFont="1" applyFill="1" applyBorder="1" applyAlignment="1">
      <alignment horizontal="center" wrapText="1"/>
    </xf>
    <xf numFmtId="0" fontId="4" fillId="0" borderId="0" xfId="0" applyFont="1" applyFill="1" applyBorder="1" applyAlignment="1">
      <alignment horizontal="center" wrapText="1"/>
    </xf>
    <xf numFmtId="0" fontId="2" fillId="0" borderId="0" xfId="0" applyFont="1" applyFill="1" applyAlignment="1">
      <alignment horizontal="center"/>
    </xf>
    <xf numFmtId="0" fontId="2" fillId="0" borderId="0" xfId="0" applyFont="1" applyFill="1" applyAlignment="1">
      <alignment horizontal="center" wrapText="1"/>
    </xf>
    <xf numFmtId="164" fontId="2"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164" fontId="8" fillId="0" borderId="0" xfId="0" applyNumberFormat="1" applyFont="1" applyFill="1"/>
    <xf numFmtId="165" fontId="8" fillId="0" borderId="0" xfId="0" applyNumberFormat="1" applyFont="1" applyFill="1"/>
    <xf numFmtId="0" fontId="2" fillId="0" borderId="0" xfId="0" applyFont="1" applyFill="1" applyAlignment="1">
      <alignment horizontal="left" indent="1"/>
    </xf>
    <xf numFmtId="164" fontId="2" fillId="0" borderId="1" xfId="0" applyNumberFormat="1" applyFont="1" applyFill="1" applyBorder="1"/>
    <xf numFmtId="165" fontId="2" fillId="0" borderId="1" xfId="0" applyNumberFormat="1" applyFont="1" applyFill="1" applyBorder="1"/>
    <xf numFmtId="165" fontId="2" fillId="0" borderId="0" xfId="0" applyNumberFormat="1" applyFont="1" applyFill="1"/>
    <xf numFmtId="0" fontId="2" fillId="0" borderId="0" xfId="0" quotePrefix="1" applyFont="1" applyFill="1" applyAlignment="1">
      <alignment horizontal="left"/>
    </xf>
    <xf numFmtId="0" fontId="2" fillId="0" borderId="0" xfId="0" quotePrefix="1" applyFont="1" applyFill="1" applyAlignment="1">
      <alignment horizontal="left" indent="1"/>
    </xf>
    <xf numFmtId="164" fontId="8" fillId="0" borderId="1" xfId="0" applyNumberFormat="1" applyFont="1" applyFill="1" applyBorder="1"/>
    <xf numFmtId="165" fontId="8" fillId="0" borderId="1" xfId="0" applyNumberFormat="1" applyFont="1" applyFill="1" applyBorder="1"/>
    <xf numFmtId="165" fontId="2" fillId="0" borderId="4" xfId="0" applyNumberFormat="1" applyFont="1" applyFill="1" applyBorder="1"/>
    <xf numFmtId="165" fontId="2" fillId="0" borderId="0" xfId="0" applyNumberFormat="1" applyFont="1" applyFill="1" applyBorder="1"/>
    <xf numFmtId="165" fontId="2" fillId="0" borderId="4" xfId="0" applyNumberFormat="1" applyFont="1" applyFill="1" applyBorder="1"/>
    <xf numFmtId="0" fontId="4" fillId="0" borderId="0" xfId="0" applyFont="1" applyFill="1"/>
    <xf numFmtId="0" fontId="4" fillId="0" borderId="0" xfId="0" quotePrefix="1" applyFont="1" applyFill="1" applyAlignment="1">
      <alignment horizontal="center"/>
    </xf>
    <xf numFmtId="0" fontId="4" fillId="0" borderId="0" xfId="0" applyFont="1" applyFill="1" applyAlignment="1">
      <alignment horizontal="center"/>
    </xf>
    <xf numFmtId="0" fontId="4" fillId="0" borderId="5" xfId="0" applyFont="1" applyFill="1" applyBorder="1" applyAlignment="1">
      <alignment horizontal="center" wrapText="1"/>
    </xf>
    <xf numFmtId="17" fontId="4" fillId="0" borderId="18" xfId="0" quotePrefix="1" applyNumberFormat="1" applyFont="1" applyFill="1" applyBorder="1" applyAlignment="1">
      <alignment horizontal="center" wrapText="1"/>
    </xf>
    <xf numFmtId="0" fontId="4" fillId="0" borderId="0" xfId="0" applyFont="1" applyFill="1" applyAlignment="1">
      <alignment horizontal="center" wrapText="1"/>
    </xf>
    <xf numFmtId="0" fontId="4" fillId="0" borderId="18" xfId="0" quotePrefix="1" applyFont="1" applyBorder="1" applyAlignment="1">
      <alignment horizontal="left"/>
    </xf>
    <xf numFmtId="0" fontId="4" fillId="0" borderId="18" xfId="0" applyFont="1" applyBorder="1"/>
    <xf numFmtId="0" fontId="4" fillId="0" borderId="0" xfId="0" applyFont="1" applyBorder="1" applyAlignment="1"/>
    <xf numFmtId="0" fontId="4" fillId="0" borderId="0" xfId="0" quotePrefix="1" applyFont="1" applyBorder="1" applyAlignment="1">
      <alignment horizontal="center"/>
    </xf>
    <xf numFmtId="0" fontId="4" fillId="0" borderId="0" xfId="0" applyFont="1" applyAlignment="1"/>
    <xf numFmtId="0" fontId="4" fillId="0" borderId="18" xfId="0" applyFont="1" applyBorder="1" applyAlignment="1">
      <alignment horizontal="center" wrapText="1"/>
    </xf>
    <xf numFmtId="0" fontId="4" fillId="0" borderId="18" xfId="0" quotePrefix="1" applyFont="1" applyBorder="1" applyAlignment="1">
      <alignment horizontal="center" wrapText="1"/>
    </xf>
    <xf numFmtId="0" fontId="3" fillId="0" borderId="0" xfId="0" applyFont="1" applyFill="1" applyAlignment="1">
      <alignment horizontal="center"/>
    </xf>
    <xf numFmtId="0" fontId="3" fillId="0" borderId="0" xfId="0" quotePrefix="1" applyFont="1" applyFill="1" applyAlignment="1">
      <alignment horizontal="center"/>
    </xf>
    <xf numFmtId="169" fontId="3" fillId="0" borderId="0" xfId="0" quotePrefix="1" applyNumberFormat="1" applyFont="1" applyFill="1" applyAlignment="1">
      <alignment horizontal="center"/>
    </xf>
    <xf numFmtId="0" fontId="4" fillId="0" borderId="9" xfId="0" applyFont="1" applyFill="1" applyBorder="1" applyAlignment="1">
      <alignment horizontal="center"/>
    </xf>
    <xf numFmtId="164" fontId="4" fillId="0" borderId="0" xfId="0" applyNumberFormat="1" applyFont="1" applyFill="1" applyBorder="1"/>
    <xf numFmtId="0" fontId="10" fillId="0" borderId="3" xfId="0" quotePrefix="1" applyFont="1" applyFill="1" applyBorder="1" applyAlignment="1">
      <alignment horizontal="center" wrapText="1"/>
    </xf>
    <xf numFmtId="0" fontId="2" fillId="0" borderId="10" xfId="0" quotePrefix="1" applyFont="1" applyFill="1" applyBorder="1" applyAlignment="1">
      <alignment horizontal="center" vertical="center" wrapText="1"/>
    </xf>
    <xf numFmtId="168" fontId="2" fillId="0" borderId="0" xfId="0" applyNumberFormat="1" applyFont="1" applyFill="1" applyBorder="1"/>
    <xf numFmtId="167" fontId="2" fillId="0" borderId="10" xfId="0" applyNumberFormat="1" applyFont="1" applyFill="1" applyBorder="1" applyAlignment="1">
      <alignment horizontal="center"/>
    </xf>
    <xf numFmtId="16" fontId="2" fillId="0" borderId="0" xfId="0" applyNumberFormat="1" applyFont="1" applyFill="1" applyBorder="1"/>
    <xf numFmtId="166" fontId="2" fillId="0" borderId="10" xfId="0" applyNumberFormat="1" applyFont="1" applyFill="1" applyBorder="1" applyAlignment="1">
      <alignment horizontal="center"/>
    </xf>
    <xf numFmtId="0" fontId="2" fillId="0" borderId="10" xfId="0" applyFont="1" applyFill="1" applyBorder="1" applyAlignment="1">
      <alignment horizontal="center"/>
    </xf>
    <xf numFmtId="165" fontId="2" fillId="0" borderId="10" xfId="0" applyNumberFormat="1" applyFont="1" applyFill="1" applyBorder="1"/>
    <xf numFmtId="0" fontId="2" fillId="0" borderId="10" xfId="0" applyFont="1" applyFill="1" applyBorder="1"/>
    <xf numFmtId="164" fontId="6" fillId="0" borderId="0" xfId="0" applyNumberFormat="1" applyFont="1" applyBorder="1"/>
    <xf numFmtId="37" fontId="6" fillId="0" borderId="0" xfId="0" applyNumberFormat="1" applyFont="1" applyBorder="1"/>
    <xf numFmtId="164" fontId="8" fillId="0" borderId="0" xfId="0" applyNumberFormat="1" applyFont="1" applyBorder="1"/>
    <xf numFmtId="37" fontId="8" fillId="0" borderId="0" xfId="0" applyNumberFormat="1" applyFont="1" applyBorder="1"/>
    <xf numFmtId="0" fontId="6" fillId="0" borderId="0" xfId="0" applyFont="1" applyFill="1" applyBorder="1"/>
    <xf numFmtId="0" fontId="6" fillId="0" borderId="0" xfId="0" applyFont="1" applyBorder="1"/>
    <xf numFmtId="164" fontId="6" fillId="0" borderId="0" xfId="0" applyNumberFormat="1" applyFont="1" applyFill="1"/>
    <xf numFmtId="0" fontId="6" fillId="0" borderId="0" xfId="0" applyFont="1" applyFill="1" applyAlignment="1">
      <alignment horizontal="left" indent="1"/>
    </xf>
    <xf numFmtId="0" fontId="4" fillId="2" borderId="2" xfId="0" quotePrefix="1" applyFont="1" applyFill="1" applyBorder="1" applyAlignment="1">
      <alignment horizontal="center" wrapText="1"/>
    </xf>
    <xf numFmtId="0" fontId="3" fillId="0" borderId="16" xfId="0" applyFont="1" applyFill="1" applyBorder="1" applyAlignment="1">
      <alignment horizontal="center" wrapText="1"/>
    </xf>
    <xf numFmtId="10" fontId="8" fillId="0" borderId="0" xfId="0" applyNumberFormat="1" applyFont="1" applyFill="1" applyBorder="1"/>
    <xf numFmtId="10" fontId="2" fillId="0" borderId="0" xfId="0" applyNumberFormat="1" applyFont="1" applyFill="1" applyBorder="1"/>
    <xf numFmtId="164" fontId="12" fillId="0" borderId="0" xfId="0" applyNumberFormat="1" applyFont="1" applyFill="1" applyBorder="1"/>
    <xf numFmtId="0" fontId="4" fillId="0" borderId="0" xfId="0" applyFont="1" applyFill="1" applyAlignment="1"/>
    <xf numFmtId="0" fontId="4" fillId="0" borderId="0" xfId="0" quotePrefix="1" applyFont="1" applyFill="1" applyAlignment="1"/>
    <xf numFmtId="0" fontId="4" fillId="0" borderId="2" xfId="0" applyFont="1" applyFill="1" applyBorder="1" applyAlignment="1">
      <alignment horizontal="center"/>
    </xf>
    <xf numFmtId="0" fontId="0" fillId="0" borderId="0" xfId="0" applyAlignment="1">
      <alignment horizontal="centerContinuous"/>
    </xf>
    <xf numFmtId="0" fontId="3" fillId="0" borderId="0" xfId="0" applyFont="1" applyAlignment="1">
      <alignment horizontal="centerContinuous"/>
    </xf>
    <xf numFmtId="0" fontId="2" fillId="0" borderId="0" xfId="0" applyFont="1"/>
    <xf numFmtId="0" fontId="2" fillId="0" borderId="0" xfId="0" applyFont="1" applyFill="1"/>
    <xf numFmtId="0" fontId="14" fillId="0" borderId="0" xfId="0" applyFont="1" applyFill="1" applyAlignment="1"/>
    <xf numFmtId="0" fontId="4" fillId="0" borderId="0" xfId="0" applyFont="1" applyFill="1"/>
    <xf numFmtId="164" fontId="2" fillId="0" borderId="0" xfId="0" applyNumberFormat="1" applyFont="1" applyFill="1"/>
    <xf numFmtId="0" fontId="2" fillId="0" borderId="6" xfId="0" applyFont="1" applyFill="1" applyBorder="1"/>
    <xf numFmtId="0" fontId="4" fillId="0" borderId="22" xfId="0" applyFont="1" applyFill="1" applyBorder="1"/>
    <xf numFmtId="0" fontId="4" fillId="0" borderId="7" xfId="0" applyFont="1" applyFill="1" applyBorder="1"/>
    <xf numFmtId="0" fontId="4" fillId="3" borderId="6" xfId="0" applyFont="1" applyFill="1" applyBorder="1" applyAlignment="1">
      <alignment horizontal="centerContinuous"/>
    </xf>
    <xf numFmtId="0" fontId="4" fillId="3" borderId="7" xfId="0" applyFont="1" applyFill="1" applyBorder="1" applyAlignment="1">
      <alignment horizontal="centerContinuous"/>
    </xf>
    <xf numFmtId="0" fontId="4" fillId="3" borderId="8" xfId="0" applyFont="1" applyFill="1" applyBorder="1" applyAlignment="1">
      <alignment horizontal="centerContinuous"/>
    </xf>
    <xf numFmtId="0" fontId="2" fillId="0" borderId="23" xfId="0" applyFont="1" applyFill="1" applyBorder="1"/>
    <xf numFmtId="0" fontId="4" fillId="0" borderId="24" xfId="0" applyFont="1" applyFill="1" applyBorder="1" applyAlignment="1">
      <alignment horizontal="center"/>
    </xf>
    <xf numFmtId="0" fontId="2" fillId="0" borderId="18" xfId="0" applyFont="1" applyFill="1" applyBorder="1"/>
    <xf numFmtId="0" fontId="4" fillId="0" borderId="25" xfId="0" applyFont="1" applyFill="1" applyBorder="1" applyAlignment="1">
      <alignment horizontal="center"/>
    </xf>
    <xf numFmtId="0" fontId="4" fillId="0" borderId="26" xfId="0" applyFont="1" applyFill="1" applyBorder="1" applyAlignment="1">
      <alignment horizontal="center"/>
    </xf>
    <xf numFmtId="0" fontId="4" fillId="0" borderId="27" xfId="0" applyFont="1" applyFill="1" applyBorder="1" applyAlignment="1">
      <alignment horizontal="center"/>
    </xf>
    <xf numFmtId="0" fontId="2" fillId="0" borderId="9" xfId="0" applyFont="1" applyFill="1" applyBorder="1"/>
    <xf numFmtId="0" fontId="2" fillId="0" borderId="28" xfId="0" applyFont="1" applyFill="1" applyBorder="1"/>
    <xf numFmtId="0" fontId="2" fillId="0" borderId="0" xfId="0" applyFont="1" applyFill="1" applyBorder="1"/>
    <xf numFmtId="0" fontId="2" fillId="0" borderId="9" xfId="0" applyFont="1" applyFill="1" applyBorder="1" applyAlignment="1">
      <alignment horizontal="center"/>
    </xf>
    <xf numFmtId="0" fontId="2" fillId="0" borderId="0" xfId="0" applyFont="1" applyFill="1" applyBorder="1" applyAlignment="1">
      <alignment horizontal="center"/>
    </xf>
    <xf numFmtId="0" fontId="2" fillId="0" borderId="10" xfId="0" applyFont="1" applyFill="1" applyBorder="1" applyAlignment="1">
      <alignment horizontal="center"/>
    </xf>
    <xf numFmtId="0" fontId="2" fillId="0" borderId="10" xfId="0" applyFont="1" applyFill="1" applyBorder="1"/>
    <xf numFmtId="0" fontId="2" fillId="0" borderId="9" xfId="0" applyFont="1" applyFill="1" applyBorder="1" applyAlignment="1">
      <alignment horizontal="left" vertical="top"/>
    </xf>
    <xf numFmtId="0" fontId="2" fillId="0" borderId="28" xfId="0" applyFont="1" applyFill="1" applyBorder="1" applyAlignment="1">
      <alignment wrapText="1"/>
    </xf>
    <xf numFmtId="165" fontId="2" fillId="0" borderId="9" xfId="0" applyNumberFormat="1" applyFont="1" applyFill="1" applyBorder="1"/>
    <xf numFmtId="165" fontId="2" fillId="0" borderId="10" xfId="0" applyNumberFormat="1" applyFont="1" applyFill="1" applyBorder="1" applyAlignment="1">
      <alignment horizontal="center"/>
    </xf>
    <xf numFmtId="165" fontId="8" fillId="0" borderId="9" xfId="0" applyNumberFormat="1" applyFont="1" applyFill="1" applyBorder="1"/>
    <xf numFmtId="165" fontId="8" fillId="0" borderId="0" xfId="0" applyNumberFormat="1" applyFont="1" applyFill="1" applyBorder="1"/>
    <xf numFmtId="164" fontId="15" fillId="0" borderId="10" xfId="0" applyNumberFormat="1" applyFont="1" applyFill="1" applyBorder="1"/>
    <xf numFmtId="165" fontId="9" fillId="0" borderId="9" xfId="0" applyNumberFormat="1" applyFont="1" applyFill="1" applyBorder="1"/>
    <xf numFmtId="165" fontId="9" fillId="0" borderId="0" xfId="0" applyNumberFormat="1" applyFont="1" applyFill="1" applyBorder="1"/>
    <xf numFmtId="164" fontId="8" fillId="0" borderId="9" xfId="0" applyNumberFormat="1" applyFont="1" applyFill="1" applyBorder="1"/>
    <xf numFmtId="0" fontId="2" fillId="0" borderId="24" xfId="0" applyFont="1" applyFill="1" applyBorder="1"/>
    <xf numFmtId="10" fontId="16" fillId="0" borderId="9" xfId="0" applyNumberFormat="1" applyFont="1" applyFill="1" applyBorder="1"/>
    <xf numFmtId="10" fontId="16" fillId="0" borderId="0" xfId="0" applyNumberFormat="1" applyFont="1" applyFill="1" applyBorder="1"/>
    <xf numFmtId="165" fontId="4" fillId="0" borderId="10" xfId="0" applyNumberFormat="1" applyFont="1" applyFill="1" applyBorder="1" applyAlignment="1">
      <alignment horizontal="center"/>
    </xf>
    <xf numFmtId="0" fontId="2" fillId="0" borderId="29" xfId="0" applyFont="1" applyFill="1" applyBorder="1"/>
    <xf numFmtId="0" fontId="2" fillId="0" borderId="30" xfId="0" applyFont="1" applyFill="1" applyBorder="1"/>
    <xf numFmtId="0" fontId="2" fillId="0" borderId="31" xfId="0" applyFont="1" applyFill="1" applyBorder="1"/>
    <xf numFmtId="164" fontId="2" fillId="0" borderId="9" xfId="0" applyNumberFormat="1" applyFont="1" applyFill="1" applyBorder="1"/>
    <xf numFmtId="164" fontId="15" fillId="0" borderId="0" xfId="0" applyNumberFormat="1" applyFont="1" applyFill="1" applyBorder="1"/>
    <xf numFmtId="164" fontId="2" fillId="0" borderId="0" xfId="0" applyNumberFormat="1" applyFont="1" applyFill="1" applyBorder="1"/>
    <xf numFmtId="164" fontId="2" fillId="0" borderId="10" xfId="0" applyNumberFormat="1" applyFont="1" applyFill="1" applyBorder="1"/>
    <xf numFmtId="9" fontId="16" fillId="0" borderId="32" xfId="0" applyNumberFormat="1" applyFont="1" applyFill="1" applyBorder="1"/>
    <xf numFmtId="9" fontId="16" fillId="0" borderId="18" xfId="0" applyNumberFormat="1" applyFont="1" applyFill="1" applyBorder="1"/>
    <xf numFmtId="9" fontId="16" fillId="0" borderId="33" xfId="0" applyNumberFormat="1" applyFont="1" applyFill="1" applyBorder="1" applyAlignment="1">
      <alignment horizontal="right"/>
    </xf>
    <xf numFmtId="9" fontId="2" fillId="0" borderId="10" xfId="0" applyNumberFormat="1" applyFont="1" applyFill="1" applyBorder="1"/>
    <xf numFmtId="168" fontId="4" fillId="0" borderId="0" xfId="0" applyNumberFormat="1" applyFont="1" applyFill="1" applyBorder="1"/>
    <xf numFmtId="168" fontId="4" fillId="0" borderId="10" xfId="0" applyNumberFormat="1" applyFont="1" applyFill="1" applyBorder="1" applyAlignment="1">
      <alignment horizontal="center"/>
    </xf>
    <xf numFmtId="164" fontId="17" fillId="0" borderId="10" xfId="0" applyNumberFormat="1" applyFont="1" applyFill="1" applyBorder="1"/>
    <xf numFmtId="0" fontId="2" fillId="0" borderId="24" xfId="0" applyFont="1" applyFill="1" applyBorder="1" applyAlignment="1">
      <alignment wrapText="1"/>
    </xf>
    <xf numFmtId="164" fontId="8" fillId="0" borderId="18" xfId="0" applyNumberFormat="1" applyFont="1" applyFill="1" applyBorder="1"/>
    <xf numFmtId="0" fontId="4" fillId="0" borderId="34" xfId="0" applyFont="1" applyFill="1" applyBorder="1" applyAlignment="1"/>
    <xf numFmtId="0" fontId="4" fillId="0" borderId="35" xfId="0" applyFont="1" applyFill="1" applyBorder="1"/>
    <xf numFmtId="42" fontId="4" fillId="0" borderId="36" xfId="0" applyNumberFormat="1" applyFont="1" applyFill="1" applyBorder="1"/>
    <xf numFmtId="42" fontId="4" fillId="0" borderId="35" xfId="0" applyNumberFormat="1" applyFont="1" applyFill="1" applyBorder="1"/>
    <xf numFmtId="165" fontId="17" fillId="0" borderId="37" xfId="0" applyNumberFormat="1" applyFont="1" applyFill="1" applyBorder="1"/>
    <xf numFmtId="0" fontId="2" fillId="0" borderId="11" xfId="0" applyFont="1" applyFill="1" applyBorder="1" applyAlignment="1">
      <alignment horizontal="left" vertical="top"/>
    </xf>
    <xf numFmtId="0" fontId="2" fillId="0" borderId="38" xfId="0" applyFont="1" applyFill="1" applyBorder="1" applyAlignment="1">
      <alignment wrapText="1"/>
    </xf>
    <xf numFmtId="0" fontId="2" fillId="0" borderId="3" xfId="0" applyFont="1" applyFill="1" applyBorder="1"/>
    <xf numFmtId="166" fontId="2" fillId="0" borderId="11" xfId="0" applyNumberFormat="1" applyFont="1" applyFill="1" applyBorder="1"/>
    <xf numFmtId="166" fontId="2" fillId="0" borderId="3" xfId="0" applyNumberFormat="1" applyFont="1" applyFill="1" applyBorder="1"/>
    <xf numFmtId="166" fontId="2" fillId="0" borderId="12" xfId="0" applyNumberFormat="1" applyFont="1" applyFill="1" applyBorder="1"/>
    <xf numFmtId="0" fontId="2" fillId="0" borderId="0" xfId="0" applyFont="1" applyFill="1" applyBorder="1" applyAlignment="1">
      <alignment horizontal="left" vertical="top"/>
    </xf>
    <xf numFmtId="0" fontId="2" fillId="0" borderId="0" xfId="0" applyFont="1" applyFill="1" applyBorder="1" applyAlignment="1">
      <alignment wrapText="1"/>
    </xf>
    <xf numFmtId="171" fontId="2" fillId="0" borderId="0" xfId="0" applyNumberFormat="1" applyFont="1" applyFill="1" applyBorder="1"/>
    <xf numFmtId="41" fontId="2" fillId="0" borderId="0" xfId="0" applyNumberFormat="1" applyFont="1" applyFill="1"/>
    <xf numFmtId="0" fontId="2" fillId="0" borderId="0" xfId="0" applyFont="1" applyFill="1" applyAlignment="1">
      <alignment horizontal="left" indent="1"/>
    </xf>
    <xf numFmtId="0" fontId="2" fillId="0" borderId="0" xfId="0" applyFont="1" applyFill="1" applyAlignment="1">
      <alignment horizontal="left"/>
    </xf>
    <xf numFmtId="164" fontId="6" fillId="0" borderId="0" xfId="0" applyNumberFormat="1" applyFont="1" applyFill="1"/>
    <xf numFmtId="0" fontId="4" fillId="0" borderId="1" xfId="0" applyFont="1" applyFill="1" applyBorder="1" applyAlignment="1">
      <alignment horizontal="centerContinuous"/>
    </xf>
    <xf numFmtId="0" fontId="4" fillId="0" borderId="21" xfId="0" applyFont="1" applyFill="1" applyBorder="1" applyAlignment="1">
      <alignment horizontal="centerContinuous"/>
    </xf>
    <xf numFmtId="0" fontId="4" fillId="0" borderId="0" xfId="0" applyFont="1" applyFill="1" applyAlignment="1">
      <alignment horizontal="centerContinuous"/>
    </xf>
    <xf numFmtId="0" fontId="10" fillId="0" borderId="0" xfId="0" applyFont="1" applyFill="1" applyAlignment="1">
      <alignment horizontal="centerContinuous"/>
    </xf>
    <xf numFmtId="0" fontId="4" fillId="0" borderId="0" xfId="0" applyFont="1" applyFill="1" applyAlignment="1">
      <alignment horizontal="center"/>
    </xf>
    <xf numFmtId="167" fontId="18" fillId="0" borderId="0" xfId="0" applyNumberFormat="1" applyFont="1" applyFill="1" applyBorder="1"/>
    <xf numFmtId="165" fontId="18" fillId="0" borderId="0" xfId="0" applyNumberFormat="1" applyFont="1" applyFill="1" applyBorder="1"/>
    <xf numFmtId="0" fontId="19" fillId="0" borderId="0" xfId="0" applyFont="1"/>
    <xf numFmtId="0" fontId="20" fillId="0" borderId="0" xfId="0" applyFont="1"/>
    <xf numFmtId="4" fontId="20" fillId="0" borderId="0" xfId="0" applyNumberFormat="1" applyFont="1"/>
    <xf numFmtId="0" fontId="20" fillId="0" borderId="0" xfId="0" quotePrefix="1" applyFont="1" applyAlignment="1">
      <alignment horizontal="left"/>
    </xf>
    <xf numFmtId="164" fontId="20" fillId="0" borderId="0" xfId="0" applyNumberFormat="1" applyFont="1"/>
    <xf numFmtId="164" fontId="20" fillId="0" borderId="0" xfId="0" quotePrefix="1" applyNumberFormat="1" applyFont="1" applyAlignment="1">
      <alignment horizontal="left"/>
    </xf>
    <xf numFmtId="10" fontId="20" fillId="0" borderId="0" xfId="0" applyNumberFormat="1" applyFont="1"/>
    <xf numFmtId="0" fontId="19" fillId="0" borderId="39" xfId="0" applyFont="1" applyBorder="1" applyAlignment="1">
      <alignment horizontal="center" vertical="center" wrapText="1"/>
    </xf>
    <xf numFmtId="0" fontId="19" fillId="0" borderId="43" xfId="0" applyFont="1" applyBorder="1"/>
    <xf numFmtId="4" fontId="20" fillId="0" borderId="44" xfId="0" applyNumberFormat="1" applyFont="1" applyBorder="1"/>
    <xf numFmtId="0" fontId="20" fillId="0" borderId="44" xfId="0" applyFont="1" applyBorder="1"/>
    <xf numFmtId="164" fontId="20" fillId="0" borderId="44" xfId="0" applyNumberFormat="1" applyFont="1" applyBorder="1"/>
    <xf numFmtId="10" fontId="20" fillId="0" borderId="45" xfId="0" applyNumberFormat="1" applyFont="1" applyBorder="1"/>
    <xf numFmtId="0" fontId="19" fillId="0" borderId="46" xfId="0" applyFont="1" applyBorder="1"/>
    <xf numFmtId="0" fontId="19" fillId="0" borderId="47" xfId="0" applyFont="1" applyBorder="1"/>
    <xf numFmtId="4" fontId="20" fillId="0" borderId="48" xfId="0" applyNumberFormat="1" applyFont="1" applyBorder="1"/>
    <xf numFmtId="4" fontId="20" fillId="0" borderId="49" xfId="0" applyNumberFormat="1" applyFont="1" applyBorder="1"/>
    <xf numFmtId="0" fontId="20" fillId="0" borderId="48" xfId="0" applyFont="1" applyBorder="1"/>
    <xf numFmtId="0" fontId="20" fillId="0" borderId="49" xfId="0" applyFont="1" applyBorder="1"/>
    <xf numFmtId="164" fontId="20" fillId="0" borderId="48" xfId="0" applyNumberFormat="1" applyFont="1" applyBorder="1"/>
    <xf numFmtId="164" fontId="20" fillId="0" borderId="49" xfId="0" applyNumberFormat="1" applyFont="1" applyBorder="1"/>
    <xf numFmtId="10" fontId="20" fillId="0" borderId="50" xfId="0" applyNumberFormat="1" applyFont="1" applyBorder="1"/>
    <xf numFmtId="10" fontId="20" fillId="0" borderId="51" xfId="0" applyNumberFormat="1" applyFont="1" applyBorder="1"/>
    <xf numFmtId="0" fontId="19" fillId="0" borderId="52" xfId="0" applyFont="1" applyBorder="1"/>
    <xf numFmtId="4" fontId="20" fillId="0" borderId="0" xfId="0" applyNumberFormat="1" applyFont="1" applyBorder="1"/>
    <xf numFmtId="0" fontId="20" fillId="0" borderId="0" xfId="0" applyFont="1" applyBorder="1"/>
    <xf numFmtId="164" fontId="20" fillId="0" borderId="0" xfId="0" applyNumberFormat="1" applyFont="1" applyBorder="1"/>
    <xf numFmtId="10" fontId="20" fillId="0" borderId="53" xfId="0" applyNumberFormat="1" applyFont="1" applyBorder="1"/>
    <xf numFmtId="0" fontId="19" fillId="0" borderId="44" xfId="0" applyFont="1" applyBorder="1"/>
    <xf numFmtId="0" fontId="21" fillId="0" borderId="0" xfId="0" applyFont="1" applyFill="1" applyBorder="1"/>
    <xf numFmtId="0" fontId="1" fillId="0" borderId="0" xfId="1"/>
    <xf numFmtId="0" fontId="2" fillId="0" borderId="0" xfId="1" quotePrefix="1" applyFont="1" applyAlignment="1">
      <alignment horizontal="left"/>
    </xf>
    <xf numFmtId="172" fontId="4" fillId="0" borderId="0" xfId="1" quotePrefix="1" applyNumberFormat="1" applyFont="1" applyFill="1" applyAlignment="1">
      <alignment horizontal="right"/>
    </xf>
    <xf numFmtId="0" fontId="2" fillId="0" borderId="0" xfId="1" applyFont="1"/>
    <xf numFmtId="173" fontId="4" fillId="0" borderId="0" xfId="1" applyNumberFormat="1" applyFont="1" applyAlignment="1">
      <alignment horizontal="right"/>
    </xf>
    <xf numFmtId="0" fontId="4" fillId="0" borderId="0" xfId="1" applyFont="1" applyAlignment="1">
      <alignment horizontal="right"/>
    </xf>
    <xf numFmtId="0" fontId="0" fillId="0" borderId="0" xfId="0" applyAlignment="1">
      <alignment wrapText="1"/>
    </xf>
    <xf numFmtId="0" fontId="2" fillId="0" borderId="13" xfId="3" quotePrefix="1" applyFont="1" applyBorder="1" applyAlignment="1">
      <alignment horizontal="center" wrapText="1"/>
    </xf>
    <xf numFmtId="0" fontId="2" fillId="0" borderId="0" xfId="3" applyFont="1"/>
    <xf numFmtId="167" fontId="23" fillId="2" borderId="13" xfId="3" applyNumberFormat="1" applyFont="1" applyFill="1" applyBorder="1"/>
    <xf numFmtId="167" fontId="2" fillId="0" borderId="13" xfId="3" applyNumberFormat="1" applyFont="1" applyFill="1" applyBorder="1"/>
    <xf numFmtId="0" fontId="2" fillId="0" borderId="0" xfId="3" applyFont="1" applyFill="1"/>
    <xf numFmtId="167" fontId="2" fillId="0" borderId="17" xfId="3" applyNumberFormat="1" applyFont="1" applyFill="1" applyBorder="1"/>
    <xf numFmtId="0" fontId="2" fillId="0" borderId="13" xfId="3" applyFont="1" applyFill="1" applyBorder="1"/>
    <xf numFmtId="167" fontId="23" fillId="2" borderId="14" xfId="2" quotePrefix="1" applyNumberFormat="1" applyFont="1" applyFill="1" applyBorder="1" applyAlignment="1">
      <alignment horizontal="right"/>
    </xf>
    <xf numFmtId="167" fontId="2" fillId="0" borderId="14" xfId="3" quotePrefix="1" applyNumberFormat="1" applyFont="1" applyFill="1" applyBorder="1" applyAlignment="1"/>
    <xf numFmtId="167" fontId="8" fillId="0" borderId="14" xfId="3" quotePrefix="1" applyNumberFormat="1" applyFont="1" applyFill="1" applyBorder="1" applyAlignment="1"/>
    <xf numFmtId="167" fontId="8" fillId="2" borderId="14" xfId="3" quotePrefix="1" applyNumberFormat="1" applyFont="1" applyFill="1" applyBorder="1" applyAlignment="1"/>
    <xf numFmtId="0" fontId="2" fillId="2" borderId="0" xfId="3" applyFont="1" applyFill="1"/>
    <xf numFmtId="167" fontId="2" fillId="0" borderId="15" xfId="3" quotePrefix="1" applyNumberFormat="1" applyFont="1" applyFill="1" applyBorder="1" applyAlignment="1"/>
    <xf numFmtId="167" fontId="2" fillId="0" borderId="17" xfId="3" quotePrefix="1" applyNumberFormat="1" applyFont="1" applyFill="1" applyBorder="1" applyAlignment="1"/>
    <xf numFmtId="167" fontId="23" fillId="2" borderId="14" xfId="3" quotePrefix="1" applyNumberFormat="1" applyFont="1" applyFill="1" applyBorder="1" applyAlignment="1"/>
    <xf numFmtId="167" fontId="2" fillId="2" borderId="14" xfId="3" quotePrefix="1" applyNumberFormat="1" applyFont="1" applyFill="1" applyBorder="1" applyAlignment="1"/>
    <xf numFmtId="167" fontId="2" fillId="0" borderId="14" xfId="3" applyNumberFormat="1" applyFont="1" applyFill="1" applyBorder="1"/>
    <xf numFmtId="167" fontId="2" fillId="0" borderId="15" xfId="3" applyNumberFormat="1" applyFont="1" applyFill="1" applyBorder="1"/>
    <xf numFmtId="0" fontId="19" fillId="0" borderId="0" xfId="0" applyFont="1" applyBorder="1" applyAlignment="1">
      <alignment horizontal="center" vertical="center" wrapText="1"/>
    </xf>
    <xf numFmtId="0" fontId="19" fillId="0" borderId="0" xfId="0" applyFont="1" applyBorder="1"/>
    <xf numFmtId="10" fontId="20" fillId="0" borderId="0" xfId="0" applyNumberFormat="1" applyFont="1" applyBorder="1"/>
    <xf numFmtId="0" fontId="4" fillId="0" borderId="0" xfId="0" quotePrefix="1" applyFont="1" applyFill="1" applyAlignment="1">
      <alignment horizontal="centerContinuous"/>
    </xf>
    <xf numFmtId="0" fontId="4" fillId="0" borderId="12" xfId="0" quotePrefix="1" applyFont="1" applyFill="1" applyBorder="1" applyAlignment="1">
      <alignment horizontal="center" wrapText="1"/>
    </xf>
    <xf numFmtId="0" fontId="4" fillId="0" borderId="3" xfId="0" quotePrefix="1" applyFont="1" applyFill="1" applyBorder="1" applyAlignment="1">
      <alignment horizontal="center" wrapText="1"/>
    </xf>
    <xf numFmtId="10" fontId="2" fillId="0" borderId="0" xfId="0" applyNumberFormat="1" applyFont="1"/>
    <xf numFmtId="10" fontId="2" fillId="0" borderId="4" xfId="0" applyNumberFormat="1" applyFont="1" applyBorder="1"/>
    <xf numFmtId="164" fontId="3" fillId="0" borderId="3" xfId="0" quotePrefix="1" applyNumberFormat="1" applyFont="1" applyFill="1" applyBorder="1" applyAlignment="1">
      <alignment horizontal="center" wrapText="1"/>
    </xf>
    <xf numFmtId="0" fontId="3" fillId="0" borderId="3" xfId="0" quotePrefix="1" applyFont="1" applyFill="1" applyBorder="1" applyAlignment="1">
      <alignment horizontal="center" wrapText="1"/>
    </xf>
    <xf numFmtId="165" fontId="13" fillId="0" borderId="0" xfId="0" applyNumberFormat="1" applyFont="1" applyFill="1" applyBorder="1"/>
    <xf numFmtId="168" fontId="4" fillId="0" borderId="9" xfId="0" applyNumberFormat="1" applyFont="1" applyFill="1" applyBorder="1"/>
    <xf numFmtId="42" fontId="27" fillId="0" borderId="0" xfId="0" applyNumberFormat="1" applyFont="1" applyFill="1"/>
    <xf numFmtId="164" fontId="27" fillId="0" borderId="0" xfId="0" applyNumberFormat="1" applyFont="1" applyFill="1" applyBorder="1"/>
    <xf numFmtId="164" fontId="27" fillId="0" borderId="0" xfId="0" applyNumberFormat="1" applyFont="1" applyFill="1"/>
    <xf numFmtId="42" fontId="27" fillId="0" borderId="4" xfId="0" applyNumberFormat="1" applyFont="1" applyFill="1" applyBorder="1"/>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0" fillId="0" borderId="0" xfId="0" applyBorder="1" applyAlignment="1">
      <alignment horizontal="center"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3" xfId="0" applyBorder="1" applyAlignment="1">
      <alignment horizontal="center" wrapText="1"/>
    </xf>
    <xf numFmtId="0" fontId="0" fillId="0" borderId="12" xfId="0" applyBorder="1" applyAlignment="1">
      <alignment horizontal="center" wrapText="1"/>
    </xf>
    <xf numFmtId="0" fontId="2" fillId="0" borderId="0" xfId="3" quotePrefix="1" applyFont="1" applyFill="1" applyAlignment="1">
      <alignment horizontal="left" indent="1"/>
    </xf>
    <xf numFmtId="0" fontId="2" fillId="0" borderId="0" xfId="3" quotePrefix="1" applyFont="1" applyFill="1" applyAlignment="1">
      <alignment horizontal="left" indent="2"/>
    </xf>
    <xf numFmtId="0" fontId="4" fillId="0" borderId="18" xfId="0" quotePrefix="1" applyFont="1" applyBorder="1" applyAlignment="1">
      <alignment horizontal="center"/>
    </xf>
    <xf numFmtId="0" fontId="2" fillId="0" borderId="0" xfId="3" quotePrefix="1" applyFont="1" applyAlignment="1">
      <alignment horizontal="left" indent="1"/>
    </xf>
    <xf numFmtId="0" fontId="2" fillId="0" borderId="0" xfId="3" quotePrefix="1" applyFont="1" applyAlignment="1">
      <alignment horizontal="left" indent="3"/>
    </xf>
    <xf numFmtId="0" fontId="2" fillId="2" borderId="0" xfId="3" quotePrefix="1" applyFont="1" applyFill="1" applyAlignment="1">
      <alignment horizontal="left" indent="2"/>
    </xf>
    <xf numFmtId="0" fontId="2" fillId="0" borderId="0" xfId="3" quotePrefix="1" applyFont="1" applyFill="1" applyAlignment="1">
      <alignment horizontal="left" indent="3"/>
    </xf>
    <xf numFmtId="0" fontId="4" fillId="0" borderId="6"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horizontal="center"/>
    </xf>
    <xf numFmtId="0" fontId="4" fillId="0" borderId="9" xfId="0" applyFont="1" applyFill="1" applyBorder="1" applyAlignment="1">
      <alignment horizontal="center"/>
    </xf>
    <xf numFmtId="0" fontId="4" fillId="0" borderId="0" xfId="0" applyFont="1" applyFill="1" applyBorder="1" applyAlignment="1">
      <alignment horizontal="center"/>
    </xf>
    <xf numFmtId="0" fontId="4" fillId="0" borderId="10" xfId="0" applyFont="1" applyFill="1" applyBorder="1" applyAlignment="1">
      <alignment horizontal="center"/>
    </xf>
    <xf numFmtId="0" fontId="19" fillId="0" borderId="40" xfId="0" applyFont="1" applyBorder="1" applyAlignment="1">
      <alignment horizontal="center" vertical="center" wrapText="1"/>
    </xf>
    <xf numFmtId="0" fontId="19" fillId="0" borderId="42" xfId="0" applyFont="1" applyBorder="1" applyAlignment="1">
      <alignment horizontal="center" vertical="center" wrapText="1"/>
    </xf>
    <xf numFmtId="0" fontId="19" fillId="0" borderId="41" xfId="0" applyFont="1" applyBorder="1" applyAlignment="1">
      <alignment horizontal="center" vertical="center" wrapText="1"/>
    </xf>
    <xf numFmtId="0" fontId="14" fillId="0" borderId="0" xfId="0" applyFont="1" applyFill="1" applyAlignment="1">
      <alignment horizontal="center"/>
    </xf>
    <xf numFmtId="0" fontId="4" fillId="0" borderId="0" xfId="0" applyFont="1" applyFill="1" applyAlignment="1">
      <alignment horizontal="center"/>
    </xf>
    <xf numFmtId="0" fontId="10" fillId="0" borderId="0" xfId="0" applyFont="1" applyFill="1" applyAlignment="1">
      <alignment horizontal="center"/>
    </xf>
    <xf numFmtId="0" fontId="26" fillId="0" borderId="0" xfId="0" applyFont="1" applyFill="1" applyAlignment="1">
      <alignment horizontal="center"/>
    </xf>
  </cellXfs>
  <cellStyles count="4">
    <cellStyle name="Currency" xfId="2" builtinId="4"/>
    <cellStyle name="Normal" xfId="0" builtinId="0"/>
    <cellStyle name="Normal 2" xfId="1"/>
    <cellStyle name="Normal 2 10" xfId="3"/>
  </cellStyles>
  <dxfs count="2">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s>
  <tableStyles count="0" defaultTableStyle="TableStyleMedium9" defaultPivotStyle="PivotStyleLight16"/>
  <colors>
    <mruColors>
      <color rgb="FF0033CC"/>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320040</xdr:colOff>
      <xdr:row>3</xdr:row>
      <xdr:rowOff>121920</xdr:rowOff>
    </xdr:from>
    <xdr:to>
      <xdr:col>26</xdr:col>
      <xdr:colOff>469622</xdr:colOff>
      <xdr:row>24</xdr:row>
      <xdr:rowOff>89141</xdr:rowOff>
    </xdr:to>
    <xdr:pic>
      <xdr:nvPicPr>
        <xdr:cNvPr id="2" name="Picture 1"/>
        <xdr:cNvPicPr>
          <a:picLocks noChangeAspect="1"/>
        </xdr:cNvPicPr>
      </xdr:nvPicPr>
      <xdr:blipFill>
        <a:blip xmlns:r="http://schemas.openxmlformats.org/officeDocument/2006/relationships" r:embed="rId1"/>
        <a:stretch>
          <a:fillRect/>
        </a:stretch>
      </xdr:blipFill>
      <xdr:spPr>
        <a:xfrm>
          <a:off x="9174480" y="510540"/>
          <a:ext cx="7464782" cy="2862821"/>
        </a:xfrm>
        <a:prstGeom prst="rect">
          <a:avLst/>
        </a:prstGeom>
      </xdr:spPr>
    </xdr:pic>
    <xdr:clientData/>
  </xdr:twoCellAnchor>
  <xdr:twoCellAnchor editAs="oneCell">
    <xdr:from>
      <xdr:col>8</xdr:col>
      <xdr:colOff>495300</xdr:colOff>
      <xdr:row>27</xdr:row>
      <xdr:rowOff>30480</xdr:rowOff>
    </xdr:from>
    <xdr:to>
      <xdr:col>22</xdr:col>
      <xdr:colOff>124781</xdr:colOff>
      <xdr:row>62</xdr:row>
      <xdr:rowOff>67943</xdr:rowOff>
    </xdr:to>
    <xdr:pic>
      <xdr:nvPicPr>
        <xdr:cNvPr id="3" name="Picture 2"/>
        <xdr:cNvPicPr>
          <a:picLocks noChangeAspect="1"/>
        </xdr:cNvPicPr>
      </xdr:nvPicPr>
      <xdr:blipFill>
        <a:blip xmlns:r="http://schemas.openxmlformats.org/officeDocument/2006/relationships" r:embed="rId2"/>
        <a:stretch>
          <a:fillRect/>
        </a:stretch>
      </xdr:blipFill>
      <xdr:spPr>
        <a:xfrm>
          <a:off x="6073140" y="4091940"/>
          <a:ext cx="7782881" cy="46170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pRevnu/PUBLIC/%23%202022%20GRC/Settlement%20-%20PSE/220066-67-PSE-WP-REVREQ-COS-22GRC-Settlement-09-2022(C)/NEW-PSE-WP-SEF-4E-ELECTRIC-REV-REQ-MODEL-22GRC-01-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sheetName val="Rollforward Other Schedules"/>
      <sheetName val="Def, COC, ConvF"/>
      <sheetName val="Subject to Refund"/>
      <sheetName val="Summary"/>
      <sheetName val="Detailed Summary"/>
      <sheetName val="Common Adj"/>
      <sheetName val="Electric Adj"/>
      <sheetName val="Settlement O&amp;M Changes"/>
      <sheetName val="Rev Exp change"/>
      <sheetName val="DEC13"/>
      <sheetName val="BDJ Exh Summary"/>
      <sheetName val="SEF-13 p 1 Elect wp"/>
      <sheetName val="SEF-13 p 2 Elect wp"/>
      <sheetName val="Adj List"/>
      <sheetName val="Final Rate Years"/>
      <sheetName val="SEF-21 Original E"/>
      <sheetName val="Named Ranges E"/>
      <sheetName val="Proofs=&gt;"/>
      <sheetName val="TBPI, ETR, Rev"/>
      <sheetName val="557 &amp; 555"/>
      <sheetName val="Prod O&amp;M"/>
      <sheetName val="Schedule 141A 2023"/>
      <sheetName val="Schedule 141A 20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
          <cell r="B2" t="str">
            <v>PUGET SOUND ENERGY - ELECTRIC</v>
          </cell>
        </row>
        <row r="3">
          <cell r="B3" t="str">
            <v>12 MONTHS ENDED JUNE 30, 2021</v>
          </cell>
        </row>
        <row r="7">
          <cell r="B7" t="str">
            <v>2022 GENERAL RATE CASE</v>
          </cell>
        </row>
        <row r="10">
          <cell r="B10">
            <v>0.21</v>
          </cell>
        </row>
      </sheetData>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customProperty" Target="../customProperty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1.bin"/><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15"/>
  <sheetViews>
    <sheetView zoomScaleNormal="100" workbookViewId="0">
      <selection activeCell="A6" sqref="A6"/>
    </sheetView>
  </sheetViews>
  <sheetFormatPr defaultColWidth="9.109375" defaultRowHeight="13.2" x14ac:dyDescent="0.25"/>
  <cols>
    <col min="1" max="1" width="97.33203125" style="115" bestFit="1" customWidth="1"/>
    <col min="2" max="16384" width="9.109375" style="27"/>
  </cols>
  <sheetData>
    <row r="1" spans="1:1" x14ac:dyDescent="0.25">
      <c r="A1" s="115" t="s">
        <v>13</v>
      </c>
    </row>
    <row r="2" spans="1:1" x14ac:dyDescent="0.25">
      <c r="A2" s="116"/>
    </row>
    <row r="3" spans="1:1" x14ac:dyDescent="0.25">
      <c r="A3" s="116"/>
    </row>
    <row r="4" spans="1:1" x14ac:dyDescent="0.25">
      <c r="A4" s="116" t="s">
        <v>121</v>
      </c>
    </row>
    <row r="5" spans="1:1" x14ac:dyDescent="0.25">
      <c r="A5" s="116" t="s">
        <v>255</v>
      </c>
    </row>
    <row r="6" spans="1:1" x14ac:dyDescent="0.25">
      <c r="A6" s="117" t="str">
        <f>"Effective "&amp;TEXT(Inputs!B7,"mmmm d, yyyy")&amp;" to "&amp;TEXT(Inputs!B8,"mmmm d, yyyy")</f>
        <v>Effective March 1, 2023 to February 29, 2024</v>
      </c>
    </row>
    <row r="8" spans="1:1" x14ac:dyDescent="0.25">
      <c r="A8" s="116" t="s">
        <v>58</v>
      </c>
    </row>
    <row r="9" spans="1:1" x14ac:dyDescent="0.25">
      <c r="A9" s="115" t="s">
        <v>57</v>
      </c>
    </row>
    <row r="11" spans="1:1" x14ac:dyDescent="0.25">
      <c r="A11" s="116" t="s">
        <v>206</v>
      </c>
    </row>
    <row r="12" spans="1:1" x14ac:dyDescent="0.25">
      <c r="A12" s="116"/>
    </row>
    <row r="13" spans="1:1" x14ac:dyDescent="0.25">
      <c r="A13" s="116"/>
    </row>
    <row r="14" spans="1:1" x14ac:dyDescent="0.25">
      <c r="A14" s="116"/>
    </row>
    <row r="15" spans="1:1" x14ac:dyDescent="0.25">
      <c r="A15" s="116"/>
    </row>
  </sheetData>
  <phoneticPr fontId="2" type="noConversion"/>
  <printOptions horizontalCentered="1"/>
  <pageMargins left="0.7" right="0.7" top="0.75" bottom="0.75" header="0.3" footer="0.3"/>
  <pageSetup fitToHeight="6" orientation="landscape" r:id="rId1"/>
  <headerFooter alignWithMargins="0"/>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workbookViewId="0">
      <selection activeCell="N25" sqref="N25"/>
    </sheetView>
  </sheetViews>
  <sheetFormatPr defaultColWidth="8.88671875" defaultRowHeight="13.2" x14ac:dyDescent="0.25"/>
  <cols>
    <col min="1" max="16384" width="8.88671875" style="256"/>
  </cols>
  <sheetData/>
  <pageMargins left="0.7" right="0.7" top="0.75" bottom="0.75" header="0.3" footer="0.3"/>
  <customProperties>
    <customPr name="_pios_id" r:id="rId1"/>
  </customPropertie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D23"/>
  <sheetViews>
    <sheetView workbookViewId="0">
      <selection activeCell="B1" sqref="B1"/>
    </sheetView>
  </sheetViews>
  <sheetFormatPr defaultColWidth="9.109375" defaultRowHeight="10.199999999999999" x14ac:dyDescent="0.2"/>
  <cols>
    <col min="1" max="1" width="29.6640625" style="259" bestFit="1" customWidth="1"/>
    <col min="2" max="2" width="8.6640625" style="261" bestFit="1" customWidth="1"/>
    <col min="3" max="16384" width="9.109375" style="259"/>
  </cols>
  <sheetData>
    <row r="1" spans="1:4" x14ac:dyDescent="0.2">
      <c r="A1" s="257" t="s">
        <v>213</v>
      </c>
      <c r="B1" s="258">
        <v>44986</v>
      </c>
    </row>
    <row r="2" spans="1:4" x14ac:dyDescent="0.2">
      <c r="A2" s="257" t="s">
        <v>214</v>
      </c>
      <c r="B2" s="260"/>
    </row>
    <row r="4" spans="1:4" x14ac:dyDescent="0.2">
      <c r="A4" s="257" t="s">
        <v>215</v>
      </c>
      <c r="B4" s="258">
        <v>44937</v>
      </c>
    </row>
    <row r="6" spans="1:4" x14ac:dyDescent="0.2">
      <c r="A6" s="259" t="s">
        <v>216</v>
      </c>
      <c r="B6" s="261" t="s">
        <v>217</v>
      </c>
    </row>
    <row r="7" spans="1:4" x14ac:dyDescent="0.2">
      <c r="A7" s="259" t="s">
        <v>218</v>
      </c>
      <c r="B7" s="258">
        <v>44986</v>
      </c>
    </row>
    <row r="8" spans="1:4" x14ac:dyDescent="0.2">
      <c r="A8" s="259" t="s">
        <v>219</v>
      </c>
      <c r="B8" s="258">
        <f>B7+365</f>
        <v>45351</v>
      </c>
    </row>
    <row r="9" spans="1:4" x14ac:dyDescent="0.2">
      <c r="D9" s="258"/>
    </row>
    <row r="10" spans="1:4" x14ac:dyDescent="0.2">
      <c r="A10" s="257" t="s">
        <v>220</v>
      </c>
      <c r="B10" s="258">
        <v>44937</v>
      </c>
    </row>
    <row r="23" spans="1:1" ht="13.2" x14ac:dyDescent="0.25">
      <c r="A23"/>
    </row>
  </sheetData>
  <printOptions horizontalCentered="1"/>
  <pageMargins left="0.7" right="0.7" top="0.75" bottom="0.75" header="0.3" footer="0.3"/>
  <pageSetup orientation="landscape" r:id="rId1"/>
  <headerFooter>
    <oddFooter>&amp;L&amp;F
&amp;A&amp;RPage &amp;P of &amp;N</oddFooter>
  </headerFooter>
  <customProperties>
    <customPr name="_pios_id" r:id="rId2"/>
  </customProperties>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50"/>
  <sheetViews>
    <sheetView tabSelected="1" zoomScale="80" zoomScaleNormal="80" workbookViewId="0">
      <pane xSplit="3" ySplit="7" topLeftCell="D8" activePane="bottomRight" state="frozen"/>
      <selection activeCell="A4" sqref="A1:XFD1048576"/>
      <selection pane="topRight" activeCell="A4" sqref="A1:XFD1048576"/>
      <selection pane="bottomLeft" activeCell="A4" sqref="A1:XFD1048576"/>
      <selection pane="bottomRight" activeCell="B20" sqref="B20"/>
    </sheetView>
  </sheetViews>
  <sheetFormatPr defaultColWidth="9.109375" defaultRowHeight="13.2" x14ac:dyDescent="0.25"/>
  <cols>
    <col min="1" max="1" width="5.6640625" style="3" customWidth="1"/>
    <col min="2" max="2" width="30.88671875" style="2" bestFit="1" customWidth="1"/>
    <col min="3" max="3" width="13.44140625" style="3" bestFit="1" customWidth="1"/>
    <col min="4" max="4" width="16.33203125" style="28" bestFit="1" customWidth="1"/>
    <col min="5" max="5" width="20.6640625" style="28" bestFit="1" customWidth="1"/>
    <col min="6" max="6" width="14.6640625" style="28" bestFit="1" customWidth="1"/>
    <col min="7" max="7" width="14.33203125" style="2" customWidth="1"/>
    <col min="8" max="8" width="20.6640625" style="2" bestFit="1" customWidth="1"/>
    <col min="9" max="9" width="16.33203125" style="28" bestFit="1" customWidth="1"/>
    <col min="10" max="10" width="14.44140625" style="2" customWidth="1"/>
    <col min="11" max="11" width="10.5546875" style="2" customWidth="1"/>
    <col min="12" max="13" width="1.44140625" style="2" customWidth="1"/>
    <col min="14" max="14" width="16.44140625" style="2" bestFit="1" customWidth="1"/>
    <col min="15" max="16384" width="9.109375" style="2"/>
  </cols>
  <sheetData>
    <row r="1" spans="1:14" x14ac:dyDescent="0.25">
      <c r="A1" s="146" t="s">
        <v>13</v>
      </c>
      <c r="B1" s="145"/>
      <c r="C1" s="145"/>
      <c r="D1" s="145"/>
      <c r="E1" s="145"/>
      <c r="F1" s="145"/>
      <c r="G1" s="145"/>
      <c r="H1" s="145"/>
      <c r="I1" s="145"/>
      <c r="J1" s="145"/>
      <c r="K1" s="145"/>
    </row>
    <row r="2" spans="1:14" x14ac:dyDescent="0.25">
      <c r="A2" s="146" t="str">
        <f>"Rate Impacts for Sch. 141TEP "&amp;'Lead Sheet'!A5</f>
        <v>Rate Impacts for Sch. 141TEP Transportation Electrification Plan (TEP) Rider</v>
      </c>
      <c r="B2" s="145"/>
      <c r="C2" s="145"/>
      <c r="D2" s="145"/>
      <c r="E2" s="145"/>
      <c r="F2" s="145"/>
      <c r="G2" s="145"/>
      <c r="H2" s="145"/>
      <c r="I2" s="145"/>
      <c r="J2" s="145"/>
      <c r="K2" s="145"/>
    </row>
    <row r="3" spans="1:14" x14ac:dyDescent="0.25">
      <c r="A3" s="146" t="str">
        <f>"Test Year Ended "&amp;TEXT(Inputs!B8,"mmmm d, yyyy")</f>
        <v>Test Year Ended February 29, 2024</v>
      </c>
      <c r="B3" s="146"/>
      <c r="C3" s="146"/>
      <c r="D3" s="146"/>
      <c r="E3" s="146"/>
      <c r="F3" s="146"/>
      <c r="G3" s="146"/>
      <c r="H3" s="146"/>
      <c r="I3" s="146"/>
      <c r="J3" s="146"/>
      <c r="K3" s="146"/>
    </row>
    <row r="4" spans="1:14" x14ac:dyDescent="0.25">
      <c r="A4" s="146" t="str">
        <f>"Proposed Effective date "&amp;TEXT(Inputs!B1,"mmmm d, yyyy")</f>
        <v>Proposed Effective date March 1, 2023</v>
      </c>
      <c r="B4" s="146"/>
      <c r="C4" s="146"/>
      <c r="D4" s="146"/>
      <c r="E4" s="146"/>
      <c r="F4" s="146"/>
      <c r="G4" s="146"/>
      <c r="H4" s="146"/>
      <c r="I4" s="146"/>
      <c r="J4" s="146"/>
      <c r="K4" s="146"/>
    </row>
    <row r="5" spans="1:14" s="5" customFormat="1" ht="13.8" thickBot="1" x14ac:dyDescent="0.3">
      <c r="A5"/>
      <c r="B5"/>
      <c r="C5"/>
      <c r="D5"/>
      <c r="E5"/>
      <c r="F5"/>
      <c r="G5"/>
      <c r="H5"/>
      <c r="I5"/>
      <c r="J5"/>
      <c r="K5"/>
    </row>
    <row r="6" spans="1:14" s="5" customFormat="1" ht="90.75" customHeight="1" thickBot="1" x14ac:dyDescent="0.3">
      <c r="A6" s="62" t="s">
        <v>0</v>
      </c>
      <c r="B6" s="63" t="s">
        <v>17</v>
      </c>
      <c r="C6" s="63" t="s">
        <v>18</v>
      </c>
      <c r="D6" s="290" t="str">
        <f>"Annual kWh Delivered Sales  "&amp;TEXT(Inputs!B7,"MM/DD/YY")&amp;" to "&amp;TEXT(Inputs!B8,"MM/DD/YY")&amp;" ("&amp;Inputs!B6&amp;")"</f>
        <v>Annual kWh Delivered Sales  03/01/23 to 02/29/24 (F2022)</v>
      </c>
      <c r="E6" s="289" t="str">
        <f>"Annual Estimated Net Revenue @ Rates Effective "&amp;TEXT(Inputs!B4,"MM/DD/YY")&amp;"
[*Note 1]"</f>
        <v>Annual Estimated Net Revenue @ Rates Effective 01/11/23
[*Note 1]</v>
      </c>
      <c r="F6" s="64" t="s">
        <v>212</v>
      </c>
      <c r="G6" s="289" t="str">
        <f>"Proposed
 Effective 
"&amp;TEXT(Inputs!B7,"mmmm d, yyyy")
&amp;"   $ per kWh"</f>
        <v>Proposed
 Effective 
March 1, 2023   $ per kWh</v>
      </c>
      <c r="H6" s="289" t="str">
        <f>E6</f>
        <v>Annual Estimated Net Revenue @ Rates Effective 01/11/23
[*Note 1]</v>
      </c>
      <c r="I6" s="289" t="str">
        <f>"Revenue Including 
Sch 141TEP 
Proposed    "
&amp;TEXT(Inputs!B7,"mmmm d, yyyy")</f>
        <v>Revenue Including 
Sch 141TEP 
Proposed    March 1, 2023</v>
      </c>
      <c r="J6" s="63" t="s">
        <v>19</v>
      </c>
      <c r="K6" s="63" t="s">
        <v>20</v>
      </c>
      <c r="N6" s="138" t="s">
        <v>120</v>
      </c>
    </row>
    <row r="7" spans="1:14" s="7" customFormat="1" ht="26.4" x14ac:dyDescent="0.25">
      <c r="A7" s="6"/>
      <c r="D7" s="8" t="s">
        <v>14</v>
      </c>
      <c r="E7" s="8" t="s">
        <v>15</v>
      </c>
      <c r="F7" s="9" t="s">
        <v>16</v>
      </c>
      <c r="G7" s="7" t="s">
        <v>62</v>
      </c>
      <c r="H7" s="8" t="s">
        <v>80</v>
      </c>
      <c r="I7" s="8" t="s">
        <v>81</v>
      </c>
      <c r="J7" s="7" t="s">
        <v>63</v>
      </c>
      <c r="K7" s="10" t="s">
        <v>64</v>
      </c>
      <c r="N7" s="55"/>
    </row>
    <row r="8" spans="1:14" x14ac:dyDescent="0.25">
      <c r="A8" s="1"/>
      <c r="K8" s="4"/>
      <c r="M8" s="5"/>
      <c r="N8" s="56"/>
    </row>
    <row r="9" spans="1:14" x14ac:dyDescent="0.25">
      <c r="A9" s="1">
        <v>1</v>
      </c>
      <c r="B9" s="2" t="s">
        <v>1</v>
      </c>
      <c r="C9" s="3">
        <v>7</v>
      </c>
      <c r="D9" s="52">
        <f>+'Estimated Proforma Net Revenue'!C9</f>
        <v>10811271269.433828</v>
      </c>
      <c r="E9" s="53">
        <f>+'Estimated Proforma Net Revenue'!Y9</f>
        <v>1381621295.1793132</v>
      </c>
      <c r="F9" s="224">
        <v>0</v>
      </c>
      <c r="G9" s="54">
        <f>ROUND(+'Rate Spread'!H7,6)</f>
        <v>3.19E-4</v>
      </c>
      <c r="H9" s="11">
        <f>+E9+ROUND(F9,2)*D9</f>
        <v>1381621295.1793132</v>
      </c>
      <c r="I9" s="11">
        <f>+G9*$D9+$E9</f>
        <v>1385070090.7142625</v>
      </c>
      <c r="J9" s="11">
        <f>+I9-H9</f>
        <v>3448795.5349493027</v>
      </c>
      <c r="K9" s="13">
        <f>+J9/H9</f>
        <v>2.4961945411399455E-3</v>
      </c>
      <c r="M9" s="30"/>
      <c r="N9" s="57"/>
    </row>
    <row r="10" spans="1:14" x14ac:dyDescent="0.25">
      <c r="A10" s="1">
        <f t="shared" ref="A10:A36" si="0">+A9+1</f>
        <v>2</v>
      </c>
      <c r="E10" s="11"/>
      <c r="F10" s="225"/>
      <c r="G10" s="11"/>
      <c r="H10" s="14"/>
      <c r="I10" s="11"/>
      <c r="J10" s="11"/>
      <c r="K10" s="13"/>
      <c r="M10" s="30"/>
      <c r="N10" s="56"/>
    </row>
    <row r="11" spans="1:14" x14ac:dyDescent="0.25">
      <c r="A11" s="1">
        <f t="shared" si="0"/>
        <v>3</v>
      </c>
      <c r="B11" s="15" t="s">
        <v>2</v>
      </c>
      <c r="C11" s="3" t="s">
        <v>74</v>
      </c>
      <c r="D11" s="52">
        <f>+'Estimated Proforma Net Revenue'!C12</f>
        <v>2743164635.732255</v>
      </c>
      <c r="E11" s="53">
        <f>+'Estimated Proforma Net Revenue'!Y12</f>
        <v>352532125.17360067</v>
      </c>
      <c r="F11" s="224">
        <v>0</v>
      </c>
      <c r="G11" s="54">
        <f>ROUND(+'Rate Spread'!H9,6)</f>
        <v>2.7700000000000001E-4</v>
      </c>
      <c r="H11" s="11">
        <f>+E11+ROUND(F11,6)*D11</f>
        <v>352532125.17360067</v>
      </c>
      <c r="I11" s="11">
        <f t="shared" ref="I11:I14" si="1">+G11*$D11+$E11</f>
        <v>353291981.77769852</v>
      </c>
      <c r="J11" s="11">
        <f>+I11-H11</f>
        <v>759856.60409784317</v>
      </c>
      <c r="K11" s="13">
        <f>+J11/H11</f>
        <v>2.1554251367124624E-3</v>
      </c>
      <c r="M11" s="30"/>
      <c r="N11" s="57"/>
    </row>
    <row r="12" spans="1:14" x14ac:dyDescent="0.25">
      <c r="A12" s="1">
        <f t="shared" si="0"/>
        <v>4</v>
      </c>
      <c r="B12" s="16" t="s">
        <v>3</v>
      </c>
      <c r="C12" s="17" t="s">
        <v>75</v>
      </c>
      <c r="D12" s="52">
        <f>+'Estimated Proforma Net Revenue'!C13</f>
        <v>2901136837.913403</v>
      </c>
      <c r="E12" s="53">
        <f>+'Estimated Proforma Net Revenue'!Y13</f>
        <v>361964620.28029543</v>
      </c>
      <c r="F12" s="224">
        <v>0</v>
      </c>
      <c r="G12" s="54">
        <f>ROUND(+'Rate Spread'!H10,6)</f>
        <v>2.8699999999999998E-4</v>
      </c>
      <c r="H12" s="11">
        <f t="shared" ref="H12:H14" si="2">+E12+ROUND(F12,6)*D12</f>
        <v>361964620.28029543</v>
      </c>
      <c r="I12" s="11">
        <f t="shared" si="1"/>
        <v>362797246.55277658</v>
      </c>
      <c r="J12" s="11">
        <f>+I12-H12</f>
        <v>832626.27248114347</v>
      </c>
      <c r="K12" s="13">
        <f>+J12/H12</f>
        <v>2.3002973932545689E-3</v>
      </c>
      <c r="M12" s="30"/>
      <c r="N12" s="57"/>
    </row>
    <row r="13" spans="1:14" x14ac:dyDescent="0.25">
      <c r="A13" s="1">
        <f t="shared" si="0"/>
        <v>5</v>
      </c>
      <c r="B13" s="16" t="s">
        <v>4</v>
      </c>
      <c r="C13" s="3" t="s">
        <v>77</v>
      </c>
      <c r="D13" s="52">
        <f>+'Estimated Proforma Net Revenue'!C14</f>
        <v>1830801957.4203374</v>
      </c>
      <c r="E13" s="53">
        <f>+'Estimated Proforma Net Revenue'!Y14</f>
        <v>210922289.00980806</v>
      </c>
      <c r="F13" s="224">
        <v>0</v>
      </c>
      <c r="G13" s="54">
        <f>ROUND(+'Rate Spread'!H11,6)</f>
        <v>2.43E-4</v>
      </c>
      <c r="H13" s="11">
        <f t="shared" si="2"/>
        <v>210922289.00980806</v>
      </c>
      <c r="I13" s="11">
        <f t="shared" si="1"/>
        <v>211367173.88546121</v>
      </c>
      <c r="J13" s="11">
        <f>+I13-H13</f>
        <v>444884.8756531477</v>
      </c>
      <c r="K13" s="13">
        <f>+J13/H13</f>
        <v>2.1092359548234383E-3</v>
      </c>
      <c r="M13" s="30"/>
      <c r="N13" s="57"/>
    </row>
    <row r="14" spans="1:14" x14ac:dyDescent="0.25">
      <c r="A14" s="1">
        <f t="shared" si="0"/>
        <v>6</v>
      </c>
      <c r="B14" s="16" t="s">
        <v>5</v>
      </c>
      <c r="C14" s="3">
        <v>29</v>
      </c>
      <c r="D14" s="52">
        <f>+'Estimated Proforma Net Revenue'!C15</f>
        <v>15002821.548252858</v>
      </c>
      <c r="E14" s="53">
        <f>+'Estimated Proforma Net Revenue'!Y15</f>
        <v>1658579.1492573407</v>
      </c>
      <c r="F14" s="224">
        <v>0</v>
      </c>
      <c r="G14" s="54">
        <f>ROUND(+'Rate Spread'!H12,6)</f>
        <v>3.6999999999999999E-4</v>
      </c>
      <c r="H14" s="11">
        <f t="shared" si="2"/>
        <v>1658579.1492573407</v>
      </c>
      <c r="I14" s="11">
        <f t="shared" si="1"/>
        <v>1664130.1932301943</v>
      </c>
      <c r="J14" s="11">
        <f>+I14-H14</f>
        <v>5551.0439728535712</v>
      </c>
      <c r="K14" s="13">
        <f>+J14/H14</f>
        <v>3.3468670912323679E-3</v>
      </c>
      <c r="M14" s="30"/>
      <c r="N14" s="57"/>
    </row>
    <row r="15" spans="1:14" x14ac:dyDescent="0.25">
      <c r="A15" s="1">
        <f t="shared" si="0"/>
        <v>7</v>
      </c>
      <c r="E15" s="11"/>
      <c r="F15" s="14"/>
      <c r="G15" s="14"/>
      <c r="H15" s="14"/>
      <c r="I15" s="11"/>
      <c r="J15" s="11"/>
      <c r="K15" s="13"/>
      <c r="M15" s="30"/>
      <c r="N15" s="56"/>
    </row>
    <row r="16" spans="1:14" x14ac:dyDescent="0.25">
      <c r="A16" s="1">
        <f t="shared" si="0"/>
        <v>8</v>
      </c>
      <c r="B16" s="2" t="s">
        <v>21</v>
      </c>
      <c r="D16" s="28">
        <f>SUM(D11:D14)</f>
        <v>7490106252.6142492</v>
      </c>
      <c r="E16" s="28">
        <f>SUM(E11:E14)</f>
        <v>927077613.61296141</v>
      </c>
      <c r="F16" s="12">
        <f>SUMPRODUCT(D11:D14,F11:F14)/D16</f>
        <v>0</v>
      </c>
      <c r="G16" s="12">
        <f>SUMPRODUCT(D11:D14,G11:G14)/D16</f>
        <v>2.7274897408724246E-4</v>
      </c>
      <c r="H16" s="11">
        <f>SUM(H11:H14)</f>
        <v>927077613.61296141</v>
      </c>
      <c r="I16" s="31">
        <f>SUM(I11:I14)</f>
        <v>929120532.40916646</v>
      </c>
      <c r="J16" s="11">
        <f>SUM(J11:J14)</f>
        <v>2042918.7962049879</v>
      </c>
      <c r="K16" s="13">
        <f>+J16/H16</f>
        <v>2.2036113980181495E-3</v>
      </c>
      <c r="M16" s="30"/>
      <c r="N16" s="57"/>
    </row>
    <row r="17" spans="1:14" x14ac:dyDescent="0.25">
      <c r="A17" s="1">
        <f t="shared" si="0"/>
        <v>9</v>
      </c>
      <c r="E17" s="11"/>
      <c r="F17" s="14"/>
      <c r="G17" s="14"/>
      <c r="H17" s="14"/>
      <c r="I17" s="11"/>
      <c r="J17" s="11"/>
      <c r="K17" s="13"/>
      <c r="M17" s="31"/>
      <c r="N17" s="56"/>
    </row>
    <row r="18" spans="1:14" x14ac:dyDescent="0.25">
      <c r="A18" s="1">
        <f t="shared" si="0"/>
        <v>10</v>
      </c>
      <c r="B18" s="16" t="s">
        <v>6</v>
      </c>
      <c r="C18" s="3" t="s">
        <v>76</v>
      </c>
      <c r="D18" s="52">
        <f>+'Estimated Proforma Net Revenue'!C18</f>
        <v>1329024599.8352115</v>
      </c>
      <c r="E18" s="53">
        <f>+'Estimated Proforma Net Revenue'!Y18</f>
        <v>149951711.07028487</v>
      </c>
      <c r="F18" s="224">
        <v>0</v>
      </c>
      <c r="G18" s="54">
        <f>ROUND(+'Rate Spread'!H14,6)</f>
        <v>2.52E-4</v>
      </c>
      <c r="H18" s="11">
        <f t="shared" ref="H18:H19" si="3">+E18+ROUND(F18,6)*D18</f>
        <v>149951711.07028487</v>
      </c>
      <c r="I18" s="11">
        <f t="shared" ref="I18:I19" si="4">+G18*$D18+$E18</f>
        <v>150286625.26944333</v>
      </c>
      <c r="J18" s="11">
        <f>+I18-H18</f>
        <v>334914.1991584599</v>
      </c>
      <c r="K18" s="13">
        <f>+J18/H18</f>
        <v>2.2334803435586008E-3</v>
      </c>
      <c r="M18" s="30"/>
      <c r="N18" s="57"/>
    </row>
    <row r="19" spans="1:14" x14ac:dyDescent="0.25">
      <c r="A19" s="1">
        <f t="shared" si="0"/>
        <v>11</v>
      </c>
      <c r="B19" s="16" t="s">
        <v>7</v>
      </c>
      <c r="C19" s="3">
        <v>35</v>
      </c>
      <c r="D19" s="52">
        <f>+'Estimated Proforma Net Revenue'!C19</f>
        <v>4706241.1306298776</v>
      </c>
      <c r="E19" s="53">
        <f>+'Estimated Proforma Net Revenue'!Y19</f>
        <v>411015.95114776504</v>
      </c>
      <c r="F19" s="224">
        <v>0</v>
      </c>
      <c r="G19" s="54">
        <f>ROUND(+'Rate Spread'!H15,6)</f>
        <v>5.9199999999999997E-4</v>
      </c>
      <c r="H19" s="11">
        <f t="shared" si="3"/>
        <v>411015.95114776504</v>
      </c>
      <c r="I19" s="11">
        <f t="shared" si="4"/>
        <v>413802.04589709791</v>
      </c>
      <c r="J19" s="11">
        <f>+I19-H19</f>
        <v>2786.0947493328713</v>
      </c>
      <c r="K19" s="13">
        <f>+J19/H19</f>
        <v>6.7785562617525708E-3</v>
      </c>
      <c r="M19" s="30"/>
      <c r="N19" s="57"/>
    </row>
    <row r="20" spans="1:14" x14ac:dyDescent="0.25">
      <c r="A20" s="1">
        <f t="shared" si="0"/>
        <v>12</v>
      </c>
      <c r="B20" s="16" t="s">
        <v>8</v>
      </c>
      <c r="C20" s="3">
        <v>43</v>
      </c>
      <c r="D20" s="52">
        <f>+'Estimated Proforma Net Revenue'!C20</f>
        <v>120467009.7637714</v>
      </c>
      <c r="E20" s="53">
        <f>+'Estimated Proforma Net Revenue'!Y20</f>
        <v>13933791.316341473</v>
      </c>
      <c r="F20" s="224">
        <v>0</v>
      </c>
      <c r="G20" s="54">
        <f>ROUND(+'Rate Spread'!H16,6)</f>
        <v>4.2999999999999999E-4</v>
      </c>
      <c r="H20" s="11">
        <f>+E20+ROUND(F20,6)*D20</f>
        <v>13933791.316341473</v>
      </c>
      <c r="I20" s="11">
        <f>+G20*$D20+$E20</f>
        <v>13985592.130539894</v>
      </c>
      <c r="J20" s="11">
        <f>+I20-H20</f>
        <v>51800.814198421314</v>
      </c>
      <c r="K20" s="13">
        <f>+J20/H20</f>
        <v>3.7176395872722456E-3</v>
      </c>
      <c r="M20" s="32"/>
      <c r="N20" s="57"/>
    </row>
    <row r="21" spans="1:14" x14ac:dyDescent="0.25">
      <c r="A21" s="1">
        <f t="shared" si="0"/>
        <v>13</v>
      </c>
      <c r="C21" s="2"/>
      <c r="E21" s="11"/>
      <c r="F21" s="14"/>
      <c r="G21" s="14"/>
      <c r="H21" s="14"/>
      <c r="I21" s="11"/>
      <c r="J21" s="11"/>
      <c r="K21" s="13"/>
      <c r="M21" s="30"/>
      <c r="N21" s="56"/>
    </row>
    <row r="22" spans="1:14" x14ac:dyDescent="0.25">
      <c r="A22" s="1">
        <f t="shared" si="0"/>
        <v>14</v>
      </c>
      <c r="B22" s="18" t="s">
        <v>22</v>
      </c>
      <c r="D22" s="28">
        <f>SUM(D18:D21)</f>
        <v>1454197850.7296126</v>
      </c>
      <c r="E22" s="31">
        <f>SUM(E18:E21)</f>
        <v>164296518.3377741</v>
      </c>
      <c r="F22" s="12">
        <f>SUMPRODUCT(D18:D20,F18:F20)/D22</f>
        <v>0</v>
      </c>
      <c r="G22" s="12">
        <f>SUMPRODUCT(D18:D20,G18:G20)/D22</f>
        <v>2.6784602102857192E-4</v>
      </c>
      <c r="H22" s="31">
        <f>SUM(H18:H21)</f>
        <v>164296518.3377741</v>
      </c>
      <c r="I22" s="31">
        <f>SUM(I18:I21)</f>
        <v>164686019.44588032</v>
      </c>
      <c r="J22" s="31">
        <f>SUM(J18:J21)</f>
        <v>389501.10810621409</v>
      </c>
      <c r="K22" s="13">
        <f>+J22/H22</f>
        <v>2.3707204026408284E-3</v>
      </c>
      <c r="M22" s="31"/>
      <c r="N22" s="56"/>
    </row>
    <row r="23" spans="1:14" x14ac:dyDescent="0.25">
      <c r="A23" s="1">
        <f t="shared" si="0"/>
        <v>15</v>
      </c>
      <c r="B23" s="18"/>
      <c r="E23" s="11"/>
      <c r="F23" s="14"/>
      <c r="G23" s="14"/>
      <c r="H23" s="14"/>
      <c r="I23" s="11"/>
      <c r="J23" s="11"/>
      <c r="K23" s="13"/>
      <c r="M23" s="31"/>
      <c r="N23" s="56"/>
    </row>
    <row r="24" spans="1:14" x14ac:dyDescent="0.25">
      <c r="A24" s="1">
        <f t="shared" si="0"/>
        <v>16</v>
      </c>
      <c r="B24" s="16" t="s">
        <v>23</v>
      </c>
      <c r="C24" s="3">
        <v>46</v>
      </c>
      <c r="D24" s="52">
        <f>+'Estimated Proforma Net Revenue'!C23</f>
        <v>89523424.544402152</v>
      </c>
      <c r="E24" s="53">
        <f>+'Estimated Proforma Net Revenue'!Y23</f>
        <v>7134738.7174962945</v>
      </c>
      <c r="F24" s="224">
        <v>0</v>
      </c>
      <c r="G24" s="54">
        <f>ROUND(+'Rate Spread'!H18,6)</f>
        <v>3.1799999999999998E-4</v>
      </c>
      <c r="H24" s="11">
        <f>+E24+ROUND(F24,6)*D24</f>
        <v>7134738.7174962945</v>
      </c>
      <c r="I24" s="11">
        <f>+G24*$D24+$E24</f>
        <v>7163207.166501414</v>
      </c>
      <c r="J24" s="11">
        <f>+I24-H24</f>
        <v>28468.449005119503</v>
      </c>
      <c r="K24" s="13">
        <f>+J24/H24</f>
        <v>3.9901179471796529E-3</v>
      </c>
      <c r="M24" s="31"/>
      <c r="N24" s="56"/>
    </row>
    <row r="25" spans="1:14" x14ac:dyDescent="0.25">
      <c r="A25" s="1">
        <f t="shared" si="0"/>
        <v>17</v>
      </c>
      <c r="B25" s="15" t="s">
        <v>24</v>
      </c>
      <c r="C25" s="3">
        <v>49</v>
      </c>
      <c r="D25" s="52">
        <f>+'Estimated Proforma Net Revenue'!C24</f>
        <v>506483348.17290127</v>
      </c>
      <c r="E25" s="53">
        <f>+'Estimated Proforma Net Revenue'!Y24</f>
        <v>42669079.589621224</v>
      </c>
      <c r="F25" s="224">
        <v>0</v>
      </c>
      <c r="G25" s="54">
        <f>ROUND(+'Rate Spread'!H19,6)</f>
        <v>2.2000000000000001E-4</v>
      </c>
      <c r="H25" s="11">
        <f t="shared" ref="H25" si="5">+E25+ROUND(F25,6)*D25</f>
        <v>42669079.589621224</v>
      </c>
      <c r="I25" s="11">
        <f t="shared" ref="I25" si="6">+G25*$D25+$E25</f>
        <v>42780505.926219262</v>
      </c>
      <c r="J25" s="11">
        <f>+I25-H25</f>
        <v>111426.33659803867</v>
      </c>
      <c r="K25" s="13">
        <f>+J25/H25</f>
        <v>2.6114070814206615E-3</v>
      </c>
      <c r="M25" s="30"/>
      <c r="N25" s="57"/>
    </row>
    <row r="26" spans="1:14" x14ac:dyDescent="0.25">
      <c r="A26" s="1">
        <f t="shared" si="0"/>
        <v>18</v>
      </c>
      <c r="E26" s="11"/>
      <c r="F26" s="14"/>
      <c r="G26" s="14"/>
      <c r="H26" s="14"/>
      <c r="I26" s="11"/>
      <c r="J26" s="11"/>
      <c r="K26" s="13"/>
      <c r="M26" s="30"/>
      <c r="N26" s="56"/>
    </row>
    <row r="27" spans="1:14" x14ac:dyDescent="0.25">
      <c r="A27" s="1">
        <f t="shared" si="0"/>
        <v>19</v>
      </c>
      <c r="B27" s="19" t="s">
        <v>25</v>
      </c>
      <c r="D27" s="28">
        <f>SUM(D24:D26)</f>
        <v>596006772.7173034</v>
      </c>
      <c r="E27" s="31">
        <f>SUM(E24:E26)</f>
        <v>49803818.307117522</v>
      </c>
      <c r="F27" s="12">
        <f>SUMPRODUCT(D24:D25,F24:F25)/D27</f>
        <v>0</v>
      </c>
      <c r="G27" s="12">
        <f>SUMPRODUCT(D24:D25,G24:G25)/D27</f>
        <v>2.3472012736592301E-4</v>
      </c>
      <c r="H27" s="28">
        <f>SUM(H24:H26)</f>
        <v>49803818.307117522</v>
      </c>
      <c r="I27" s="28">
        <f>SUM(I24:I26)</f>
        <v>49943713.092720672</v>
      </c>
      <c r="J27" s="31">
        <f>SUM(J24:J26)</f>
        <v>139894.78560315818</v>
      </c>
      <c r="K27" s="13">
        <f>+J27/H27</f>
        <v>2.8089168734110022E-3</v>
      </c>
      <c r="M27" s="30"/>
      <c r="N27" s="56"/>
    </row>
    <row r="28" spans="1:14" ht="13.8" thickBot="1" x14ac:dyDescent="0.3">
      <c r="A28" s="1">
        <f t="shared" si="0"/>
        <v>20</v>
      </c>
      <c r="E28" s="11"/>
      <c r="F28" s="14"/>
      <c r="G28" s="14"/>
      <c r="H28" s="14"/>
      <c r="I28" s="11"/>
      <c r="J28" s="11"/>
      <c r="K28" s="13"/>
      <c r="M28" s="31"/>
      <c r="N28" s="58"/>
    </row>
    <row r="29" spans="1:14" x14ac:dyDescent="0.25">
      <c r="A29" s="1">
        <f t="shared" si="0"/>
        <v>21</v>
      </c>
      <c r="B29" s="16" t="s">
        <v>10</v>
      </c>
      <c r="D29" s="28">
        <f>SUM(D9,D16,D22,D27)</f>
        <v>20351582145.494995</v>
      </c>
      <c r="E29" s="28">
        <f>SUM(E9,E16,E22,E27)</f>
        <v>2522799245.4371662</v>
      </c>
      <c r="F29" s="12">
        <f>(F9*D9+F16*D16+F22*D22+F27*D27)/D29</f>
        <v>0</v>
      </c>
      <c r="G29" s="12">
        <f>+'Rate Spread'!H22</f>
        <v>2.9573252745121979E-4</v>
      </c>
      <c r="H29" s="28">
        <f>SUM(H9,H16,H22,H27)</f>
        <v>2522799245.4371662</v>
      </c>
      <c r="I29" s="28">
        <f>SUM(I9,I16,I22,I27)</f>
        <v>2528820355.6620297</v>
      </c>
      <c r="J29" s="28">
        <f>SUM(J9,J16,J22,J27)</f>
        <v>6021110.2248636633</v>
      </c>
      <c r="K29" s="13">
        <f>+J29/H29</f>
        <v>2.3866783041709243E-3</v>
      </c>
      <c r="M29" s="5"/>
      <c r="N29" s="5"/>
    </row>
    <row r="30" spans="1:14" x14ac:dyDescent="0.25">
      <c r="A30" s="1">
        <f t="shared" si="0"/>
        <v>22</v>
      </c>
      <c r="B30" s="19"/>
      <c r="E30" s="11"/>
      <c r="F30" s="14"/>
      <c r="G30" s="14"/>
      <c r="H30" s="14"/>
      <c r="I30" s="11"/>
      <c r="J30" s="11"/>
      <c r="K30" s="13"/>
      <c r="M30" s="5"/>
      <c r="N30" s="5"/>
    </row>
    <row r="31" spans="1:14" x14ac:dyDescent="0.25">
      <c r="A31" s="1">
        <f t="shared" si="0"/>
        <v>23</v>
      </c>
      <c r="B31" s="19" t="s">
        <v>28</v>
      </c>
      <c r="E31" s="11"/>
      <c r="F31" s="11"/>
      <c r="G31" s="14"/>
      <c r="H31" s="14"/>
      <c r="I31" s="11"/>
      <c r="J31" s="11"/>
      <c r="K31" s="13"/>
      <c r="M31" s="5"/>
      <c r="N31" s="5"/>
    </row>
    <row r="32" spans="1:14" x14ac:dyDescent="0.25">
      <c r="A32" s="1">
        <f t="shared" si="0"/>
        <v>24</v>
      </c>
      <c r="B32" s="2" t="s">
        <v>9</v>
      </c>
      <c r="C32" s="3" t="s">
        <v>59</v>
      </c>
      <c r="D32" s="52">
        <f>+'Estimated Proforma Net Revenue'!C27</f>
        <v>62167183.412781127</v>
      </c>
      <c r="E32" s="53">
        <f>+'Estimated Proforma Net Revenue'!Y27</f>
        <v>20149336.667966824</v>
      </c>
      <c r="F32" s="224"/>
      <c r="G32" s="54"/>
      <c r="H32" s="11">
        <f>+E32+ROUND(F32,6)*D32</f>
        <v>20149336.667966824</v>
      </c>
      <c r="I32" s="11">
        <f>+G32*$D32+$E32</f>
        <v>20149336.667966824</v>
      </c>
      <c r="J32" s="11">
        <f>+I32-H32</f>
        <v>0</v>
      </c>
      <c r="K32" s="13"/>
      <c r="M32" s="30"/>
      <c r="N32"/>
    </row>
    <row r="33" spans="1:14" x14ac:dyDescent="0.25">
      <c r="A33" s="1">
        <f t="shared" si="0"/>
        <v>25</v>
      </c>
      <c r="B33" s="20" t="s">
        <v>26</v>
      </c>
      <c r="C33" s="17" t="s">
        <v>27</v>
      </c>
      <c r="D33" s="52">
        <f>+'Estimated Proforma Net Revenue'!C33</f>
        <v>7099000</v>
      </c>
      <c r="E33" s="53">
        <f>+'Estimated Proforma Net Revenue'!Y33</f>
        <v>656024.36075674777</v>
      </c>
      <c r="F33" s="224"/>
      <c r="G33" s="54"/>
      <c r="H33" s="11">
        <f>+E33+ROUND(F33,6)*D33</f>
        <v>656024.36075674777</v>
      </c>
      <c r="I33" s="11">
        <f>+G33*$D33+$E33</f>
        <v>656024.36075674777</v>
      </c>
      <c r="J33" s="11">
        <f>+I33-H33</f>
        <v>0</v>
      </c>
      <c r="K33" s="13"/>
      <c r="M33" s="5"/>
      <c r="N33"/>
    </row>
    <row r="34" spans="1:14" x14ac:dyDescent="0.25">
      <c r="A34" s="1">
        <f t="shared" si="0"/>
        <v>26</v>
      </c>
      <c r="B34" s="16" t="s">
        <v>108</v>
      </c>
      <c r="C34" s="17" t="s">
        <v>109</v>
      </c>
      <c r="D34" s="52">
        <f>+'Estimated Proforma Net Revenue'!C29</f>
        <v>2245720268.8083301</v>
      </c>
      <c r="E34" s="53">
        <f>+'Estimated Proforma Net Revenue'!Y29</f>
        <v>18300072.8919576</v>
      </c>
      <c r="F34" s="11"/>
      <c r="G34" s="14"/>
      <c r="H34" s="11">
        <f>+E34+ROUND(F34,6)*D34</f>
        <v>18300072.8919576</v>
      </c>
      <c r="I34" s="11">
        <f>+G34*$D34+$E34</f>
        <v>18300072.8919576</v>
      </c>
      <c r="J34" s="11">
        <f>+I34-H34</f>
        <v>0</v>
      </c>
      <c r="K34" s="13"/>
      <c r="M34" s="5"/>
      <c r="N34" s="5"/>
    </row>
    <row r="35" spans="1:14" x14ac:dyDescent="0.25">
      <c r="A35" s="1">
        <f t="shared" si="0"/>
        <v>27</v>
      </c>
      <c r="B35" s="19"/>
      <c r="E35" s="11"/>
      <c r="F35" s="11"/>
      <c r="G35" s="14"/>
      <c r="H35" s="14"/>
      <c r="I35" s="11"/>
      <c r="J35" s="11"/>
      <c r="K35" s="13"/>
      <c r="M35" s="5"/>
    </row>
    <row r="36" spans="1:14" x14ac:dyDescent="0.25">
      <c r="A36" s="1">
        <f t="shared" si="0"/>
        <v>28</v>
      </c>
      <c r="B36" s="19" t="s">
        <v>12</v>
      </c>
      <c r="D36" s="28">
        <f>SUM(D29:D34)</f>
        <v>22666568597.716106</v>
      </c>
      <c r="E36" s="11">
        <f>SUM(E29:E34)</f>
        <v>2561904679.3578477</v>
      </c>
      <c r="F36" s="11"/>
      <c r="G36" s="14"/>
      <c r="H36" s="11">
        <f>SUM(H29:H34)</f>
        <v>2561904679.3578477</v>
      </c>
      <c r="I36" s="11">
        <f>SUM(I29:I34)</f>
        <v>2567925789.5827112</v>
      </c>
      <c r="J36" s="11">
        <f>SUM(J29:J34)</f>
        <v>6021110.2248636633</v>
      </c>
      <c r="K36" s="13"/>
      <c r="M36" s="5"/>
    </row>
    <row r="37" spans="1:14" ht="13.8" thickBot="1" x14ac:dyDescent="0.3">
      <c r="A37" s="21"/>
      <c r="B37" s="22"/>
      <c r="C37" s="23"/>
      <c r="D37" s="24"/>
      <c r="E37" s="25"/>
      <c r="F37" s="25"/>
      <c r="G37" s="22"/>
      <c r="H37" s="22"/>
      <c r="I37" s="24"/>
      <c r="J37" s="22"/>
      <c r="K37" s="26"/>
      <c r="M37" s="32"/>
      <c r="N37" s="32"/>
    </row>
    <row r="38" spans="1:14" ht="13.8" thickBot="1" x14ac:dyDescent="0.3">
      <c r="J38" s="11"/>
    </row>
    <row r="39" spans="1:14" ht="13.2" customHeight="1" x14ac:dyDescent="0.25">
      <c r="A39" s="297" t="s">
        <v>256</v>
      </c>
      <c r="B39" s="298"/>
      <c r="C39" s="298"/>
      <c r="D39" s="298"/>
      <c r="E39" s="298"/>
      <c r="F39" s="298"/>
      <c r="G39" s="298"/>
      <c r="H39" s="298"/>
      <c r="I39" s="298"/>
      <c r="J39" s="298"/>
      <c r="K39" s="299"/>
    </row>
    <row r="40" spans="1:14" ht="13.2" customHeight="1" x14ac:dyDescent="0.25">
      <c r="A40" s="300"/>
      <c r="B40" s="301"/>
      <c r="C40" s="301"/>
      <c r="D40" s="301"/>
      <c r="E40" s="301"/>
      <c r="F40" s="301"/>
      <c r="G40" s="301"/>
      <c r="H40" s="301"/>
      <c r="I40" s="301"/>
      <c r="J40" s="301"/>
      <c r="K40" s="302"/>
    </row>
    <row r="41" spans="1:14" ht="13.2" customHeight="1" x14ac:dyDescent="0.25">
      <c r="A41" s="300"/>
      <c r="B41" s="301"/>
      <c r="C41" s="301"/>
      <c r="D41" s="301"/>
      <c r="E41" s="301"/>
      <c r="F41" s="301"/>
      <c r="G41" s="301"/>
      <c r="H41" s="301"/>
      <c r="I41" s="301"/>
      <c r="J41" s="301"/>
      <c r="K41" s="302"/>
    </row>
    <row r="42" spans="1:14" x14ac:dyDescent="0.25">
      <c r="A42" s="300"/>
      <c r="B42" s="301"/>
      <c r="C42" s="301"/>
      <c r="D42" s="301"/>
      <c r="E42" s="301"/>
      <c r="F42" s="301"/>
      <c r="G42" s="301"/>
      <c r="H42" s="301"/>
      <c r="I42" s="301"/>
      <c r="J42" s="301"/>
      <c r="K42" s="302"/>
    </row>
    <row r="43" spans="1:14" ht="13.8" thickBot="1" x14ac:dyDescent="0.3">
      <c r="A43" s="303"/>
      <c r="B43" s="304"/>
      <c r="C43" s="304"/>
      <c r="D43" s="304"/>
      <c r="E43" s="304"/>
      <c r="F43" s="304"/>
      <c r="G43" s="304"/>
      <c r="H43" s="304"/>
      <c r="I43" s="304"/>
      <c r="J43" s="304"/>
      <c r="K43" s="305"/>
    </row>
    <row r="44" spans="1:14" x14ac:dyDescent="0.25">
      <c r="A44" s="262"/>
      <c r="B44" s="262"/>
      <c r="C44" s="262"/>
      <c r="D44" s="262"/>
      <c r="E44" s="262"/>
      <c r="F44" s="262"/>
      <c r="G44" s="262"/>
      <c r="H44" s="262"/>
      <c r="I44" s="262"/>
      <c r="J44" s="262"/>
      <c r="K44" s="262"/>
    </row>
    <row r="45" spans="1:14" x14ac:dyDescent="0.25">
      <c r="A45" s="262"/>
      <c r="B45" s="262"/>
      <c r="C45" s="262"/>
      <c r="D45" s="262"/>
      <c r="E45" s="262"/>
      <c r="F45" s="262"/>
      <c r="G45" s="262"/>
      <c r="H45" s="262"/>
      <c r="I45" s="262"/>
      <c r="J45" s="262"/>
      <c r="K45" s="262"/>
    </row>
    <row r="46" spans="1:14" x14ac:dyDescent="0.25">
      <c r="A46" s="262"/>
      <c r="B46" s="262"/>
      <c r="C46" s="262"/>
      <c r="D46" s="262"/>
      <c r="E46" s="262"/>
      <c r="F46" s="262"/>
      <c r="G46" s="262"/>
      <c r="H46" s="262"/>
      <c r="I46" s="262"/>
      <c r="J46" s="262"/>
      <c r="K46" s="262"/>
    </row>
    <row r="47" spans="1:14" x14ac:dyDescent="0.25">
      <c r="A47" s="262"/>
      <c r="B47" s="262"/>
      <c r="C47" s="262"/>
      <c r="D47" s="262"/>
      <c r="E47" s="262"/>
      <c r="F47" s="262"/>
      <c r="G47" s="262"/>
      <c r="H47" s="262"/>
      <c r="I47" s="262"/>
      <c r="J47" s="262"/>
      <c r="K47" s="262"/>
    </row>
    <row r="48" spans="1:14" x14ac:dyDescent="0.25">
      <c r="A48" s="262"/>
      <c r="B48" s="262"/>
      <c r="C48" s="262"/>
      <c r="D48" s="262"/>
      <c r="E48" s="262"/>
      <c r="F48" s="262"/>
      <c r="G48" s="262"/>
      <c r="H48" s="262"/>
      <c r="I48" s="262"/>
      <c r="J48" s="262"/>
      <c r="K48" s="262"/>
    </row>
    <row r="49" spans="1:3" x14ac:dyDescent="0.25">
      <c r="A49" s="29"/>
      <c r="C49" s="29"/>
    </row>
    <row r="50" spans="1:3" x14ac:dyDescent="0.25">
      <c r="A50" s="29"/>
      <c r="C50" s="29"/>
    </row>
  </sheetData>
  <mergeCells count="1">
    <mergeCell ref="A39:K43"/>
  </mergeCells>
  <phoneticPr fontId="2" type="noConversion"/>
  <printOptions horizontalCentered="1"/>
  <pageMargins left="0.7" right="0.7" top="0.75" bottom="0.75" header="0.3" footer="0.3"/>
  <pageSetup scale="71" orientation="landscape" r:id="rId1"/>
  <headerFooter alignWithMargins="0">
    <oddFooter>&amp;L&amp;F
&amp;A&amp;RSchedule 95A Filing Eff 1-1-21
Page &amp;P of &amp;N</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6"/>
  <sheetViews>
    <sheetView zoomScaleNormal="100" workbookViewId="0">
      <pane ySplit="6" topLeftCell="A7" activePane="bottomLeft" state="frozen"/>
      <selection pane="bottomLeft" activeCell="B13" sqref="B13"/>
    </sheetView>
  </sheetViews>
  <sheetFormatPr defaultColWidth="8.88671875" defaultRowHeight="10.199999999999999" x14ac:dyDescent="0.2"/>
  <cols>
    <col min="1" max="1" width="21.5546875" style="33" customWidth="1"/>
    <col min="2" max="2" width="7.88671875" style="33" bestFit="1" customWidth="1"/>
    <col min="3" max="3" width="12.88671875" style="33" bestFit="1" customWidth="1"/>
    <col min="4" max="4" width="9.88671875" style="33" bestFit="1" customWidth="1"/>
    <col min="5" max="6" width="10" style="33" bestFit="1" customWidth="1"/>
    <col min="7" max="7" width="2" style="33" customWidth="1"/>
    <col min="8" max="8" width="7.109375" style="33" customWidth="1"/>
    <col min="9" max="9" width="9.109375" style="33" bestFit="1" customWidth="1"/>
    <col min="10" max="10" width="7.6640625" style="33" bestFit="1" customWidth="1"/>
    <col min="11" max="11" width="9" style="33" bestFit="1" customWidth="1"/>
    <col min="12" max="13" width="9" style="33" customWidth="1"/>
    <col min="14" max="14" width="4" style="33" customWidth="1"/>
    <col min="15" max="16384" width="8.88671875" style="33"/>
  </cols>
  <sheetData>
    <row r="1" spans="1:18" s="48" customFormat="1" x14ac:dyDescent="0.2">
      <c r="A1" s="47" t="s">
        <v>13</v>
      </c>
      <c r="B1" s="49"/>
      <c r="C1" s="49"/>
      <c r="D1" s="49"/>
      <c r="E1" s="49"/>
      <c r="F1" s="49"/>
      <c r="G1" s="49"/>
      <c r="H1" s="49"/>
      <c r="I1" s="49"/>
      <c r="J1" s="49"/>
      <c r="K1" s="49"/>
      <c r="L1" s="49"/>
      <c r="M1" s="49"/>
      <c r="N1" s="49"/>
    </row>
    <row r="2" spans="1:18" s="48" customFormat="1" x14ac:dyDescent="0.2">
      <c r="A2" s="47" t="s">
        <v>31</v>
      </c>
      <c r="B2" s="49"/>
      <c r="C2" s="49"/>
      <c r="D2" s="49"/>
      <c r="E2" s="49"/>
      <c r="F2" s="49"/>
      <c r="G2" s="49"/>
      <c r="H2" s="49"/>
      <c r="I2" s="49"/>
      <c r="J2" s="49"/>
      <c r="K2" s="49"/>
      <c r="L2" s="49"/>
      <c r="M2" s="49"/>
      <c r="N2" s="49"/>
    </row>
    <row r="3" spans="1:18" s="48" customFormat="1" x14ac:dyDescent="0.2">
      <c r="A3" s="61" t="str">
        <f>"Test Year Ended "&amp;TEXT(Inputs!B8,"mmmm d, yyyy")</f>
        <v>Test Year Ended February 29, 2024</v>
      </c>
      <c r="B3" s="47"/>
      <c r="C3" s="47"/>
      <c r="D3" s="47"/>
      <c r="E3" s="47"/>
      <c r="F3" s="47"/>
      <c r="G3" s="47"/>
      <c r="H3" s="47"/>
      <c r="I3" s="47"/>
      <c r="J3" s="47"/>
      <c r="K3" s="47"/>
      <c r="L3" s="47"/>
      <c r="M3" s="47"/>
      <c r="N3" s="47"/>
    </row>
    <row r="4" spans="1:18" s="48" customFormat="1" x14ac:dyDescent="0.2"/>
    <row r="5" spans="1:18" s="48" customFormat="1" x14ac:dyDescent="0.2">
      <c r="C5" s="308" t="s">
        <v>118</v>
      </c>
      <c r="D5" s="308"/>
      <c r="E5" s="308"/>
      <c r="F5" s="308"/>
      <c r="G5" s="110"/>
      <c r="H5" s="308" t="s">
        <v>117</v>
      </c>
      <c r="I5" s="308"/>
      <c r="J5" s="308"/>
      <c r="K5" s="308"/>
      <c r="L5" s="111"/>
      <c r="M5" s="111"/>
      <c r="O5" s="112"/>
      <c r="P5" s="112"/>
      <c r="Q5" s="112"/>
      <c r="R5" s="112"/>
    </row>
    <row r="6" spans="1:18" s="48" customFormat="1" ht="20.399999999999999" x14ac:dyDescent="0.2">
      <c r="A6" s="113" t="s">
        <v>32</v>
      </c>
      <c r="B6" s="113" t="s">
        <v>30</v>
      </c>
      <c r="C6" s="113" t="s">
        <v>116</v>
      </c>
      <c r="D6" s="113" t="s">
        <v>115</v>
      </c>
      <c r="E6" s="113" t="s">
        <v>114</v>
      </c>
      <c r="F6" s="113" t="s">
        <v>113</v>
      </c>
      <c r="G6" s="110"/>
      <c r="H6" s="113" t="s">
        <v>116</v>
      </c>
      <c r="I6" s="113" t="s">
        <v>115</v>
      </c>
      <c r="J6" s="113" t="s">
        <v>114</v>
      </c>
      <c r="K6" s="113" t="s">
        <v>113</v>
      </c>
      <c r="L6" s="114" t="s">
        <v>33</v>
      </c>
      <c r="M6" s="113" t="s">
        <v>34</v>
      </c>
    </row>
    <row r="7" spans="1:18" x14ac:dyDescent="0.2">
      <c r="A7" s="33" t="s">
        <v>35</v>
      </c>
      <c r="B7" s="46">
        <v>949</v>
      </c>
      <c r="C7" s="45">
        <f t="shared" ref="C7:C18" si="0">ROUND(+$E$27,2)</f>
        <v>7.49</v>
      </c>
      <c r="D7" s="45">
        <f t="shared" ref="D7:D18" si="1">ROUND(IF($B7&gt;600,600*$E$65,$B7*$E$39),2)</f>
        <v>66.540000000000006</v>
      </c>
      <c r="E7" s="45">
        <f t="shared" ref="E7:E18" si="2">ROUND(IF($B7&gt;600,($B7-600)*$E$66,0),2)</f>
        <v>45.48</v>
      </c>
      <c r="F7" s="34">
        <f t="shared" ref="F7:F18" si="3">SUM(C7:E7)</f>
        <v>119.50999999999999</v>
      </c>
      <c r="G7" s="38"/>
      <c r="H7" s="45">
        <f t="shared" ref="H7:H18" si="4">ROUND(+$F$27,2)</f>
        <v>7.49</v>
      </c>
      <c r="I7" s="45">
        <f t="shared" ref="I7:I18" si="5">ROUND(IF($B7&gt;600,600*$F$65,$B7*$F$39),2)</f>
        <v>66.739999999999995</v>
      </c>
      <c r="J7" s="45">
        <f t="shared" ref="J7:J18" si="6">ROUND(IF($B7&gt;600,($B7-600)*$F$66,0),2)</f>
        <v>45.59</v>
      </c>
      <c r="K7" s="34">
        <f t="shared" ref="K7:K18" si="7">SUM(H7:J7)</f>
        <v>119.82</v>
      </c>
      <c r="L7" s="34">
        <f t="shared" ref="L7:L18" si="8">+K7-F7</f>
        <v>0.31000000000000227</v>
      </c>
      <c r="M7" s="287">
        <f t="shared" ref="M7:M18" si="9">+L7/F7</f>
        <v>2.5939251945444088E-3</v>
      </c>
    </row>
    <row r="8" spans="1:18" x14ac:dyDescent="0.2">
      <c r="A8" s="33" t="s">
        <v>36</v>
      </c>
      <c r="B8" s="46">
        <v>853</v>
      </c>
      <c r="C8" s="45">
        <f t="shared" si="0"/>
        <v>7.49</v>
      </c>
      <c r="D8" s="45">
        <f t="shared" si="1"/>
        <v>66.540000000000006</v>
      </c>
      <c r="E8" s="45">
        <f t="shared" si="2"/>
        <v>32.97</v>
      </c>
      <c r="F8" s="34">
        <f t="shared" si="3"/>
        <v>107</v>
      </c>
      <c r="G8" s="38"/>
      <c r="H8" s="45">
        <f t="shared" si="4"/>
        <v>7.49</v>
      </c>
      <c r="I8" s="45">
        <f t="shared" si="5"/>
        <v>66.739999999999995</v>
      </c>
      <c r="J8" s="45">
        <f t="shared" si="6"/>
        <v>33.049999999999997</v>
      </c>
      <c r="K8" s="34">
        <f t="shared" si="7"/>
        <v>107.27999999999999</v>
      </c>
      <c r="L8" s="34">
        <f t="shared" si="8"/>
        <v>0.27999999999998693</v>
      </c>
      <c r="M8" s="287">
        <f t="shared" si="9"/>
        <v>2.6168224299064199E-3</v>
      </c>
    </row>
    <row r="9" spans="1:18" x14ac:dyDescent="0.2">
      <c r="A9" s="33" t="s">
        <v>37</v>
      </c>
      <c r="B9" s="46">
        <v>707</v>
      </c>
      <c r="C9" s="45">
        <f t="shared" si="0"/>
        <v>7.49</v>
      </c>
      <c r="D9" s="45">
        <f t="shared" si="1"/>
        <v>66.540000000000006</v>
      </c>
      <c r="E9" s="45">
        <f t="shared" si="2"/>
        <v>13.94</v>
      </c>
      <c r="F9" s="34">
        <f t="shared" si="3"/>
        <v>87.97</v>
      </c>
      <c r="G9" s="38"/>
      <c r="H9" s="45">
        <f t="shared" si="4"/>
        <v>7.49</v>
      </c>
      <c r="I9" s="45">
        <f t="shared" si="5"/>
        <v>66.739999999999995</v>
      </c>
      <c r="J9" s="45">
        <f t="shared" si="6"/>
        <v>13.98</v>
      </c>
      <c r="K9" s="34">
        <f t="shared" si="7"/>
        <v>88.21</v>
      </c>
      <c r="L9" s="34">
        <f t="shared" si="8"/>
        <v>0.23999999999999488</v>
      </c>
      <c r="M9" s="287">
        <f t="shared" si="9"/>
        <v>2.7282027964078081E-3</v>
      </c>
    </row>
    <row r="10" spans="1:18" x14ac:dyDescent="0.2">
      <c r="A10" s="33" t="s">
        <v>38</v>
      </c>
      <c r="B10" s="46">
        <v>641</v>
      </c>
      <c r="C10" s="45">
        <f t="shared" si="0"/>
        <v>7.49</v>
      </c>
      <c r="D10" s="45">
        <f t="shared" si="1"/>
        <v>66.540000000000006</v>
      </c>
      <c r="E10" s="45">
        <f t="shared" si="2"/>
        <v>5.34</v>
      </c>
      <c r="F10" s="34">
        <f t="shared" si="3"/>
        <v>79.37</v>
      </c>
      <c r="G10" s="38"/>
      <c r="H10" s="45">
        <f t="shared" si="4"/>
        <v>7.49</v>
      </c>
      <c r="I10" s="45">
        <f t="shared" si="5"/>
        <v>66.739999999999995</v>
      </c>
      <c r="J10" s="45">
        <f t="shared" si="6"/>
        <v>5.36</v>
      </c>
      <c r="K10" s="34">
        <f t="shared" si="7"/>
        <v>79.589999999999989</v>
      </c>
      <c r="L10" s="34">
        <f t="shared" si="8"/>
        <v>0.21999999999998465</v>
      </c>
      <c r="M10" s="287">
        <f t="shared" si="9"/>
        <v>2.771828146654714E-3</v>
      </c>
    </row>
    <row r="11" spans="1:18" x14ac:dyDescent="0.2">
      <c r="A11" s="33" t="s">
        <v>39</v>
      </c>
      <c r="B11" s="46">
        <v>660</v>
      </c>
      <c r="C11" s="45">
        <f t="shared" si="0"/>
        <v>7.49</v>
      </c>
      <c r="D11" s="45">
        <f t="shared" si="1"/>
        <v>66.540000000000006</v>
      </c>
      <c r="E11" s="45">
        <f t="shared" si="2"/>
        <v>7.82</v>
      </c>
      <c r="F11" s="34">
        <f t="shared" si="3"/>
        <v>81.849999999999994</v>
      </c>
      <c r="G11" s="38"/>
      <c r="H11" s="45">
        <f t="shared" si="4"/>
        <v>7.49</v>
      </c>
      <c r="I11" s="45">
        <f t="shared" si="5"/>
        <v>66.739999999999995</v>
      </c>
      <c r="J11" s="45">
        <f t="shared" si="6"/>
        <v>7.84</v>
      </c>
      <c r="K11" s="34">
        <f t="shared" si="7"/>
        <v>82.07</v>
      </c>
      <c r="L11" s="34">
        <f t="shared" si="8"/>
        <v>0.21999999999999886</v>
      </c>
      <c r="M11" s="287">
        <f t="shared" si="9"/>
        <v>2.6878436163713976E-3</v>
      </c>
    </row>
    <row r="12" spans="1:18" x14ac:dyDescent="0.2">
      <c r="A12" s="33" t="s">
        <v>40</v>
      </c>
      <c r="B12" s="46">
        <v>673</v>
      </c>
      <c r="C12" s="45">
        <f t="shared" si="0"/>
        <v>7.49</v>
      </c>
      <c r="D12" s="45">
        <f t="shared" si="1"/>
        <v>66.540000000000006</v>
      </c>
      <c r="E12" s="45">
        <f t="shared" si="2"/>
        <v>9.51</v>
      </c>
      <c r="F12" s="34">
        <f t="shared" si="3"/>
        <v>83.54</v>
      </c>
      <c r="G12" s="38"/>
      <c r="H12" s="45">
        <f t="shared" si="4"/>
        <v>7.49</v>
      </c>
      <c r="I12" s="45">
        <f t="shared" si="5"/>
        <v>66.739999999999995</v>
      </c>
      <c r="J12" s="45">
        <f t="shared" si="6"/>
        <v>9.5399999999999991</v>
      </c>
      <c r="K12" s="34">
        <f t="shared" si="7"/>
        <v>83.769999999999982</v>
      </c>
      <c r="L12" s="34">
        <f t="shared" si="8"/>
        <v>0.22999999999997556</v>
      </c>
      <c r="M12" s="287">
        <f t="shared" si="9"/>
        <v>2.7531721331095949E-3</v>
      </c>
    </row>
    <row r="13" spans="1:18" x14ac:dyDescent="0.2">
      <c r="A13" s="33" t="s">
        <v>41</v>
      </c>
      <c r="B13" s="46">
        <v>640</v>
      </c>
      <c r="C13" s="45">
        <f t="shared" si="0"/>
        <v>7.49</v>
      </c>
      <c r="D13" s="45">
        <f t="shared" si="1"/>
        <v>66.540000000000006</v>
      </c>
      <c r="E13" s="45">
        <f t="shared" si="2"/>
        <v>5.21</v>
      </c>
      <c r="F13" s="34">
        <f t="shared" si="3"/>
        <v>79.239999999999995</v>
      </c>
      <c r="G13" s="38"/>
      <c r="H13" s="45">
        <f t="shared" si="4"/>
        <v>7.49</v>
      </c>
      <c r="I13" s="45">
        <f t="shared" si="5"/>
        <v>66.739999999999995</v>
      </c>
      <c r="J13" s="45">
        <f t="shared" si="6"/>
        <v>5.23</v>
      </c>
      <c r="K13" s="34">
        <f t="shared" si="7"/>
        <v>79.459999999999994</v>
      </c>
      <c r="L13" s="34">
        <f t="shared" si="8"/>
        <v>0.21999999999999886</v>
      </c>
      <c r="M13" s="287">
        <f t="shared" si="9"/>
        <v>2.7763755678949882E-3</v>
      </c>
    </row>
    <row r="14" spans="1:18" x14ac:dyDescent="0.2">
      <c r="A14" s="33" t="s">
        <v>42</v>
      </c>
      <c r="B14" s="46">
        <v>759</v>
      </c>
      <c r="C14" s="45">
        <f t="shared" si="0"/>
        <v>7.49</v>
      </c>
      <c r="D14" s="45">
        <f t="shared" si="1"/>
        <v>66.540000000000006</v>
      </c>
      <c r="E14" s="45">
        <f t="shared" si="2"/>
        <v>20.72</v>
      </c>
      <c r="F14" s="34">
        <f t="shared" si="3"/>
        <v>94.75</v>
      </c>
      <c r="G14" s="38"/>
      <c r="H14" s="45">
        <f t="shared" si="4"/>
        <v>7.49</v>
      </c>
      <c r="I14" s="45">
        <f t="shared" si="5"/>
        <v>66.739999999999995</v>
      </c>
      <c r="J14" s="45">
        <f t="shared" si="6"/>
        <v>20.77</v>
      </c>
      <c r="K14" s="34">
        <f t="shared" si="7"/>
        <v>94.999999999999986</v>
      </c>
      <c r="L14" s="34">
        <f t="shared" si="8"/>
        <v>0.24999999999998579</v>
      </c>
      <c r="M14" s="287">
        <f t="shared" si="9"/>
        <v>2.6385224274404831E-3</v>
      </c>
    </row>
    <row r="15" spans="1:18" x14ac:dyDescent="0.2">
      <c r="A15" s="33" t="s">
        <v>43</v>
      </c>
      <c r="B15" s="46">
        <v>971</v>
      </c>
      <c r="C15" s="45">
        <f t="shared" si="0"/>
        <v>7.49</v>
      </c>
      <c r="D15" s="45">
        <f t="shared" si="1"/>
        <v>66.540000000000006</v>
      </c>
      <c r="E15" s="45">
        <f t="shared" si="2"/>
        <v>48.35</v>
      </c>
      <c r="F15" s="34">
        <f t="shared" si="3"/>
        <v>122.38</v>
      </c>
      <c r="G15" s="38"/>
      <c r="H15" s="45">
        <f t="shared" si="4"/>
        <v>7.49</v>
      </c>
      <c r="I15" s="45">
        <f t="shared" si="5"/>
        <v>66.739999999999995</v>
      </c>
      <c r="J15" s="45">
        <f t="shared" si="6"/>
        <v>48.47</v>
      </c>
      <c r="K15" s="34">
        <f t="shared" si="7"/>
        <v>122.69999999999999</v>
      </c>
      <c r="L15" s="34">
        <f t="shared" si="8"/>
        <v>0.31999999999999318</v>
      </c>
      <c r="M15" s="287">
        <f t="shared" si="9"/>
        <v>2.6148063409053212E-3</v>
      </c>
    </row>
    <row r="16" spans="1:18" x14ac:dyDescent="0.2">
      <c r="A16" s="33" t="s">
        <v>44</v>
      </c>
      <c r="B16" s="46">
        <v>1079</v>
      </c>
      <c r="C16" s="45">
        <f t="shared" si="0"/>
        <v>7.49</v>
      </c>
      <c r="D16" s="45">
        <f t="shared" si="1"/>
        <v>66.540000000000006</v>
      </c>
      <c r="E16" s="45">
        <f t="shared" si="2"/>
        <v>62.43</v>
      </c>
      <c r="F16" s="34">
        <f t="shared" si="3"/>
        <v>136.46</v>
      </c>
      <c r="G16" s="38"/>
      <c r="H16" s="45">
        <f t="shared" si="4"/>
        <v>7.49</v>
      </c>
      <c r="I16" s="45">
        <f t="shared" si="5"/>
        <v>66.739999999999995</v>
      </c>
      <c r="J16" s="45">
        <f t="shared" si="6"/>
        <v>62.58</v>
      </c>
      <c r="K16" s="34">
        <f t="shared" si="7"/>
        <v>136.81</v>
      </c>
      <c r="L16" s="34">
        <f t="shared" si="8"/>
        <v>0.34999999999999432</v>
      </c>
      <c r="M16" s="287">
        <f t="shared" si="9"/>
        <v>2.5648541697200229E-3</v>
      </c>
    </row>
    <row r="17" spans="1:13" x14ac:dyDescent="0.2">
      <c r="A17" s="33" t="s">
        <v>45</v>
      </c>
      <c r="B17" s="46">
        <v>1093</v>
      </c>
      <c r="C17" s="45">
        <f t="shared" si="0"/>
        <v>7.49</v>
      </c>
      <c r="D17" s="45">
        <f t="shared" si="1"/>
        <v>66.540000000000006</v>
      </c>
      <c r="E17" s="45">
        <f t="shared" si="2"/>
        <v>64.25</v>
      </c>
      <c r="F17" s="34">
        <f t="shared" si="3"/>
        <v>138.28</v>
      </c>
      <c r="G17" s="38"/>
      <c r="H17" s="45">
        <f t="shared" si="4"/>
        <v>7.49</v>
      </c>
      <c r="I17" s="45">
        <f t="shared" si="5"/>
        <v>66.739999999999995</v>
      </c>
      <c r="J17" s="45">
        <f t="shared" si="6"/>
        <v>64.41</v>
      </c>
      <c r="K17" s="34">
        <f t="shared" si="7"/>
        <v>138.63999999999999</v>
      </c>
      <c r="L17" s="34">
        <f t="shared" si="8"/>
        <v>0.35999999999998522</v>
      </c>
      <c r="M17" s="287">
        <f t="shared" si="9"/>
        <v>2.6034133641884959E-3</v>
      </c>
    </row>
    <row r="18" spans="1:13" x14ac:dyDescent="0.2">
      <c r="A18" s="33" t="s">
        <v>46</v>
      </c>
      <c r="B18" s="46">
        <v>957</v>
      </c>
      <c r="C18" s="45">
        <f t="shared" si="0"/>
        <v>7.49</v>
      </c>
      <c r="D18" s="45">
        <f t="shared" si="1"/>
        <v>66.540000000000006</v>
      </c>
      <c r="E18" s="45">
        <f t="shared" si="2"/>
        <v>46.53</v>
      </c>
      <c r="F18" s="34">
        <f t="shared" si="3"/>
        <v>120.56</v>
      </c>
      <c r="G18" s="38"/>
      <c r="H18" s="45">
        <f t="shared" si="4"/>
        <v>7.49</v>
      </c>
      <c r="I18" s="45">
        <f t="shared" si="5"/>
        <v>66.739999999999995</v>
      </c>
      <c r="J18" s="45">
        <f t="shared" si="6"/>
        <v>46.64</v>
      </c>
      <c r="K18" s="34">
        <f t="shared" si="7"/>
        <v>120.86999999999999</v>
      </c>
      <c r="L18" s="34">
        <f t="shared" si="8"/>
        <v>0.30999999999998806</v>
      </c>
      <c r="M18" s="287">
        <f t="shared" si="9"/>
        <v>2.5713337757132387E-3</v>
      </c>
    </row>
    <row r="19" spans="1:13" x14ac:dyDescent="0.2">
      <c r="C19" s="45"/>
      <c r="G19" s="38"/>
      <c r="H19" s="45"/>
      <c r="M19" s="287"/>
    </row>
    <row r="20" spans="1:13" ht="10.8" thickBot="1" x14ac:dyDescent="0.25">
      <c r="A20" s="44" t="s">
        <v>47</v>
      </c>
      <c r="B20" s="39">
        <f>SUM(B7:B19)</f>
        <v>9982</v>
      </c>
      <c r="C20" s="43">
        <f>SUM(C7:C19)</f>
        <v>89.88</v>
      </c>
      <c r="D20" s="43">
        <f>SUM(D7:D19)</f>
        <v>798.4799999999999</v>
      </c>
      <c r="E20" s="43">
        <f>SUM(E7:E19)</f>
        <v>362.54999999999995</v>
      </c>
      <c r="F20" s="43">
        <f>SUM(F7:F19)</f>
        <v>1250.9100000000001</v>
      </c>
      <c r="G20" s="38"/>
      <c r="H20" s="43">
        <f>SUM(H7:H19)</f>
        <v>89.88</v>
      </c>
      <c r="I20" s="43">
        <f>SUM(I7:I19)</f>
        <v>800.88</v>
      </c>
      <c r="J20" s="43">
        <f>SUM(J7:J19)</f>
        <v>363.46000000000004</v>
      </c>
      <c r="K20" s="43">
        <f>SUM(K7:K19)</f>
        <v>1254.2199999999998</v>
      </c>
      <c r="L20" s="43">
        <f>+K20-F20</f>
        <v>3.3099999999997181</v>
      </c>
      <c r="M20" s="288">
        <f>+L20/F20</f>
        <v>2.6460736583764763E-3</v>
      </c>
    </row>
    <row r="21" spans="1:13" ht="10.8" thickTop="1" x14ac:dyDescent="0.2">
      <c r="G21" s="38"/>
      <c r="M21" s="287"/>
    </row>
    <row r="22" spans="1:13" ht="10.8" thickBot="1" x14ac:dyDescent="0.25">
      <c r="A22" s="42" t="s">
        <v>84</v>
      </c>
      <c r="B22" s="41">
        <f>ROUND(AVERAGE(B7:B18),-2)</f>
        <v>800</v>
      </c>
      <c r="C22" s="37">
        <f>ROUND(+$E$27,2)</f>
        <v>7.49</v>
      </c>
      <c r="D22" s="37">
        <f>ROUND(IF($B22&gt;600,600*$E$65,$B22*$E$39),2)</f>
        <v>66.540000000000006</v>
      </c>
      <c r="E22" s="37">
        <f>ROUND(IF($B22&gt;600,($B22-600)*$E$66,0),2)</f>
        <v>26.07</v>
      </c>
      <c r="F22" s="37">
        <f>SUM(C22:E22)</f>
        <v>100.1</v>
      </c>
      <c r="G22" s="38"/>
      <c r="H22" s="37">
        <f>ROUND(+$F$27,2)</f>
        <v>7.49</v>
      </c>
      <c r="I22" s="37">
        <f>ROUND(IF($B22&gt;600,600*$F$65,$B22*$F$39),2)</f>
        <v>66.739999999999995</v>
      </c>
      <c r="J22" s="37">
        <f>ROUND(IF($B22&gt;600,($B22-600)*$F$66,0),2)</f>
        <v>26.13</v>
      </c>
      <c r="K22" s="37">
        <f>SUM(H22:J22)</f>
        <v>100.35999999999999</v>
      </c>
      <c r="L22" s="37">
        <f>+K22-F22</f>
        <v>0.25999999999999091</v>
      </c>
      <c r="M22" s="288">
        <f>+L22/F22</f>
        <v>2.5974025974025068E-3</v>
      </c>
    </row>
    <row r="23" spans="1:13" ht="11.4" thickTop="1" thickBot="1" x14ac:dyDescent="0.25">
      <c r="A23" s="40" t="s">
        <v>84</v>
      </c>
      <c r="B23" s="39">
        <v>1000</v>
      </c>
      <c r="C23" s="37">
        <f>ROUND(+$E$27,2)</f>
        <v>7.49</v>
      </c>
      <c r="D23" s="37">
        <f>ROUND(IF($B23&gt;600,600*$E$65,$B23*$E$39),2)</f>
        <v>66.540000000000006</v>
      </c>
      <c r="E23" s="37">
        <f>ROUND(IF($B23&gt;600,($B23-600)*$E$66,0),2)</f>
        <v>52.13</v>
      </c>
      <c r="F23" s="37">
        <f>SUM(C23:E23)</f>
        <v>126.16</v>
      </c>
      <c r="G23" s="38"/>
      <c r="H23" s="37">
        <f>ROUND(+$F$27,2)</f>
        <v>7.49</v>
      </c>
      <c r="I23" s="37">
        <f>ROUND(IF($B23&gt;600,600*$F$65,$B23*$F$39),2)</f>
        <v>66.739999999999995</v>
      </c>
      <c r="J23" s="37">
        <f>ROUND(IF($B23&gt;600,($B23-600)*$F$66,0),2)</f>
        <v>52.26</v>
      </c>
      <c r="K23" s="37">
        <f>SUM(H23:J23)</f>
        <v>126.48999999999998</v>
      </c>
      <c r="L23" s="37">
        <f>+K23-F23</f>
        <v>0.32999999999998408</v>
      </c>
      <c r="M23" s="288">
        <f>+L23/F23</f>
        <v>2.6157260621431839E-3</v>
      </c>
    </row>
    <row r="24" spans="1:13" ht="10.8" thickTop="1" x14ac:dyDescent="0.2"/>
    <row r="25" spans="1:13" s="48" customFormat="1" ht="40.799999999999997" x14ac:dyDescent="0.2">
      <c r="A25" s="108" t="s">
        <v>85</v>
      </c>
      <c r="B25" s="109"/>
      <c r="C25" s="109"/>
      <c r="D25" s="109"/>
      <c r="E25" s="137" t="str">
        <f>"Present Rates Effective "&amp;TEXT(Inputs!B4,"MM/DD/YYYY")</f>
        <v>Present Rates Effective 01/11/2023</v>
      </c>
      <c r="F25" s="137" t="str">
        <f>"Proposed Rates Effective "&amp;TEXT(Inputs!B1,"MM/DD/YYYY")</f>
        <v>Proposed Rates Effective 03/01/2023</v>
      </c>
    </row>
    <row r="26" spans="1:13" x14ac:dyDescent="0.2">
      <c r="A26" s="309" t="s">
        <v>48</v>
      </c>
      <c r="B26" s="309"/>
      <c r="C26" s="309"/>
      <c r="D26" s="309"/>
      <c r="E26" s="263"/>
      <c r="F26" s="263"/>
      <c r="G26" s="264"/>
      <c r="H26" s="264"/>
    </row>
    <row r="27" spans="1:13" x14ac:dyDescent="0.2">
      <c r="A27" s="307" t="s">
        <v>86</v>
      </c>
      <c r="B27" s="307"/>
      <c r="C27" s="307"/>
      <c r="D27" s="307"/>
      <c r="E27" s="265">
        <v>7.49</v>
      </c>
      <c r="F27" s="266">
        <f>E27</f>
        <v>7.49</v>
      </c>
      <c r="G27" s="267" t="s">
        <v>49</v>
      </c>
      <c r="H27" s="267"/>
    </row>
    <row r="28" spans="1:13" ht="10.8" thickBot="1" x14ac:dyDescent="0.25">
      <c r="A28" s="310" t="s">
        <v>71</v>
      </c>
      <c r="B28" s="310"/>
      <c r="C28" s="310"/>
      <c r="D28" s="310"/>
      <c r="E28" s="268">
        <f>SUM(E27)</f>
        <v>7.49</v>
      </c>
      <c r="F28" s="268">
        <f>SUM(F27:F27)</f>
        <v>7.49</v>
      </c>
      <c r="G28" s="264"/>
      <c r="H28" s="264"/>
    </row>
    <row r="29" spans="1:13" ht="10.8" thickTop="1" x14ac:dyDescent="0.2">
      <c r="A29" s="309" t="s">
        <v>50</v>
      </c>
      <c r="B29" s="309"/>
      <c r="C29" s="309"/>
      <c r="D29" s="309"/>
      <c r="E29" s="269"/>
      <c r="F29" s="269"/>
      <c r="G29" s="264"/>
      <c r="H29" s="264"/>
    </row>
    <row r="30" spans="1:13" x14ac:dyDescent="0.2">
      <c r="A30" s="307" t="s">
        <v>51</v>
      </c>
      <c r="B30" s="307"/>
      <c r="C30" s="307"/>
      <c r="D30" s="307"/>
      <c r="E30" s="270">
        <v>8.9437000000000003E-2</v>
      </c>
      <c r="F30" s="271">
        <f t="shared" ref="F30:F38" si="10">E30</f>
        <v>8.9437000000000003E-2</v>
      </c>
      <c r="G30" s="267" t="s">
        <v>29</v>
      </c>
      <c r="H30" s="267"/>
    </row>
    <row r="31" spans="1:13" x14ac:dyDescent="0.2">
      <c r="A31" s="307" t="s">
        <v>55</v>
      </c>
      <c r="B31" s="307"/>
      <c r="C31" s="307"/>
      <c r="D31" s="307"/>
      <c r="E31" s="272">
        <v>2.6870000000000002E-3</v>
      </c>
      <c r="F31" s="271">
        <f t="shared" si="10"/>
        <v>2.6870000000000002E-3</v>
      </c>
      <c r="G31" s="267" t="s">
        <v>29</v>
      </c>
      <c r="H31" s="267"/>
    </row>
    <row r="32" spans="1:13" s="147" customFormat="1" x14ac:dyDescent="0.2">
      <c r="A32" s="307" t="s">
        <v>69</v>
      </c>
      <c r="B32" s="307"/>
      <c r="C32" s="307"/>
      <c r="D32" s="307"/>
      <c r="E32" s="272">
        <v>2.7980000000000001E-3</v>
      </c>
      <c r="F32" s="271">
        <f t="shared" si="10"/>
        <v>2.7980000000000001E-3</v>
      </c>
      <c r="G32" s="267" t="s">
        <v>29</v>
      </c>
      <c r="H32" s="267"/>
      <c r="I32" s="148"/>
      <c r="J32" s="148"/>
    </row>
    <row r="33" spans="1:10" x14ac:dyDescent="0.2">
      <c r="A33" s="307" t="s">
        <v>227</v>
      </c>
      <c r="B33" s="307"/>
      <c r="C33" s="307"/>
      <c r="D33" s="307"/>
      <c r="E33" s="272">
        <v>1.828E-3</v>
      </c>
      <c r="F33" s="271">
        <f t="shared" si="10"/>
        <v>1.828E-3</v>
      </c>
      <c r="G33" s="267" t="s">
        <v>29</v>
      </c>
      <c r="H33" s="267"/>
      <c r="I33" s="36"/>
      <c r="J33" s="36"/>
    </row>
    <row r="34" spans="1:10" x14ac:dyDescent="0.2">
      <c r="A34" s="307" t="s">
        <v>228</v>
      </c>
      <c r="B34" s="307"/>
      <c r="C34" s="307"/>
      <c r="D34" s="307"/>
      <c r="E34" s="272">
        <v>2.6689999999999999E-3</v>
      </c>
      <c r="F34" s="271">
        <f t="shared" si="10"/>
        <v>2.6689999999999999E-3</v>
      </c>
      <c r="G34" s="267" t="s">
        <v>29</v>
      </c>
      <c r="H34" s="267"/>
      <c r="I34" s="36"/>
      <c r="J34" s="36"/>
    </row>
    <row r="35" spans="1:10" x14ac:dyDescent="0.2">
      <c r="A35" s="307" t="s">
        <v>229</v>
      </c>
      <c r="B35" s="307"/>
      <c r="C35" s="307"/>
      <c r="D35" s="307"/>
      <c r="E35" s="272">
        <v>1.0007E-2</v>
      </c>
      <c r="F35" s="271">
        <f t="shared" si="10"/>
        <v>1.0007E-2</v>
      </c>
      <c r="G35" s="267" t="s">
        <v>29</v>
      </c>
      <c r="H35" s="267"/>
      <c r="I35" s="36"/>
      <c r="J35" s="36"/>
    </row>
    <row r="36" spans="1:10" x14ac:dyDescent="0.2">
      <c r="A36" s="307" t="s">
        <v>230</v>
      </c>
      <c r="B36" s="307"/>
      <c r="C36" s="307"/>
      <c r="D36" s="307"/>
      <c r="E36" s="272">
        <v>5.0289999999999996E-3</v>
      </c>
      <c r="F36" s="271">
        <f t="shared" si="10"/>
        <v>5.0289999999999996E-3</v>
      </c>
      <c r="G36" s="267" t="s">
        <v>29</v>
      </c>
      <c r="H36" s="267"/>
      <c r="I36" s="36"/>
      <c r="J36" s="36"/>
    </row>
    <row r="37" spans="1:10" x14ac:dyDescent="0.2">
      <c r="A37" s="311" t="s">
        <v>231</v>
      </c>
      <c r="B37" s="311"/>
      <c r="C37" s="311"/>
      <c r="D37" s="311"/>
      <c r="E37" s="273">
        <v>0</v>
      </c>
      <c r="F37" s="273">
        <v>3.19E-4</v>
      </c>
      <c r="G37" s="274" t="s">
        <v>29</v>
      </c>
      <c r="H37" s="274"/>
      <c r="I37" s="36"/>
      <c r="J37" s="36"/>
    </row>
    <row r="38" spans="1:10" x14ac:dyDescent="0.2">
      <c r="A38" s="307" t="s">
        <v>112</v>
      </c>
      <c r="B38" s="307"/>
      <c r="C38" s="307"/>
      <c r="D38" s="307"/>
      <c r="E38" s="272">
        <v>-8.8400000000000002E-4</v>
      </c>
      <c r="F38" s="271">
        <f t="shared" si="10"/>
        <v>-8.8400000000000002E-4</v>
      </c>
      <c r="G38" s="267" t="s">
        <v>29</v>
      </c>
      <c r="H38" s="267"/>
      <c r="I38" s="36"/>
      <c r="J38" s="36"/>
    </row>
    <row r="39" spans="1:10" x14ac:dyDescent="0.2">
      <c r="A39" s="307" t="s">
        <v>70</v>
      </c>
      <c r="B39" s="307"/>
      <c r="C39" s="307"/>
      <c r="D39" s="307"/>
      <c r="E39" s="272">
        <v>-3.0829999999999998E-3</v>
      </c>
      <c r="F39" s="271">
        <f>E39</f>
        <v>-3.0829999999999998E-3</v>
      </c>
      <c r="G39" s="267" t="s">
        <v>29</v>
      </c>
      <c r="H39" s="267"/>
      <c r="I39" s="36"/>
      <c r="J39" s="36"/>
    </row>
    <row r="40" spans="1:10" x14ac:dyDescent="0.2">
      <c r="A40" s="307" t="s">
        <v>122</v>
      </c>
      <c r="B40" s="307"/>
      <c r="C40" s="307"/>
      <c r="D40" s="307"/>
      <c r="E40" s="272">
        <v>0</v>
      </c>
      <c r="F40" s="275">
        <f>E40</f>
        <v>0</v>
      </c>
      <c r="G40" s="267" t="s">
        <v>29</v>
      </c>
      <c r="H40" s="267"/>
    </row>
    <row r="41" spans="1:10" ht="10.8" thickBot="1" x14ac:dyDescent="0.25">
      <c r="A41" s="312" t="s">
        <v>72</v>
      </c>
      <c r="B41" s="312"/>
      <c r="C41" s="312"/>
      <c r="D41" s="312"/>
      <c r="E41" s="276">
        <f>SUM(E30:E40)</f>
        <v>0.110488</v>
      </c>
      <c r="F41" s="276">
        <f>SUM(F30:F40)</f>
        <v>0.110807</v>
      </c>
      <c r="G41" s="267" t="s">
        <v>29</v>
      </c>
      <c r="H41" s="267"/>
    </row>
    <row r="42" spans="1:10" ht="10.8" thickTop="1" x14ac:dyDescent="0.2">
      <c r="A42" s="306"/>
      <c r="B42" s="306"/>
      <c r="C42" s="306"/>
      <c r="D42" s="306"/>
      <c r="E42" s="271"/>
      <c r="F42" s="271"/>
      <c r="G42" s="267"/>
      <c r="H42" s="267"/>
    </row>
    <row r="43" spans="1:10" x14ac:dyDescent="0.2">
      <c r="A43" s="306" t="s">
        <v>52</v>
      </c>
      <c r="B43" s="306"/>
      <c r="C43" s="306"/>
      <c r="D43" s="306"/>
      <c r="E43" s="277">
        <v>0.10885400000000001</v>
      </c>
      <c r="F43" s="271">
        <f>E43</f>
        <v>0.10885400000000001</v>
      </c>
      <c r="G43" s="267" t="s">
        <v>29</v>
      </c>
      <c r="H43" s="267"/>
    </row>
    <row r="44" spans="1:10" s="147" customFormat="1" x14ac:dyDescent="0.2">
      <c r="A44" s="307" t="s">
        <v>55</v>
      </c>
      <c r="B44" s="307"/>
      <c r="C44" s="307"/>
      <c r="D44" s="307"/>
      <c r="E44" s="271">
        <f t="shared" ref="E44:E49" si="11">+E31</f>
        <v>2.6870000000000002E-3</v>
      </c>
      <c r="F44" s="271">
        <f t="shared" ref="F44:F53" si="12">F31</f>
        <v>2.6870000000000002E-3</v>
      </c>
      <c r="G44" s="267" t="s">
        <v>29</v>
      </c>
      <c r="H44" s="267"/>
    </row>
    <row r="45" spans="1:10" x14ac:dyDescent="0.2">
      <c r="A45" s="307" t="s">
        <v>69</v>
      </c>
      <c r="B45" s="307"/>
      <c r="C45" s="307"/>
      <c r="D45" s="307"/>
      <c r="E45" s="271">
        <f t="shared" si="11"/>
        <v>2.7980000000000001E-3</v>
      </c>
      <c r="F45" s="271">
        <f t="shared" si="12"/>
        <v>2.7980000000000001E-3</v>
      </c>
      <c r="G45" s="267" t="s">
        <v>29</v>
      </c>
      <c r="H45" s="267"/>
      <c r="I45" s="36"/>
      <c r="J45" s="36"/>
    </row>
    <row r="46" spans="1:10" x14ac:dyDescent="0.2">
      <c r="A46" s="307" t="s">
        <v>227</v>
      </c>
      <c r="B46" s="307"/>
      <c r="C46" s="307"/>
      <c r="D46" s="307"/>
      <c r="E46" s="271">
        <f t="shared" si="11"/>
        <v>1.828E-3</v>
      </c>
      <c r="F46" s="271">
        <f t="shared" si="12"/>
        <v>1.828E-3</v>
      </c>
      <c r="G46" s="267" t="s">
        <v>29</v>
      </c>
      <c r="H46" s="267"/>
    </row>
    <row r="47" spans="1:10" x14ac:dyDescent="0.2">
      <c r="A47" s="307" t="s">
        <v>228</v>
      </c>
      <c r="B47" s="307"/>
      <c r="C47" s="307"/>
      <c r="D47" s="307"/>
      <c r="E47" s="271">
        <f t="shared" si="11"/>
        <v>2.6689999999999999E-3</v>
      </c>
      <c r="F47" s="271">
        <f t="shared" si="12"/>
        <v>2.6689999999999999E-3</v>
      </c>
      <c r="G47" s="267" t="s">
        <v>29</v>
      </c>
      <c r="H47" s="267"/>
    </row>
    <row r="48" spans="1:10" x14ac:dyDescent="0.2">
      <c r="A48" s="307" t="s">
        <v>229</v>
      </c>
      <c r="B48" s="307"/>
      <c r="C48" s="307"/>
      <c r="D48" s="307"/>
      <c r="E48" s="271">
        <f t="shared" si="11"/>
        <v>1.0007E-2</v>
      </c>
      <c r="F48" s="271">
        <f t="shared" si="12"/>
        <v>1.0007E-2</v>
      </c>
      <c r="G48" s="267" t="s">
        <v>29</v>
      </c>
      <c r="H48" s="267"/>
      <c r="I48" s="36"/>
      <c r="J48" s="36"/>
    </row>
    <row r="49" spans="1:10" x14ac:dyDescent="0.2">
      <c r="A49" s="307" t="s">
        <v>230</v>
      </c>
      <c r="B49" s="307"/>
      <c r="C49" s="307"/>
      <c r="D49" s="307"/>
      <c r="E49" s="271">
        <f t="shared" si="11"/>
        <v>5.0289999999999996E-3</v>
      </c>
      <c r="F49" s="271">
        <f t="shared" si="12"/>
        <v>5.0289999999999996E-3</v>
      </c>
      <c r="G49" s="267" t="s">
        <v>29</v>
      </c>
      <c r="H49" s="267"/>
      <c r="I49" s="36"/>
      <c r="J49" s="36"/>
    </row>
    <row r="50" spans="1:10" x14ac:dyDescent="0.2">
      <c r="A50" s="311" t="s">
        <v>231</v>
      </c>
      <c r="B50" s="311"/>
      <c r="C50" s="311"/>
      <c r="D50" s="311"/>
      <c r="E50" s="278">
        <f>E37</f>
        <v>0</v>
      </c>
      <c r="F50" s="278">
        <f t="shared" si="12"/>
        <v>3.19E-4</v>
      </c>
      <c r="G50" s="274" t="s">
        <v>29</v>
      </c>
      <c r="H50" s="274"/>
      <c r="I50" s="36"/>
      <c r="J50" s="36"/>
    </row>
    <row r="51" spans="1:10" x14ac:dyDescent="0.2">
      <c r="A51" s="307" t="s">
        <v>112</v>
      </c>
      <c r="B51" s="307"/>
      <c r="C51" s="307"/>
      <c r="D51" s="307"/>
      <c r="E51" s="271">
        <f>+E38</f>
        <v>-8.8400000000000002E-4</v>
      </c>
      <c r="F51" s="271">
        <f t="shared" si="12"/>
        <v>-8.8400000000000002E-4</v>
      </c>
      <c r="G51" s="267" t="s">
        <v>29</v>
      </c>
      <c r="H51" s="267"/>
      <c r="I51" s="36"/>
      <c r="J51" s="36"/>
    </row>
    <row r="52" spans="1:10" x14ac:dyDescent="0.2">
      <c r="A52" s="307" t="s">
        <v>70</v>
      </c>
      <c r="B52" s="307"/>
      <c r="C52" s="307"/>
      <c r="D52" s="307"/>
      <c r="E52" s="271">
        <f t="shared" ref="E52:E53" si="13">+E39</f>
        <v>-3.0829999999999998E-3</v>
      </c>
      <c r="F52" s="271">
        <f t="shared" si="12"/>
        <v>-3.0829999999999998E-3</v>
      </c>
      <c r="G52" s="267" t="s">
        <v>29</v>
      </c>
      <c r="H52" s="267"/>
      <c r="I52" s="36"/>
      <c r="J52" s="36"/>
    </row>
    <row r="53" spans="1:10" x14ac:dyDescent="0.2">
      <c r="A53" s="307" t="s">
        <v>122</v>
      </c>
      <c r="B53" s="307"/>
      <c r="C53" s="307"/>
      <c r="D53" s="307"/>
      <c r="E53" s="271">
        <f t="shared" si="13"/>
        <v>0</v>
      </c>
      <c r="F53" s="271">
        <f t="shared" si="12"/>
        <v>0</v>
      </c>
      <c r="G53" s="267" t="s">
        <v>29</v>
      </c>
      <c r="H53" s="267"/>
    </row>
    <row r="54" spans="1:10" ht="10.8" thickBot="1" x14ac:dyDescent="0.25">
      <c r="A54" s="312" t="s">
        <v>73</v>
      </c>
      <c r="B54" s="312"/>
      <c r="C54" s="312"/>
      <c r="D54" s="312"/>
      <c r="E54" s="276">
        <f>SUM(E43:E53)</f>
        <v>0.12990499999999999</v>
      </c>
      <c r="F54" s="276">
        <f>SUM(F43:F53)</f>
        <v>0.13022400000000001</v>
      </c>
      <c r="G54" s="267" t="s">
        <v>29</v>
      </c>
      <c r="H54" s="267"/>
    </row>
    <row r="55" spans="1:10" ht="10.8" thickTop="1" x14ac:dyDescent="0.2">
      <c r="A55" s="306"/>
      <c r="B55" s="306"/>
      <c r="C55" s="306"/>
      <c r="D55" s="306"/>
      <c r="E55" s="271"/>
      <c r="F55" s="271"/>
      <c r="G55" s="267"/>
      <c r="H55" s="267"/>
      <c r="I55" s="36"/>
      <c r="J55" s="36"/>
    </row>
    <row r="56" spans="1:10" x14ac:dyDescent="0.2">
      <c r="A56" s="312" t="s">
        <v>56</v>
      </c>
      <c r="B56" s="312"/>
      <c r="C56" s="312"/>
      <c r="D56" s="312"/>
      <c r="E56" s="272">
        <v>-6.6889999999999996E-3</v>
      </c>
      <c r="F56" s="271">
        <f>E56</f>
        <v>-6.6889999999999996E-3</v>
      </c>
      <c r="G56" s="267" t="s">
        <v>29</v>
      </c>
      <c r="H56" s="267"/>
      <c r="I56" s="36"/>
      <c r="J56" s="36"/>
    </row>
    <row r="57" spans="1:10" x14ac:dyDescent="0.2">
      <c r="A57" s="306"/>
      <c r="B57" s="306"/>
      <c r="C57" s="306"/>
      <c r="D57" s="306"/>
      <c r="E57" s="271"/>
      <c r="F57" s="271"/>
      <c r="G57" s="267"/>
      <c r="H57" s="267"/>
      <c r="I57" s="36"/>
      <c r="J57" s="36"/>
    </row>
    <row r="58" spans="1:10" x14ac:dyDescent="0.2">
      <c r="A58" s="306" t="s">
        <v>87</v>
      </c>
      <c r="B58" s="306"/>
      <c r="C58" s="306"/>
      <c r="D58" s="306"/>
      <c r="E58" s="271"/>
      <c r="F58" s="271"/>
      <c r="G58" s="267" t="s">
        <v>29</v>
      </c>
      <c r="H58" s="267"/>
      <c r="I58" s="36"/>
      <c r="J58" s="36"/>
    </row>
    <row r="59" spans="1:10" x14ac:dyDescent="0.2">
      <c r="A59" s="307" t="s">
        <v>53</v>
      </c>
      <c r="B59" s="307"/>
      <c r="C59" s="307"/>
      <c r="D59" s="307"/>
      <c r="E59" s="272">
        <v>0</v>
      </c>
      <c r="F59" s="271">
        <f>E59</f>
        <v>0</v>
      </c>
      <c r="G59" s="267" t="s">
        <v>29</v>
      </c>
      <c r="H59" s="267"/>
      <c r="I59" s="36"/>
      <c r="J59" s="36"/>
    </row>
    <row r="60" spans="1:10" x14ac:dyDescent="0.2">
      <c r="A60" s="307" t="s">
        <v>123</v>
      </c>
      <c r="B60" s="307"/>
      <c r="C60" s="307"/>
      <c r="D60" s="307"/>
      <c r="E60" s="272">
        <v>2.1350000000000002E-3</v>
      </c>
      <c r="F60" s="271">
        <f>E60</f>
        <v>2.1350000000000002E-3</v>
      </c>
      <c r="G60" s="267" t="s">
        <v>29</v>
      </c>
      <c r="H60" s="267"/>
    </row>
    <row r="61" spans="1:10" s="147" customFormat="1" x14ac:dyDescent="0.2">
      <c r="A61" s="307" t="s">
        <v>68</v>
      </c>
      <c r="B61" s="307"/>
      <c r="C61" s="307"/>
      <c r="D61" s="307"/>
      <c r="E61" s="272">
        <v>5.1E-5</v>
      </c>
      <c r="F61" s="271">
        <f>E61</f>
        <v>5.1E-5</v>
      </c>
      <c r="G61" s="267" t="s">
        <v>29</v>
      </c>
      <c r="H61" s="267"/>
    </row>
    <row r="62" spans="1:10" s="147" customFormat="1" x14ac:dyDescent="0.2">
      <c r="A62" s="307" t="s">
        <v>54</v>
      </c>
      <c r="B62" s="307"/>
      <c r="C62" s="307"/>
      <c r="D62" s="307"/>
      <c r="E62" s="272">
        <v>4.9230000000000003E-3</v>
      </c>
      <c r="F62" s="271">
        <f>E62</f>
        <v>4.9230000000000003E-3</v>
      </c>
      <c r="G62" s="267" t="s">
        <v>29</v>
      </c>
      <c r="H62" s="267"/>
    </row>
    <row r="63" spans="1:10" s="147" customFormat="1" ht="10.8" thickBot="1" x14ac:dyDescent="0.25">
      <c r="A63" s="310" t="s">
        <v>88</v>
      </c>
      <c r="B63" s="310"/>
      <c r="C63" s="310"/>
      <c r="D63" s="310"/>
      <c r="E63" s="276">
        <f>SUM(E59:E62)</f>
        <v>7.1090000000000007E-3</v>
      </c>
      <c r="F63" s="276">
        <f>SUM(F59:F62)</f>
        <v>7.1090000000000007E-3</v>
      </c>
      <c r="G63" s="267" t="s">
        <v>29</v>
      </c>
      <c r="H63" s="264"/>
    </row>
    <row r="64" spans="1:10" ht="10.8" thickTop="1" x14ac:dyDescent="0.2">
      <c r="A64" s="309"/>
      <c r="B64" s="309"/>
      <c r="C64" s="309"/>
      <c r="D64" s="309"/>
      <c r="E64" s="279"/>
      <c r="F64" s="279"/>
      <c r="G64" s="264"/>
      <c r="H64" s="264"/>
    </row>
    <row r="65" spans="1:9" x14ac:dyDescent="0.2">
      <c r="A65" s="310" t="s">
        <v>89</v>
      </c>
      <c r="B65" s="310"/>
      <c r="C65" s="310"/>
      <c r="D65" s="310"/>
      <c r="E65" s="279">
        <f>SUM(E41,E56:E56,E63)</f>
        <v>0.11090800000000001</v>
      </c>
      <c r="F65" s="279">
        <f>SUM(F41,F56:F56,F63)</f>
        <v>0.11122700000000001</v>
      </c>
      <c r="G65" s="267" t="s">
        <v>29</v>
      </c>
      <c r="H65" s="264"/>
      <c r="I65" s="35"/>
    </row>
    <row r="66" spans="1:9" x14ac:dyDescent="0.2">
      <c r="A66" s="310" t="s">
        <v>90</v>
      </c>
      <c r="B66" s="310"/>
      <c r="C66" s="310"/>
      <c r="D66" s="310"/>
      <c r="E66" s="280">
        <f>SUM(E54,E56:E56,E63)</f>
        <v>0.130325</v>
      </c>
      <c r="F66" s="280">
        <f>SUM(F54,F56:F56,F63)</f>
        <v>0.13064400000000001</v>
      </c>
      <c r="G66" s="267" t="s">
        <v>29</v>
      </c>
      <c r="H66" s="264"/>
      <c r="I66" s="35"/>
    </row>
  </sheetData>
  <mergeCells count="43">
    <mergeCell ref="A54:D54"/>
    <mergeCell ref="A55:D55"/>
    <mergeCell ref="A66:D66"/>
    <mergeCell ref="A57:D57"/>
    <mergeCell ref="A58:D58"/>
    <mergeCell ref="A59:D59"/>
    <mergeCell ref="A60:D60"/>
    <mergeCell ref="A64:D64"/>
    <mergeCell ref="A65:D65"/>
    <mergeCell ref="A56:D56"/>
    <mergeCell ref="A61:D61"/>
    <mergeCell ref="A62:D62"/>
    <mergeCell ref="A63:D63"/>
    <mergeCell ref="A50:D50"/>
    <mergeCell ref="A51:D51"/>
    <mergeCell ref="A49:D49"/>
    <mergeCell ref="A52:D52"/>
    <mergeCell ref="A53:D53"/>
    <mergeCell ref="A39:D39"/>
    <mergeCell ref="A40:D40"/>
    <mergeCell ref="A38:D38"/>
    <mergeCell ref="A41:D41"/>
    <mergeCell ref="A42:D42"/>
    <mergeCell ref="A33:D33"/>
    <mergeCell ref="A34:D34"/>
    <mergeCell ref="A35:D35"/>
    <mergeCell ref="A36:D36"/>
    <mergeCell ref="A37:D37"/>
    <mergeCell ref="A32:D32"/>
    <mergeCell ref="C5:F5"/>
    <mergeCell ref="H5:K5"/>
    <mergeCell ref="A26:D26"/>
    <mergeCell ref="A27:D27"/>
    <mergeCell ref="A28:D28"/>
    <mergeCell ref="A29:D29"/>
    <mergeCell ref="A30:D30"/>
    <mergeCell ref="A31:D31"/>
    <mergeCell ref="A43:D43"/>
    <mergeCell ref="A44:D44"/>
    <mergeCell ref="A45:D45"/>
    <mergeCell ref="A46:D46"/>
    <mergeCell ref="A48:D48"/>
    <mergeCell ref="A47:D47"/>
  </mergeCells>
  <printOptions horizontalCentered="1"/>
  <pageMargins left="0.25" right="0.25" top="0.75" bottom="0.75" header="0.3" footer="0.3"/>
  <pageSetup scale="52" orientation="landscape" r:id="rId1"/>
  <headerFooter>
    <oddFooter>&amp;L&amp;"Times New Roman,Regular"&amp;F
&amp;A&amp;R&amp;"Times New Roman,Regular"Page &amp;P of &amp;N</oddFooter>
  </headerFooter>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34"/>
  <sheetViews>
    <sheetView zoomScale="115" zoomScaleNormal="115" workbookViewId="0">
      <selection activeCell="E27" sqref="E27"/>
    </sheetView>
  </sheetViews>
  <sheetFormatPr defaultColWidth="9.109375" defaultRowHeight="10.199999999999999" x14ac:dyDescent="0.2"/>
  <cols>
    <col min="1" max="1" width="8.33203125" style="70" bestFit="1" customWidth="1"/>
    <col min="2" max="2" width="16.88671875" style="65" bestFit="1" customWidth="1"/>
    <col min="3" max="3" width="9.33203125" style="65" bestFit="1" customWidth="1"/>
    <col min="4" max="4" width="13.33203125" style="60" bestFit="1" customWidth="1"/>
    <col min="5" max="6" width="12" style="65" bestFit="1" customWidth="1"/>
    <col min="7" max="7" width="13.109375" style="65" bestFit="1" customWidth="1"/>
    <col min="8" max="8" width="10.5546875" style="65" customWidth="1"/>
    <col min="9" max="9" width="8.44140625" style="65" customWidth="1"/>
    <col min="10" max="16384" width="9.109375" style="65"/>
  </cols>
  <sheetData>
    <row r="1" spans="1:13" s="71" customFormat="1" x14ac:dyDescent="0.2">
      <c r="A1" s="313" t="s">
        <v>13</v>
      </c>
      <c r="B1" s="314"/>
      <c r="C1" s="314"/>
      <c r="D1" s="314"/>
      <c r="E1" s="314"/>
      <c r="F1" s="314"/>
      <c r="G1" s="314"/>
      <c r="H1" s="315"/>
    </row>
    <row r="2" spans="1:13" s="71" customFormat="1" x14ac:dyDescent="0.2">
      <c r="A2" s="316" t="s">
        <v>163</v>
      </c>
      <c r="B2" s="317"/>
      <c r="C2" s="317"/>
      <c r="D2" s="317"/>
      <c r="E2" s="317"/>
      <c r="F2" s="317"/>
      <c r="G2" s="317"/>
      <c r="H2" s="318"/>
    </row>
    <row r="3" spans="1:13" s="71" customFormat="1" x14ac:dyDescent="0.2">
      <c r="A3" s="118"/>
      <c r="D3" s="119"/>
      <c r="H3" s="72"/>
    </row>
    <row r="4" spans="1:13" s="71" customFormat="1" ht="12.75" customHeight="1" x14ac:dyDescent="0.2">
      <c r="A4" s="118"/>
      <c r="D4" s="119"/>
      <c r="H4" s="72"/>
    </row>
    <row r="5" spans="1:13" s="82" customFormat="1" ht="41.4" thickBot="1" x14ac:dyDescent="0.25">
      <c r="A5" s="80" t="s">
        <v>0</v>
      </c>
      <c r="B5" s="81" t="s">
        <v>60</v>
      </c>
      <c r="C5" s="81" t="s">
        <v>93</v>
      </c>
      <c r="D5" s="68" t="s">
        <v>208</v>
      </c>
      <c r="E5" s="120" t="s">
        <v>210</v>
      </c>
      <c r="F5" s="120" t="s">
        <v>211</v>
      </c>
      <c r="G5" s="286" t="str">
        <f>+'Rate Impacts'!D6</f>
        <v>Annual kWh Delivered Sales  03/01/23 to 02/29/24 (F2022)</v>
      </c>
      <c r="H5" s="285" t="str">
        <f>"$ per kWh Proposed Eff  "
&amp;TEXT(Inputs!B7,"mmmm d, yyyy")</f>
        <v>$ per kWh Proposed Eff  March 1, 2023</v>
      </c>
    </row>
    <row r="6" spans="1:13" s="67" customFormat="1" ht="39" customHeight="1" x14ac:dyDescent="0.2">
      <c r="A6" s="66"/>
      <c r="D6" s="85" t="s">
        <v>14</v>
      </c>
      <c r="E6" s="87" t="s">
        <v>15</v>
      </c>
      <c r="F6" s="88" t="s">
        <v>204</v>
      </c>
      <c r="G6" s="87" t="s">
        <v>62</v>
      </c>
      <c r="H6" s="121" t="s">
        <v>205</v>
      </c>
      <c r="I6" s="65"/>
      <c r="J6" s="65"/>
      <c r="K6" s="65"/>
      <c r="L6" s="65"/>
      <c r="M6" s="65"/>
    </row>
    <row r="7" spans="1:13" x14ac:dyDescent="0.2">
      <c r="A7" s="69">
        <v>1</v>
      </c>
      <c r="B7" s="65" t="s">
        <v>1</v>
      </c>
      <c r="C7" s="70">
        <v>7</v>
      </c>
      <c r="D7" s="139">
        <f>'TEP 12NCP'!C19</f>
        <v>0.57223089050328813</v>
      </c>
      <c r="E7" s="122"/>
      <c r="F7" s="100">
        <f>D7*($E$22)</f>
        <v>3444043.0435115644</v>
      </c>
      <c r="G7" s="51">
        <f>+'Estimated Proforma Net Revenue'!C9</f>
        <v>10811271269.433828</v>
      </c>
      <c r="H7" s="123">
        <f>(+F7/G7)</f>
        <v>3.1856041326506503E-4</v>
      </c>
    </row>
    <row r="8" spans="1:13" x14ac:dyDescent="0.2">
      <c r="A8" s="69">
        <f t="shared" ref="A8:A29" si="0">+A7+1</f>
        <v>2</v>
      </c>
      <c r="C8" s="124"/>
      <c r="D8" s="139"/>
      <c r="E8" s="122"/>
      <c r="F8" s="73"/>
      <c r="G8" s="51"/>
      <c r="H8" s="125"/>
    </row>
    <row r="9" spans="1:13" x14ac:dyDescent="0.2">
      <c r="A9" s="69">
        <f t="shared" si="0"/>
        <v>3</v>
      </c>
      <c r="B9" s="75" t="s">
        <v>2</v>
      </c>
      <c r="C9" s="74" t="s">
        <v>94</v>
      </c>
      <c r="D9" s="139">
        <f>'TEP 12NCP'!D19</f>
        <v>0.1264093688446058</v>
      </c>
      <c r="E9" s="122"/>
      <c r="F9" s="73">
        <f>D9*($E$22)</f>
        <v>760810.56550625071</v>
      </c>
      <c r="G9" s="51">
        <f>SUM('Estimated Proforma Net Revenue'!C12:C12)</f>
        <v>2743164635.732255</v>
      </c>
      <c r="H9" s="123">
        <f t="shared" ref="H9:H12" si="1">(+F9/G9)</f>
        <v>2.7734775944396111E-4</v>
      </c>
    </row>
    <row r="10" spans="1:13" x14ac:dyDescent="0.2">
      <c r="A10" s="69">
        <f t="shared" si="0"/>
        <v>4</v>
      </c>
      <c r="B10" s="65" t="s">
        <v>3</v>
      </c>
      <c r="C10" s="74" t="s">
        <v>95</v>
      </c>
      <c r="D10" s="139">
        <f>'TEP 12NCP'!E19</f>
        <v>0.13854255085763822</v>
      </c>
      <c r="E10" s="122"/>
      <c r="F10" s="73">
        <f>D10*($E$22)</f>
        <v>833835.63598242041</v>
      </c>
      <c r="G10" s="51">
        <f>SUM('Estimated Proforma Net Revenue'!C13:C13)</f>
        <v>2901136837.913403</v>
      </c>
      <c r="H10" s="123">
        <f t="shared" si="1"/>
        <v>2.8741685848301577E-4</v>
      </c>
    </row>
    <row r="11" spans="1:13" x14ac:dyDescent="0.2">
      <c r="A11" s="69">
        <f t="shared" si="0"/>
        <v>5</v>
      </c>
      <c r="B11" s="65" t="s">
        <v>4</v>
      </c>
      <c r="C11" s="74" t="s">
        <v>96</v>
      </c>
      <c r="D11" s="139">
        <f>'TEP 12NCP'!F19</f>
        <v>7.3896354052064794E-2</v>
      </c>
      <c r="E11" s="122"/>
      <c r="F11" s="73">
        <f>D11*($E$22)</f>
        <v>444754.4310130509</v>
      </c>
      <c r="G11" s="51">
        <f>SUM('Estimated Proforma Net Revenue'!C14:C14)</f>
        <v>1830801957.4203374</v>
      </c>
      <c r="H11" s="123">
        <f t="shared" si="1"/>
        <v>2.4292874999965868E-4</v>
      </c>
    </row>
    <row r="12" spans="1:13" x14ac:dyDescent="0.2">
      <c r="A12" s="69">
        <f t="shared" si="0"/>
        <v>6</v>
      </c>
      <c r="B12" s="65" t="s">
        <v>5</v>
      </c>
      <c r="C12" s="74">
        <v>29</v>
      </c>
      <c r="D12" s="139">
        <f>'TEP 12NCP'!G19</f>
        <v>9.2314119066839312E-4</v>
      </c>
      <c r="E12" s="122"/>
      <c r="F12" s="73">
        <f>D12*($E$22)</f>
        <v>5556.0404876153625</v>
      </c>
      <c r="G12" s="51">
        <f>+'Estimated Proforma Net Revenue'!C15</f>
        <v>15002821.548252858</v>
      </c>
      <c r="H12" s="123">
        <f t="shared" si="1"/>
        <v>3.7033303833853751E-4</v>
      </c>
    </row>
    <row r="13" spans="1:13" x14ac:dyDescent="0.2">
      <c r="A13" s="69">
        <f t="shared" si="0"/>
        <v>7</v>
      </c>
      <c r="C13" s="74"/>
      <c r="D13" s="139"/>
      <c r="E13" s="122"/>
      <c r="F13" s="73"/>
      <c r="G13" s="51"/>
      <c r="H13" s="125"/>
    </row>
    <row r="14" spans="1:13" x14ac:dyDescent="0.2">
      <c r="A14" s="69">
        <f t="shared" si="0"/>
        <v>8</v>
      </c>
      <c r="B14" s="65" t="s">
        <v>6</v>
      </c>
      <c r="C14" s="74" t="s">
        <v>97</v>
      </c>
      <c r="D14" s="139">
        <f>'TEP 12NCP'!H19</f>
        <v>5.5727249089061744E-2</v>
      </c>
      <c r="E14" s="122"/>
      <c r="F14" s="73">
        <f>D14*($E$22)</f>
        <v>335401.40482527204</v>
      </c>
      <c r="G14" s="51">
        <f>SUM('Estimated Proforma Net Revenue'!C18:C18)</f>
        <v>1329024599.8352115</v>
      </c>
      <c r="H14" s="123">
        <f t="shared" ref="H14:H16" si="2">(+F14/G14)</f>
        <v>2.523665889005058E-4</v>
      </c>
    </row>
    <row r="15" spans="1:13" x14ac:dyDescent="0.2">
      <c r="A15" s="69">
        <f t="shared" si="0"/>
        <v>9</v>
      </c>
      <c r="B15" s="65" t="s">
        <v>7</v>
      </c>
      <c r="C15" s="74">
        <v>35</v>
      </c>
      <c r="D15" s="139">
        <f>'TEP 12NCP'!I19</f>
        <v>4.6313082149665945E-4</v>
      </c>
      <c r="E15" s="122"/>
      <c r="F15" s="73">
        <f>D15*($E$22)</f>
        <v>2787.4106597225036</v>
      </c>
      <c r="G15" s="51">
        <f>+'Estimated Proforma Net Revenue'!C19</f>
        <v>4706241.1306298776</v>
      </c>
      <c r="H15" s="123">
        <f t="shared" si="2"/>
        <v>5.9227960964028208E-4</v>
      </c>
    </row>
    <row r="16" spans="1:13" s="166" customFormat="1" x14ac:dyDescent="0.2">
      <c r="A16" s="167">
        <f t="shared" si="0"/>
        <v>10</v>
      </c>
      <c r="B16" s="166" t="s">
        <v>8</v>
      </c>
      <c r="C16" s="74">
        <v>43</v>
      </c>
      <c r="D16" s="139">
        <f>'TEP 12NCP'!J19</f>
        <v>8.5993047363658384E-3</v>
      </c>
      <c r="E16" s="122"/>
      <c r="F16" s="100">
        <f>D16*($E$22)</f>
        <v>51755.988968488993</v>
      </c>
      <c r="G16" s="51">
        <f>+'Estimated Proforma Net Revenue'!C20</f>
        <v>120467009.7637714</v>
      </c>
      <c r="H16" s="123">
        <f t="shared" si="2"/>
        <v>4.2962790451908281E-4</v>
      </c>
    </row>
    <row r="17" spans="1:8" x14ac:dyDescent="0.2">
      <c r="A17" s="167">
        <f t="shared" si="0"/>
        <v>11</v>
      </c>
      <c r="B17" s="166"/>
      <c r="C17" s="74"/>
      <c r="D17" s="139"/>
      <c r="E17" s="122"/>
      <c r="F17" s="73"/>
      <c r="H17" s="125"/>
    </row>
    <row r="18" spans="1:8" s="166" customFormat="1" x14ac:dyDescent="0.2">
      <c r="A18" s="167">
        <f t="shared" si="0"/>
        <v>12</v>
      </c>
      <c r="B18" s="75" t="s">
        <v>78</v>
      </c>
      <c r="C18" s="74">
        <v>46</v>
      </c>
      <c r="D18" s="139">
        <f>'TEP 12NCP'!K19</f>
        <v>4.7310681094302753E-3</v>
      </c>
      <c r="E18" s="122"/>
      <c r="F18" s="100">
        <f>D18*($E$22)</f>
        <v>28474.523974635234</v>
      </c>
      <c r="G18" s="51">
        <f>+'Estimated Proforma Net Revenue'!C23</f>
        <v>89523424.544402152</v>
      </c>
      <c r="H18" s="123">
        <f>(+F18/G18)</f>
        <v>3.180678589938473E-4</v>
      </c>
    </row>
    <row r="19" spans="1:8" x14ac:dyDescent="0.2">
      <c r="A19" s="167">
        <f t="shared" si="0"/>
        <v>13</v>
      </c>
      <c r="B19" s="75" t="s">
        <v>79</v>
      </c>
      <c r="C19" s="74">
        <v>49</v>
      </c>
      <c r="D19" s="139">
        <f>'TEP 12NCP'!L19</f>
        <v>1.8476941795380175E-2</v>
      </c>
      <c r="E19" s="122"/>
      <c r="F19" s="73">
        <f t="shared" ref="F19" si="3">D19*($E$22)</f>
        <v>111205.78058933277</v>
      </c>
      <c r="G19" s="51">
        <f>+'Estimated Proforma Net Revenue'!C24</f>
        <v>506483348.17290127</v>
      </c>
      <c r="H19" s="123">
        <f t="shared" ref="H19" si="4">(+F19/G19)</f>
        <v>2.1956453453109338E-4</v>
      </c>
    </row>
    <row r="20" spans="1:8" x14ac:dyDescent="0.2">
      <c r="A20" s="167">
        <f t="shared" si="0"/>
        <v>14</v>
      </c>
      <c r="B20" s="75"/>
      <c r="C20" s="74"/>
      <c r="D20" s="139"/>
      <c r="E20" s="122"/>
      <c r="F20" s="73"/>
      <c r="G20" s="51"/>
      <c r="H20" s="125"/>
    </row>
    <row r="21" spans="1:8" x14ac:dyDescent="0.2">
      <c r="A21" s="167">
        <f t="shared" si="0"/>
        <v>15</v>
      </c>
      <c r="C21" s="74"/>
      <c r="D21" s="140"/>
      <c r="F21" s="73"/>
      <c r="H21" s="125"/>
    </row>
    <row r="22" spans="1:8" ht="12" x14ac:dyDescent="0.35">
      <c r="A22" s="167">
        <f t="shared" si="0"/>
        <v>16</v>
      </c>
      <c r="B22" s="65" t="s">
        <v>10</v>
      </c>
      <c r="C22" s="74"/>
      <c r="D22" s="140">
        <f>SUM(D7:D19)</f>
        <v>1</v>
      </c>
      <c r="E22" s="291">
        <f>'Rev Req 2023'!G38</f>
        <v>6018624.8255183529</v>
      </c>
      <c r="F22" s="73">
        <f>SUM(F7:F19)</f>
        <v>6018624.8255183529</v>
      </c>
      <c r="G22" s="141">
        <f>SUM(G7:G19)</f>
        <v>20351582145.494995</v>
      </c>
      <c r="H22" s="123">
        <f>(+F22/G22)</f>
        <v>2.9573252745121979E-4</v>
      </c>
    </row>
    <row r="23" spans="1:8" x14ac:dyDescent="0.2">
      <c r="A23" s="167">
        <f t="shared" si="0"/>
        <v>17</v>
      </c>
      <c r="C23" s="74"/>
      <c r="F23" s="73"/>
      <c r="H23" s="126"/>
    </row>
    <row r="24" spans="1:8" s="166" customFormat="1" x14ac:dyDescent="0.2">
      <c r="A24" s="167">
        <f t="shared" si="0"/>
        <v>18</v>
      </c>
      <c r="B24" s="255" t="s">
        <v>209</v>
      </c>
      <c r="C24" s="74"/>
      <c r="D24" s="190"/>
      <c r="F24" s="100"/>
      <c r="H24" s="169"/>
    </row>
    <row r="25" spans="1:8" x14ac:dyDescent="0.2">
      <c r="A25" s="167">
        <f t="shared" si="0"/>
        <v>19</v>
      </c>
      <c r="B25" s="65" t="s">
        <v>9</v>
      </c>
      <c r="C25" s="74" t="s">
        <v>59</v>
      </c>
      <c r="D25" s="139"/>
      <c r="E25" s="122"/>
      <c r="F25" s="73"/>
      <c r="G25" s="51">
        <f>+'Estimated Proforma Net Revenue'!C27</f>
        <v>62167183.412781127</v>
      </c>
      <c r="H25" s="123"/>
    </row>
    <row r="26" spans="1:8" x14ac:dyDescent="0.2">
      <c r="A26" s="167">
        <f t="shared" si="0"/>
        <v>20</v>
      </c>
      <c r="B26" s="75" t="s">
        <v>61</v>
      </c>
      <c r="C26" s="74">
        <v>5</v>
      </c>
      <c r="D26" s="139"/>
      <c r="E26" s="122"/>
      <c r="F26" s="73"/>
      <c r="G26" s="51">
        <f>+'Estimated Proforma Net Revenue'!C33</f>
        <v>7099000</v>
      </c>
      <c r="H26" s="123"/>
    </row>
    <row r="27" spans="1:8" x14ac:dyDescent="0.2">
      <c r="A27" s="167">
        <f t="shared" si="0"/>
        <v>21</v>
      </c>
      <c r="B27" s="65" t="s">
        <v>11</v>
      </c>
      <c r="C27" s="74" t="s">
        <v>111</v>
      </c>
      <c r="E27" s="51"/>
      <c r="F27" s="73"/>
      <c r="G27" s="51">
        <f>+'Estimated Proforma Net Revenue'!C29</f>
        <v>2245720268.8083301</v>
      </c>
      <c r="H27" s="127"/>
    </row>
    <row r="28" spans="1:8" x14ac:dyDescent="0.2">
      <c r="A28" s="167">
        <f t="shared" si="0"/>
        <v>22</v>
      </c>
      <c r="H28" s="128"/>
    </row>
    <row r="29" spans="1:8" x14ac:dyDescent="0.2">
      <c r="A29" s="69">
        <f t="shared" si="0"/>
        <v>23</v>
      </c>
      <c r="B29" s="65" t="s">
        <v>12</v>
      </c>
      <c r="F29" s="73"/>
      <c r="G29" s="51">
        <f>SUM(G25:G27)+G22</f>
        <v>22666568597.716106</v>
      </c>
      <c r="H29" s="125"/>
    </row>
    <row r="30" spans="1:8" x14ac:dyDescent="0.2">
      <c r="A30" s="69"/>
      <c r="F30" s="73"/>
      <c r="G30" s="51"/>
      <c r="H30" s="128"/>
    </row>
    <row r="31" spans="1:8" ht="10.8" thickBot="1" x14ac:dyDescent="0.25">
      <c r="A31" s="76"/>
      <c r="B31" s="77"/>
      <c r="C31" s="77"/>
      <c r="D31" s="78"/>
      <c r="E31" s="77"/>
      <c r="F31" s="77"/>
      <c r="G31" s="77"/>
      <c r="H31" s="79"/>
    </row>
    <row r="33" spans="3:7" x14ac:dyDescent="0.2">
      <c r="D33" s="131"/>
      <c r="E33" s="50"/>
      <c r="F33" s="50"/>
      <c r="G33" s="132">
        <f>'Rate Impacts'!D36</f>
        <v>22666568597.716106</v>
      </c>
    </row>
    <row r="34" spans="3:7" x14ac:dyDescent="0.2">
      <c r="C34" s="133"/>
      <c r="D34" s="129"/>
      <c r="E34" s="134"/>
      <c r="F34" s="134"/>
      <c r="G34" s="130">
        <f>+G29-G33</f>
        <v>0</v>
      </c>
    </row>
  </sheetData>
  <mergeCells count="2">
    <mergeCell ref="A1:H1"/>
    <mergeCell ref="A2:H2"/>
  </mergeCells>
  <phoneticPr fontId="5" type="noConversion"/>
  <printOptions horizontalCentered="1"/>
  <pageMargins left="0.7" right="0.7" top="0.75" bottom="0.75" header="0.3" footer="0.3"/>
  <pageSetup scale="75" fitToHeight="6" orientation="landscape" r:id="rId1"/>
  <headerFooter alignWithMargins="0">
    <oddFooter>&amp;L&amp;F
&amp;A&amp;RSchedule 95A Filing Eff 1-1-21
Page &amp;P of &amp;N</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7"/>
  <sheetViews>
    <sheetView zoomScaleNormal="100" workbookViewId="0">
      <pane xSplit="2" ySplit="8" topLeftCell="C9" activePane="bottomRight" state="frozen"/>
      <selection activeCell="L8" sqref="L8"/>
      <selection pane="topRight" activeCell="L8" sqref="L8"/>
      <selection pane="bottomLeft" activeCell="L8" sqref="L8"/>
      <selection pane="bottomRight" activeCell="A4" sqref="A4"/>
    </sheetView>
  </sheetViews>
  <sheetFormatPr defaultColWidth="6.44140625" defaultRowHeight="10.199999999999999" x14ac:dyDescent="0.2"/>
  <cols>
    <col min="1" max="1" width="4.44140625" style="36" bestFit="1" customWidth="1"/>
    <col min="2" max="2" width="22.6640625" style="36" bestFit="1" customWidth="1"/>
    <col min="3" max="3" width="13.33203125" style="36" bestFit="1" customWidth="1"/>
    <col min="4" max="4" width="14.88671875" style="36" bestFit="1" customWidth="1"/>
    <col min="5" max="5" width="13.88671875" style="36" customWidth="1"/>
    <col min="6" max="6" width="10.6640625" style="36" bestFit="1" customWidth="1"/>
    <col min="7" max="8" width="11.5546875" style="36" bestFit="1" customWidth="1"/>
    <col min="9" max="10" width="11.33203125" style="36" bestFit="1" customWidth="1"/>
    <col min="11" max="11" width="11.88671875" style="36" bestFit="1" customWidth="1"/>
    <col min="12" max="12" width="11.33203125" style="36" bestFit="1" customWidth="1"/>
    <col min="13" max="16" width="11.33203125" style="148" customWidth="1"/>
    <col min="17" max="17" width="11.5546875" style="36" customWidth="1"/>
    <col min="18" max="18" width="12.33203125" style="36" bestFit="1" customWidth="1"/>
    <col min="19" max="19" width="11.33203125" style="36" bestFit="1" customWidth="1"/>
    <col min="20" max="20" width="11.88671875" style="36" bestFit="1" customWidth="1"/>
    <col min="21" max="21" width="11.33203125" style="36" bestFit="1" customWidth="1"/>
    <col min="22" max="22" width="11.33203125" style="36" customWidth="1"/>
    <col min="23" max="23" width="12.88671875" style="36" bestFit="1" customWidth="1"/>
    <col min="24" max="24" width="11.33203125" style="36" customWidth="1"/>
    <col min="25" max="25" width="18.33203125" style="36" customWidth="1"/>
    <col min="26" max="16384" width="6.44140625" style="36"/>
  </cols>
  <sheetData>
    <row r="1" spans="1:25" s="102" customFormat="1" x14ac:dyDescent="0.2">
      <c r="A1" s="221" t="s">
        <v>13</v>
      </c>
      <c r="B1" s="221"/>
      <c r="C1" s="221"/>
      <c r="D1" s="221"/>
      <c r="E1" s="221"/>
      <c r="F1" s="221"/>
      <c r="G1" s="221"/>
      <c r="H1" s="221"/>
      <c r="I1" s="221"/>
      <c r="J1" s="221"/>
      <c r="K1" s="221"/>
      <c r="L1" s="221"/>
      <c r="M1" s="221"/>
      <c r="N1" s="221"/>
      <c r="O1" s="221"/>
      <c r="P1" s="221"/>
      <c r="Q1" s="221"/>
      <c r="R1" s="221"/>
      <c r="S1" s="221"/>
      <c r="T1" s="221"/>
      <c r="U1" s="221"/>
      <c r="V1" s="221"/>
      <c r="W1" s="221"/>
      <c r="X1" s="221"/>
      <c r="Y1" s="221"/>
    </row>
    <row r="2" spans="1:25" s="102" customFormat="1" x14ac:dyDescent="0.2">
      <c r="A2" s="284" t="str">
        <f>"Statement of Proforma and Proposed Revenues for "&amp;'Lead Sheet'!A5</f>
        <v>Statement of Proforma and Proposed Revenues for Transportation Electrification Plan (TEP) Rider</v>
      </c>
      <c r="B2" s="222"/>
      <c r="C2" s="222"/>
      <c r="D2" s="222"/>
      <c r="E2" s="222"/>
      <c r="F2" s="222"/>
      <c r="G2" s="222"/>
      <c r="H2" s="222"/>
      <c r="I2" s="222"/>
      <c r="J2" s="222"/>
      <c r="K2" s="222"/>
      <c r="L2" s="222"/>
      <c r="M2" s="222"/>
      <c r="N2" s="222"/>
      <c r="O2" s="222"/>
      <c r="P2" s="222"/>
      <c r="Q2" s="222"/>
      <c r="R2" s="222"/>
      <c r="S2" s="222"/>
      <c r="T2" s="222"/>
      <c r="U2" s="221"/>
      <c r="V2" s="221"/>
      <c r="W2" s="221"/>
      <c r="X2" s="221"/>
      <c r="Y2" s="222"/>
    </row>
    <row r="3" spans="1:25" s="102" customFormat="1" x14ac:dyDescent="0.2">
      <c r="A3" s="284" t="str">
        <f>"Test Year Ended "&amp;TEXT(Inputs!B8,"mmmm d, yyyy")&amp;" ("&amp;Inputs!B6&amp;")"</f>
        <v>Test Year Ended February 29, 2024 (F2022)</v>
      </c>
      <c r="B3" s="222"/>
      <c r="C3" s="222"/>
      <c r="D3" s="222"/>
      <c r="E3" s="222"/>
      <c r="F3" s="222"/>
      <c r="G3" s="222"/>
      <c r="H3" s="222"/>
      <c r="I3" s="222"/>
      <c r="J3" s="222"/>
      <c r="K3" s="222"/>
      <c r="L3" s="222"/>
      <c r="M3" s="222"/>
      <c r="N3" s="222"/>
      <c r="O3" s="222"/>
      <c r="P3" s="222"/>
      <c r="Q3" s="222"/>
      <c r="R3" s="222"/>
      <c r="S3" s="222"/>
      <c r="T3" s="222"/>
      <c r="U3" s="221"/>
      <c r="V3" s="221"/>
      <c r="W3" s="221"/>
      <c r="X3" s="221"/>
      <c r="Y3" s="222"/>
    </row>
    <row r="4" spans="1:25" s="102" customFormat="1" x14ac:dyDescent="0.2">
      <c r="A4" s="143"/>
      <c r="B4" s="142"/>
      <c r="C4" s="142"/>
      <c r="D4" s="142"/>
      <c r="E4" s="142"/>
      <c r="F4" s="142"/>
      <c r="G4" s="142"/>
      <c r="H4" s="142"/>
      <c r="I4" s="142"/>
      <c r="J4" s="142"/>
      <c r="K4" s="142"/>
      <c r="L4" s="142"/>
      <c r="M4" s="142"/>
      <c r="N4" s="142"/>
      <c r="O4" s="142"/>
      <c r="P4" s="142"/>
      <c r="Q4" s="142"/>
      <c r="R4" s="142"/>
      <c r="S4" s="142"/>
      <c r="T4" s="142"/>
      <c r="Y4" s="142"/>
    </row>
    <row r="5" spans="1:25" s="102" customFormat="1" x14ac:dyDescent="0.2">
      <c r="A5" s="103"/>
      <c r="B5" s="104"/>
      <c r="C5" s="104"/>
      <c r="D5" s="104"/>
      <c r="E5" s="104"/>
      <c r="F5" s="104"/>
      <c r="G5" s="104"/>
      <c r="H5" s="104"/>
      <c r="I5" s="104"/>
      <c r="J5" s="104"/>
      <c r="K5" s="104"/>
      <c r="L5" s="104"/>
      <c r="M5" s="223"/>
      <c r="N5" s="223"/>
      <c r="O5" s="223"/>
      <c r="P5" s="223"/>
      <c r="Q5" s="104"/>
      <c r="R5" s="104"/>
      <c r="S5" s="104"/>
      <c r="T5" s="104"/>
      <c r="Y5" s="104"/>
    </row>
    <row r="6" spans="1:25" s="102" customFormat="1" x14ac:dyDescent="0.2">
      <c r="A6" s="103"/>
      <c r="B6" s="104"/>
      <c r="C6" s="104"/>
      <c r="D6" s="144" t="s">
        <v>127</v>
      </c>
      <c r="E6" s="219" t="s">
        <v>128</v>
      </c>
      <c r="F6" s="219"/>
      <c r="G6" s="219"/>
      <c r="H6" s="219"/>
      <c r="I6" s="219"/>
      <c r="J6" s="219"/>
      <c r="K6" s="219"/>
      <c r="L6" s="219"/>
      <c r="M6" s="219"/>
      <c r="N6" s="219"/>
      <c r="O6" s="219"/>
      <c r="P6" s="219"/>
      <c r="Q6" s="219"/>
      <c r="R6" s="219"/>
      <c r="S6" s="219"/>
      <c r="T6" s="219"/>
      <c r="U6" s="219"/>
      <c r="V6" s="220"/>
      <c r="Y6" s="104"/>
    </row>
    <row r="7" spans="1:25" s="107" customFormat="1" ht="51" x14ac:dyDescent="0.2">
      <c r="A7" s="105" t="s">
        <v>0</v>
      </c>
      <c r="B7" s="105" t="s">
        <v>91</v>
      </c>
      <c r="C7" s="106" t="s">
        <v>235</v>
      </c>
      <c r="D7" s="106" t="s">
        <v>236</v>
      </c>
      <c r="E7" s="106" t="s">
        <v>237</v>
      </c>
      <c r="F7" s="106" t="s">
        <v>238</v>
      </c>
      <c r="G7" s="106" t="s">
        <v>239</v>
      </c>
      <c r="H7" s="106" t="s">
        <v>240</v>
      </c>
      <c r="I7" s="106" t="s">
        <v>241</v>
      </c>
      <c r="J7" s="106" t="s">
        <v>242</v>
      </c>
      <c r="K7" s="106" t="s">
        <v>243</v>
      </c>
      <c r="L7" s="106" t="s">
        <v>244</v>
      </c>
      <c r="M7" s="106" t="s">
        <v>245</v>
      </c>
      <c r="N7" s="106" t="s">
        <v>246</v>
      </c>
      <c r="O7" s="106" t="s">
        <v>247</v>
      </c>
      <c r="P7" s="106" t="s">
        <v>248</v>
      </c>
      <c r="Q7" s="106" t="s">
        <v>249</v>
      </c>
      <c r="R7" s="106" t="s">
        <v>250</v>
      </c>
      <c r="S7" s="106" t="s">
        <v>251</v>
      </c>
      <c r="T7" s="106" t="s">
        <v>252</v>
      </c>
      <c r="U7" s="106" t="s">
        <v>253</v>
      </c>
      <c r="V7" s="106" t="s">
        <v>232</v>
      </c>
      <c r="W7" s="106" t="s">
        <v>254</v>
      </c>
      <c r="X7" s="106" t="s">
        <v>162</v>
      </c>
      <c r="Y7" s="106" t="s">
        <v>221</v>
      </c>
    </row>
    <row r="8" spans="1:25" s="84" customFormat="1" ht="30.75" customHeight="1" x14ac:dyDescent="0.2">
      <c r="A8" s="67"/>
      <c r="B8" s="67"/>
      <c r="C8" s="85" t="s">
        <v>14</v>
      </c>
      <c r="D8" s="85" t="s">
        <v>15</v>
      </c>
      <c r="E8" s="86" t="s">
        <v>16</v>
      </c>
      <c r="F8" s="87" t="s">
        <v>62</v>
      </c>
      <c r="G8" s="87" t="s">
        <v>98</v>
      </c>
      <c r="H8" s="88" t="s">
        <v>82</v>
      </c>
      <c r="I8" s="88" t="s">
        <v>103</v>
      </c>
      <c r="J8" s="88" t="s">
        <v>99</v>
      </c>
      <c r="K8" s="87" t="s">
        <v>100</v>
      </c>
      <c r="L8" s="87" t="s">
        <v>83</v>
      </c>
      <c r="M8" s="87" t="s">
        <v>101</v>
      </c>
      <c r="N8" s="87" t="s">
        <v>102</v>
      </c>
      <c r="O8" s="87" t="s">
        <v>110</v>
      </c>
      <c r="P8" s="87" t="s">
        <v>119</v>
      </c>
      <c r="Q8" s="88" t="s">
        <v>124</v>
      </c>
      <c r="R8" s="87" t="s">
        <v>125</v>
      </c>
      <c r="S8" s="87" t="s">
        <v>129</v>
      </c>
      <c r="T8" s="88" t="s">
        <v>222</v>
      </c>
      <c r="U8" s="88" t="s">
        <v>130</v>
      </c>
      <c r="V8" s="86" t="s">
        <v>223</v>
      </c>
      <c r="W8" s="88" t="s">
        <v>224</v>
      </c>
      <c r="X8" s="88" t="s">
        <v>225</v>
      </c>
      <c r="Y8" s="86" t="s">
        <v>226</v>
      </c>
    </row>
    <row r="9" spans="1:25" s="84" customFormat="1" x14ac:dyDescent="0.2">
      <c r="A9" s="83">
        <v>1</v>
      </c>
      <c r="B9" s="42">
        <v>7</v>
      </c>
      <c r="C9" s="89">
        <v>10811271269.433828</v>
      </c>
      <c r="D9" s="90">
        <v>1149498000</v>
      </c>
      <c r="E9" s="90">
        <v>23078024.246433329</v>
      </c>
      <c r="F9" s="90">
        <v>0</v>
      </c>
      <c r="G9" s="90">
        <v>551374.83474112523</v>
      </c>
      <c r="H9" s="90">
        <v>53223888.459422737</v>
      </c>
      <c r="I9" s="90">
        <v>29049885.900968697</v>
      </c>
      <c r="J9" s="90">
        <v>0</v>
      </c>
      <c r="K9" s="90">
        <v>0</v>
      </c>
      <c r="L9" s="90">
        <v>30249937.011875853</v>
      </c>
      <c r="M9" s="90">
        <v>19763003.880525038</v>
      </c>
      <c r="N9" s="90">
        <v>28855283.018118888</v>
      </c>
      <c r="O9" s="90">
        <v>108188391.59322432</v>
      </c>
      <c r="P9" s="90">
        <v>54369883.213982716</v>
      </c>
      <c r="Q9" s="90">
        <v>0</v>
      </c>
      <c r="R9" s="90">
        <v>-9557163.8021795042</v>
      </c>
      <c r="S9" s="90">
        <v>-33331149.32366449</v>
      </c>
      <c r="T9" s="90">
        <v>0</v>
      </c>
      <c r="U9" s="90">
        <v>-72318063.854135528</v>
      </c>
      <c r="V9" s="94">
        <f>SUM(E9:U9)</f>
        <v>232123295.17931318</v>
      </c>
      <c r="W9" s="94">
        <f>SUM(D9,V9)</f>
        <v>1381621295.1793132</v>
      </c>
      <c r="X9" s="94">
        <f>-Q9</f>
        <v>0</v>
      </c>
      <c r="Y9" s="94">
        <f>SUM(W9:X9)</f>
        <v>1381621295.1793132</v>
      </c>
    </row>
    <row r="10" spans="1:25" x14ac:dyDescent="0.2">
      <c r="A10" s="83">
        <f>+A9+1</f>
        <v>2</v>
      </c>
      <c r="B10" s="91" t="s">
        <v>1</v>
      </c>
      <c r="C10" s="92">
        <f t="shared" ref="C10" si="0">SUM(C9:C9)</f>
        <v>10811271269.433828</v>
      </c>
      <c r="D10" s="93">
        <f t="shared" ref="D10" si="1">SUM(D9:D9)</f>
        <v>1149498000</v>
      </c>
      <c r="E10" s="93">
        <f t="shared" ref="E10:U10" si="2">SUM(E9:E9)</f>
        <v>23078024.246433329</v>
      </c>
      <c r="F10" s="93">
        <f t="shared" si="2"/>
        <v>0</v>
      </c>
      <c r="G10" s="93">
        <f t="shared" si="2"/>
        <v>551374.83474112523</v>
      </c>
      <c r="H10" s="93">
        <f t="shared" si="2"/>
        <v>53223888.459422737</v>
      </c>
      <c r="I10" s="93">
        <f t="shared" si="2"/>
        <v>29049885.900968697</v>
      </c>
      <c r="J10" s="93">
        <f t="shared" si="2"/>
        <v>0</v>
      </c>
      <c r="K10" s="93">
        <f t="shared" si="2"/>
        <v>0</v>
      </c>
      <c r="L10" s="93">
        <f t="shared" si="2"/>
        <v>30249937.011875853</v>
      </c>
      <c r="M10" s="93">
        <f t="shared" si="2"/>
        <v>19763003.880525038</v>
      </c>
      <c r="N10" s="93">
        <f t="shared" si="2"/>
        <v>28855283.018118888</v>
      </c>
      <c r="O10" s="93">
        <f t="shared" si="2"/>
        <v>108188391.59322432</v>
      </c>
      <c r="P10" s="93">
        <f t="shared" si="2"/>
        <v>54369883.213982716</v>
      </c>
      <c r="Q10" s="93">
        <f t="shared" si="2"/>
        <v>0</v>
      </c>
      <c r="R10" s="93">
        <f t="shared" si="2"/>
        <v>-9557163.8021795042</v>
      </c>
      <c r="S10" s="93">
        <f t="shared" si="2"/>
        <v>-33331149.32366449</v>
      </c>
      <c r="T10" s="93">
        <f t="shared" si="2"/>
        <v>0</v>
      </c>
      <c r="U10" s="93">
        <f t="shared" si="2"/>
        <v>-72318063.854135528</v>
      </c>
      <c r="V10" s="93">
        <f t="shared" ref="V10:X10" si="3">SUM(V9:V9)</f>
        <v>232123295.17931318</v>
      </c>
      <c r="W10" s="93">
        <f t="shared" si="3"/>
        <v>1381621295.1793132</v>
      </c>
      <c r="X10" s="93">
        <f t="shared" si="3"/>
        <v>0</v>
      </c>
      <c r="Y10" s="93">
        <f>SUM(Y9:Y9)</f>
        <v>1381621295.1793132</v>
      </c>
    </row>
    <row r="11" spans="1:25" x14ac:dyDescent="0.2">
      <c r="A11" s="83">
        <f t="shared" ref="A11:A35" si="4">+A10+1</f>
        <v>3</v>
      </c>
      <c r="B11" s="83"/>
      <c r="C11" s="59"/>
      <c r="D11" s="94"/>
      <c r="E11" s="94"/>
      <c r="F11" s="94"/>
      <c r="G11" s="94"/>
      <c r="H11" s="94"/>
      <c r="I11" s="94"/>
      <c r="J11" s="94"/>
      <c r="K11" s="94"/>
      <c r="L11" s="94"/>
      <c r="M11" s="94"/>
      <c r="N11" s="94"/>
      <c r="O11" s="94"/>
      <c r="P11" s="94"/>
      <c r="Q11" s="94"/>
      <c r="R11" s="94"/>
      <c r="S11" s="94"/>
      <c r="T11" s="94"/>
      <c r="U11" s="94"/>
      <c r="V11" s="94"/>
      <c r="W11" s="94"/>
      <c r="X11" s="94"/>
      <c r="Y11" s="94"/>
    </row>
    <row r="12" spans="1:25" x14ac:dyDescent="0.2">
      <c r="A12" s="83">
        <f t="shared" si="4"/>
        <v>4</v>
      </c>
      <c r="B12" s="42" t="s">
        <v>104</v>
      </c>
      <c r="C12" s="89">
        <v>2743164635.732255</v>
      </c>
      <c r="D12" s="90">
        <v>274728000</v>
      </c>
      <c r="E12" s="90">
        <v>5911030.865182057</v>
      </c>
      <c r="F12" s="90">
        <v>0</v>
      </c>
      <c r="G12" s="90">
        <v>139901.39642234502</v>
      </c>
      <c r="H12" s="90">
        <v>13241255.696679594</v>
      </c>
      <c r="I12" s="90">
        <v>7239211.4736974211</v>
      </c>
      <c r="J12" s="90">
        <v>-153669.61779083172</v>
      </c>
      <c r="K12" s="90">
        <v>-177663.167065938</v>
      </c>
      <c r="L12" s="90">
        <v>6449180.0586065315</v>
      </c>
      <c r="M12" s="90">
        <v>4795051.7832599813</v>
      </c>
      <c r="N12" s="90">
        <v>6435464.2354278704</v>
      </c>
      <c r="O12" s="90">
        <v>21404913.652618788</v>
      </c>
      <c r="P12" s="90">
        <v>10758691.701341905</v>
      </c>
      <c r="Q12" s="90">
        <v>0</v>
      </c>
      <c r="R12" s="90">
        <v>-1955876.385277098</v>
      </c>
      <c r="S12" s="90">
        <v>5384832.179942416</v>
      </c>
      <c r="T12" s="90">
        <v>0</v>
      </c>
      <c r="U12" s="90">
        <v>-1668198.6994443892</v>
      </c>
      <c r="V12" s="94">
        <f>SUM(E12:U12)</f>
        <v>77804125.173600659</v>
      </c>
      <c r="W12" s="94">
        <f>SUM(D12,V12)</f>
        <v>352532125.17360067</v>
      </c>
      <c r="X12" s="94">
        <f>-Q12</f>
        <v>0</v>
      </c>
      <c r="Y12" s="94">
        <f t="shared" ref="Y12:Y15" si="5">SUM(W12:X12)</f>
        <v>352532125.17360067</v>
      </c>
    </row>
    <row r="13" spans="1:25" x14ac:dyDescent="0.2">
      <c r="A13" s="83">
        <f t="shared" si="4"/>
        <v>5</v>
      </c>
      <c r="B13" s="95" t="s">
        <v>105</v>
      </c>
      <c r="C13" s="89">
        <v>2901136837.913403</v>
      </c>
      <c r="D13" s="90">
        <v>265277000</v>
      </c>
      <c r="E13" s="90">
        <v>6450683.4649300603</v>
      </c>
      <c r="F13" s="90">
        <v>0</v>
      </c>
      <c r="G13" s="90">
        <v>150859.11557149695</v>
      </c>
      <c r="H13" s="90">
        <v>14470870.547512056</v>
      </c>
      <c r="I13" s="90">
        <v>6954025.0004784269</v>
      </c>
      <c r="J13" s="90">
        <v>743341.87149714772</v>
      </c>
      <c r="K13" s="90">
        <v>-273140.04027007206</v>
      </c>
      <c r="L13" s="90">
        <v>6275158.9804066913</v>
      </c>
      <c r="M13" s="90">
        <v>5053780.3716451479</v>
      </c>
      <c r="N13" s="90">
        <v>6703799.7033055592</v>
      </c>
      <c r="O13" s="90">
        <v>23447198.024764568</v>
      </c>
      <c r="P13" s="90">
        <v>11799557.413883682</v>
      </c>
      <c r="Q13" s="90">
        <v>0</v>
      </c>
      <c r="R13" s="90">
        <v>-1940860.5445640667</v>
      </c>
      <c r="S13" s="90">
        <v>17725946.079650894</v>
      </c>
      <c r="T13" s="90">
        <v>0</v>
      </c>
      <c r="U13" s="90">
        <v>-873599.7085161712</v>
      </c>
      <c r="V13" s="94">
        <f>SUM(E13:U13)</f>
        <v>96687620.280295432</v>
      </c>
      <c r="W13" s="94">
        <f>SUM(D13,V13)</f>
        <v>361964620.28029543</v>
      </c>
      <c r="X13" s="94">
        <f>-Q13</f>
        <v>0</v>
      </c>
      <c r="Y13" s="94">
        <f t="shared" si="5"/>
        <v>361964620.28029543</v>
      </c>
    </row>
    <row r="14" spans="1:25" x14ac:dyDescent="0.2">
      <c r="A14" s="83">
        <f t="shared" si="4"/>
        <v>6</v>
      </c>
      <c r="B14" s="95" t="s">
        <v>106</v>
      </c>
      <c r="C14" s="89">
        <v>1830801957.4203374</v>
      </c>
      <c r="D14" s="90">
        <v>154210000</v>
      </c>
      <c r="E14" s="90">
        <v>4259817.3909329586</v>
      </c>
      <c r="F14" s="90">
        <v>0</v>
      </c>
      <c r="G14" s="90">
        <v>93370.899828437206</v>
      </c>
      <c r="H14" s="90">
        <v>8947129.165913187</v>
      </c>
      <c r="I14" s="90">
        <v>4060718.7415583082</v>
      </c>
      <c r="J14" s="90">
        <v>1280556.035166746</v>
      </c>
      <c r="K14" s="90">
        <v>-455534.03108758503</v>
      </c>
      <c r="L14" s="90">
        <v>3509647.352374786</v>
      </c>
      <c r="M14" s="90">
        <v>3148979.3667629804</v>
      </c>
      <c r="N14" s="90">
        <v>4021985.4948914256</v>
      </c>
      <c r="O14" s="90">
        <v>13114272.516151845</v>
      </c>
      <c r="P14" s="90">
        <v>6580936.6835223874</v>
      </c>
      <c r="Q14" s="90">
        <v>0</v>
      </c>
      <c r="R14" s="90">
        <v>-1056372.7294315347</v>
      </c>
      <c r="S14" s="90">
        <v>9309851.0764995869</v>
      </c>
      <c r="T14" s="90">
        <v>0</v>
      </c>
      <c r="U14" s="90">
        <v>-103068.95327548274</v>
      </c>
      <c r="V14" s="94">
        <f>SUM(E14:U14)</f>
        <v>56712289.009808056</v>
      </c>
      <c r="W14" s="94">
        <f>SUM(D14,V14)</f>
        <v>210922289.00980806</v>
      </c>
      <c r="X14" s="94">
        <f>-Q14</f>
        <v>0</v>
      </c>
      <c r="Y14" s="94">
        <f t="shared" si="5"/>
        <v>210922289.00980806</v>
      </c>
    </row>
    <row r="15" spans="1:25" x14ac:dyDescent="0.2">
      <c r="A15" s="83">
        <f t="shared" si="4"/>
        <v>7</v>
      </c>
      <c r="B15" s="42">
        <v>29</v>
      </c>
      <c r="C15" s="89">
        <v>15002821.548252858</v>
      </c>
      <c r="D15" s="90">
        <v>1282000</v>
      </c>
      <c r="E15" s="90">
        <v>27792.528831514981</v>
      </c>
      <c r="F15" s="90">
        <v>0</v>
      </c>
      <c r="G15" s="90">
        <v>645.12132657487291</v>
      </c>
      <c r="H15" s="90">
        <v>60791.432913520584</v>
      </c>
      <c r="I15" s="90">
        <v>31610.94500216877</v>
      </c>
      <c r="J15" s="90">
        <v>0</v>
      </c>
      <c r="K15" s="90">
        <v>0</v>
      </c>
      <c r="L15" s="90">
        <v>32451.103008870934</v>
      </c>
      <c r="M15" s="90">
        <v>26134.91513705648</v>
      </c>
      <c r="N15" s="90">
        <v>33986.782807806128</v>
      </c>
      <c r="O15" s="90">
        <v>121056.21604269258</v>
      </c>
      <c r="P15" s="90">
        <v>60835.665863085487</v>
      </c>
      <c r="Q15" s="90">
        <v>0</v>
      </c>
      <c r="R15" s="90">
        <v>-10036.887615781163</v>
      </c>
      <c r="S15" s="90">
        <v>91667.239659824962</v>
      </c>
      <c r="T15" s="90">
        <v>0</v>
      </c>
      <c r="U15" s="90">
        <v>-100355.91371999393</v>
      </c>
      <c r="V15" s="94">
        <f>SUM(E15:U15)</f>
        <v>376579.1492573407</v>
      </c>
      <c r="W15" s="94">
        <f>SUM(D15,V15)</f>
        <v>1658579.1492573407</v>
      </c>
      <c r="X15" s="94">
        <f>-Q15</f>
        <v>0</v>
      </c>
      <c r="Y15" s="94">
        <f t="shared" si="5"/>
        <v>1658579.1492573407</v>
      </c>
    </row>
    <row r="16" spans="1:25" x14ac:dyDescent="0.2">
      <c r="A16" s="83">
        <f t="shared" si="4"/>
        <v>8</v>
      </c>
      <c r="B16" s="96" t="s">
        <v>65</v>
      </c>
      <c r="C16" s="92">
        <f t="shared" ref="C16" si="6">SUM(C12:C15)</f>
        <v>7490106252.6142492</v>
      </c>
      <c r="D16" s="93">
        <f>SUM(D12:D15)</f>
        <v>695497000</v>
      </c>
      <c r="E16" s="93">
        <f t="shared" ref="E16:U16" si="7">SUM(E12:E15)</f>
        <v>16649324.249876592</v>
      </c>
      <c r="F16" s="93">
        <f t="shared" si="7"/>
        <v>0</v>
      </c>
      <c r="G16" s="93">
        <f t="shared" si="7"/>
        <v>384776.53314885404</v>
      </c>
      <c r="H16" s="93">
        <f t="shared" si="7"/>
        <v>36720046.84301836</v>
      </c>
      <c r="I16" s="93">
        <f t="shared" si="7"/>
        <v>18285566.160736326</v>
      </c>
      <c r="J16" s="93">
        <f t="shared" si="7"/>
        <v>1870228.288873062</v>
      </c>
      <c r="K16" s="93">
        <f t="shared" si="7"/>
        <v>-906337.23842359509</v>
      </c>
      <c r="L16" s="93">
        <f t="shared" si="7"/>
        <v>16266437.494396878</v>
      </c>
      <c r="M16" s="93">
        <f t="shared" si="7"/>
        <v>13023946.436805166</v>
      </c>
      <c r="N16" s="93">
        <f t="shared" si="7"/>
        <v>17195236.216432661</v>
      </c>
      <c r="O16" s="93">
        <f t="shared" si="7"/>
        <v>58087440.409577891</v>
      </c>
      <c r="P16" s="93">
        <f t="shared" si="7"/>
        <v>29200021.464611061</v>
      </c>
      <c r="Q16" s="93">
        <f t="shared" si="7"/>
        <v>0</v>
      </c>
      <c r="R16" s="93">
        <f t="shared" si="7"/>
        <v>-4963146.54688848</v>
      </c>
      <c r="S16" s="93">
        <f t="shared" si="7"/>
        <v>32512296.57575272</v>
      </c>
      <c r="T16" s="93">
        <f t="shared" si="7"/>
        <v>0</v>
      </c>
      <c r="U16" s="93">
        <f t="shared" si="7"/>
        <v>-2745223.2749560368</v>
      </c>
      <c r="V16" s="93">
        <f t="shared" ref="V16:X16" si="8">SUM(V12:V15)</f>
        <v>231580613.6129615</v>
      </c>
      <c r="W16" s="93">
        <f t="shared" si="8"/>
        <v>927077613.61296141</v>
      </c>
      <c r="X16" s="93">
        <f t="shared" si="8"/>
        <v>0</v>
      </c>
      <c r="Y16" s="93">
        <f>SUM(Y12:Y15)</f>
        <v>927077613.61296141</v>
      </c>
    </row>
    <row r="17" spans="1:25" x14ac:dyDescent="0.2">
      <c r="A17" s="83">
        <f t="shared" si="4"/>
        <v>9</v>
      </c>
      <c r="B17" s="83"/>
      <c r="C17" s="59"/>
      <c r="D17" s="94"/>
      <c r="E17" s="94"/>
      <c r="F17" s="94"/>
      <c r="G17" s="94"/>
      <c r="H17" s="94"/>
      <c r="I17" s="94"/>
      <c r="J17" s="94"/>
      <c r="K17" s="94"/>
      <c r="L17" s="94"/>
      <c r="M17" s="94"/>
      <c r="N17" s="94"/>
      <c r="O17" s="94"/>
      <c r="P17" s="94"/>
      <c r="Q17" s="94"/>
      <c r="R17" s="94"/>
      <c r="S17" s="94"/>
      <c r="T17" s="94"/>
      <c r="U17" s="94"/>
      <c r="V17" s="94"/>
      <c r="W17" s="94"/>
      <c r="X17" s="94"/>
      <c r="Y17" s="94"/>
    </row>
    <row r="18" spans="1:25" x14ac:dyDescent="0.2">
      <c r="A18" s="83">
        <f t="shared" si="4"/>
        <v>10</v>
      </c>
      <c r="B18" s="42" t="s">
        <v>107</v>
      </c>
      <c r="C18" s="89">
        <v>1329024599.8352115</v>
      </c>
      <c r="D18" s="90">
        <v>110426000</v>
      </c>
      <c r="E18" s="90">
        <v>2829903.229660912</v>
      </c>
      <c r="F18" s="90">
        <v>0</v>
      </c>
      <c r="G18" s="90">
        <v>65122.205391925352</v>
      </c>
      <c r="H18" s="90">
        <v>6222493.1764284605</v>
      </c>
      <c r="I18" s="90">
        <v>2911892.8982389476</v>
      </c>
      <c r="J18" s="90">
        <v>557156.35249099927</v>
      </c>
      <c r="K18" s="90">
        <v>-201374.64947077501</v>
      </c>
      <c r="L18" s="90">
        <v>2572991.6252809693</v>
      </c>
      <c r="M18" s="90">
        <v>2208838.8849261217</v>
      </c>
      <c r="N18" s="90">
        <v>2800768.0462293508</v>
      </c>
      <c r="O18" s="90">
        <v>9205971.3760258909</v>
      </c>
      <c r="P18" s="90">
        <v>4635748.9825475141</v>
      </c>
      <c r="Q18" s="90">
        <v>0</v>
      </c>
      <c r="R18" s="90">
        <v>-784124.51390277478</v>
      </c>
      <c r="S18" s="90">
        <v>6655802.747841211</v>
      </c>
      <c r="T18" s="90">
        <v>0</v>
      </c>
      <c r="U18" s="90">
        <v>-155479.29140386829</v>
      </c>
      <c r="V18" s="94">
        <f>SUM(E18:U18)</f>
        <v>39525711.070284881</v>
      </c>
      <c r="W18" s="94">
        <f>SUM(D18,V18)</f>
        <v>149951711.07028487</v>
      </c>
      <c r="X18" s="94">
        <f>-Q18</f>
        <v>0</v>
      </c>
      <c r="Y18" s="94">
        <f t="shared" ref="Y18:Y20" si="9">SUM(W18:X18)</f>
        <v>149951711.07028487</v>
      </c>
    </row>
    <row r="19" spans="1:25" x14ac:dyDescent="0.2">
      <c r="A19" s="83">
        <f t="shared" si="4"/>
        <v>11</v>
      </c>
      <c r="B19" s="42">
        <v>35</v>
      </c>
      <c r="C19" s="89">
        <v>4706241.1306298776</v>
      </c>
      <c r="D19" s="90">
        <v>296000</v>
      </c>
      <c r="E19" s="90">
        <v>7477.4935490649395</v>
      </c>
      <c r="F19" s="90">
        <v>0</v>
      </c>
      <c r="G19" s="90">
        <v>164.7184395720457</v>
      </c>
      <c r="H19" s="90">
        <v>15455.295872988518</v>
      </c>
      <c r="I19" s="90">
        <v>7807.654035714967</v>
      </c>
      <c r="J19" s="90">
        <v>0</v>
      </c>
      <c r="K19" s="90">
        <v>0</v>
      </c>
      <c r="L19" s="90">
        <v>9111.2828288994424</v>
      </c>
      <c r="M19" s="90">
        <v>7482.9233977015056</v>
      </c>
      <c r="N19" s="90">
        <v>6540.4862399682552</v>
      </c>
      <c r="O19" s="90">
        <v>45467.211312110652</v>
      </c>
      <c r="P19" s="90">
        <v>22837.142960929181</v>
      </c>
      <c r="Q19" s="90">
        <v>0</v>
      </c>
      <c r="R19" s="90">
        <v>-4602.7038257560198</v>
      </c>
      <c r="S19" s="90">
        <v>28755.13330814855</v>
      </c>
      <c r="T19" s="90">
        <v>0</v>
      </c>
      <c r="U19" s="90">
        <v>-31480.686971577015</v>
      </c>
      <c r="V19" s="94">
        <f>SUM(E19:U19)</f>
        <v>115015.95114776502</v>
      </c>
      <c r="W19" s="94">
        <f>SUM(D19,V19)</f>
        <v>411015.95114776504</v>
      </c>
      <c r="X19" s="94">
        <f>-Q19</f>
        <v>0</v>
      </c>
      <c r="Y19" s="94">
        <f t="shared" si="9"/>
        <v>411015.95114776504</v>
      </c>
    </row>
    <row r="20" spans="1:25" x14ac:dyDescent="0.2">
      <c r="A20" s="83">
        <f t="shared" si="4"/>
        <v>12</v>
      </c>
      <c r="B20" s="42">
        <v>43</v>
      </c>
      <c r="C20" s="89">
        <v>120467009.7637714</v>
      </c>
      <c r="D20" s="90">
        <v>10688000</v>
      </c>
      <c r="E20" s="90">
        <v>204829.85212432785</v>
      </c>
      <c r="F20" s="90">
        <v>0</v>
      </c>
      <c r="G20" s="90">
        <v>4577.7463710233133</v>
      </c>
      <c r="H20" s="90">
        <v>431151.42794453783</v>
      </c>
      <c r="I20" s="90">
        <v>278519.72657383943</v>
      </c>
      <c r="J20" s="90">
        <v>43677.179999999993</v>
      </c>
      <c r="K20" s="90">
        <v>-14924.789999999999</v>
      </c>
      <c r="L20" s="90">
        <v>306949.94087808952</v>
      </c>
      <c r="M20" s="90">
        <v>192626.74861227046</v>
      </c>
      <c r="N20" s="90">
        <v>50978.286859211883</v>
      </c>
      <c r="O20" s="90">
        <v>738644.20610138227</v>
      </c>
      <c r="P20" s="90">
        <v>370647.24015809264</v>
      </c>
      <c r="Q20" s="90">
        <v>0</v>
      </c>
      <c r="R20" s="90">
        <v>-97939.678937946155</v>
      </c>
      <c r="S20" s="90">
        <v>736053.4296566433</v>
      </c>
      <c r="T20" s="90">
        <v>0</v>
      </c>
      <c r="U20" s="90">
        <v>0</v>
      </c>
      <c r="V20" s="94">
        <f>SUM(E20:U20)</f>
        <v>3245791.3163414728</v>
      </c>
      <c r="W20" s="94">
        <f>SUM(D20,V20)</f>
        <v>13933791.316341473</v>
      </c>
      <c r="X20" s="94">
        <f>-Q20</f>
        <v>0</v>
      </c>
      <c r="Y20" s="94">
        <f t="shared" si="9"/>
        <v>13933791.316341473</v>
      </c>
    </row>
    <row r="21" spans="1:25" x14ac:dyDescent="0.2">
      <c r="A21" s="83">
        <f t="shared" si="4"/>
        <v>13</v>
      </c>
      <c r="B21" s="91" t="s">
        <v>66</v>
      </c>
      <c r="C21" s="92">
        <f t="shared" ref="C21" si="10">SUM(C18:C20)</f>
        <v>1454197850.7296126</v>
      </c>
      <c r="D21" s="93">
        <f t="shared" ref="D21" si="11">SUM(D18:D20)</f>
        <v>121410000</v>
      </c>
      <c r="E21" s="93">
        <f t="shared" ref="E21:U21" si="12">SUM(E18:E20)</f>
        <v>3042210.5753343045</v>
      </c>
      <c r="F21" s="93">
        <f t="shared" si="12"/>
        <v>0</v>
      </c>
      <c r="G21" s="93">
        <f t="shared" si="12"/>
        <v>69864.670202520705</v>
      </c>
      <c r="H21" s="93">
        <f t="shared" si="12"/>
        <v>6669099.9002459869</v>
      </c>
      <c r="I21" s="93">
        <f t="shared" si="12"/>
        <v>3198220.2788485019</v>
      </c>
      <c r="J21" s="93">
        <f t="shared" si="12"/>
        <v>600833.53249099921</v>
      </c>
      <c r="K21" s="93">
        <f t="shared" si="12"/>
        <v>-216299.43947077502</v>
      </c>
      <c r="L21" s="93">
        <f t="shared" si="12"/>
        <v>2889052.8489879584</v>
      </c>
      <c r="M21" s="93">
        <f t="shared" si="12"/>
        <v>2408948.5569360936</v>
      </c>
      <c r="N21" s="93">
        <f t="shared" si="12"/>
        <v>2858286.8193285312</v>
      </c>
      <c r="O21" s="93">
        <f t="shared" si="12"/>
        <v>9990082.7934393845</v>
      </c>
      <c r="P21" s="93">
        <f t="shared" si="12"/>
        <v>5029233.3656665357</v>
      </c>
      <c r="Q21" s="93">
        <f t="shared" si="12"/>
        <v>0</v>
      </c>
      <c r="R21" s="93">
        <f t="shared" si="12"/>
        <v>-886666.89666647697</v>
      </c>
      <c r="S21" s="93">
        <f t="shared" si="12"/>
        <v>7420611.3108060034</v>
      </c>
      <c r="T21" s="93">
        <f t="shared" si="12"/>
        <v>0</v>
      </c>
      <c r="U21" s="93">
        <f t="shared" si="12"/>
        <v>-186959.97837544529</v>
      </c>
      <c r="V21" s="93">
        <f t="shared" ref="V21:X21" si="13">SUM(V18:V20)</f>
        <v>42886518.33777412</v>
      </c>
      <c r="W21" s="93">
        <f t="shared" si="13"/>
        <v>164296518.3377741</v>
      </c>
      <c r="X21" s="93">
        <f t="shared" si="13"/>
        <v>0</v>
      </c>
      <c r="Y21" s="93">
        <f>SUM(Y18:Y20)</f>
        <v>164296518.3377741</v>
      </c>
    </row>
    <row r="22" spans="1:25" x14ac:dyDescent="0.2">
      <c r="A22" s="83">
        <f t="shared" si="4"/>
        <v>14</v>
      </c>
      <c r="B22" s="83"/>
      <c r="C22" s="59"/>
      <c r="D22" s="94"/>
      <c r="E22" s="94"/>
      <c r="F22" s="94"/>
      <c r="G22" s="94"/>
      <c r="H22" s="94"/>
      <c r="I22" s="94"/>
      <c r="J22" s="94"/>
      <c r="K22" s="94"/>
      <c r="L22" s="94"/>
      <c r="M22" s="94"/>
      <c r="N22" s="94"/>
      <c r="O22" s="94"/>
      <c r="P22" s="94"/>
      <c r="Q22" s="94"/>
      <c r="R22" s="94"/>
      <c r="S22" s="94"/>
      <c r="T22" s="94"/>
      <c r="U22" s="94"/>
      <c r="V22" s="94"/>
      <c r="W22" s="94"/>
      <c r="X22" s="94"/>
      <c r="Y22" s="94"/>
    </row>
    <row r="23" spans="1:25" x14ac:dyDescent="0.2">
      <c r="A23" s="83">
        <f t="shared" si="4"/>
        <v>15</v>
      </c>
      <c r="B23" s="42">
        <v>46</v>
      </c>
      <c r="C23" s="89">
        <v>89523424.544402152</v>
      </c>
      <c r="D23" s="90">
        <v>5727000</v>
      </c>
      <c r="E23" s="90">
        <v>162711.97592691172</v>
      </c>
      <c r="F23" s="90">
        <v>0</v>
      </c>
      <c r="G23" s="90">
        <v>2775.226160876467</v>
      </c>
      <c r="H23" s="90">
        <v>267227.4222650404</v>
      </c>
      <c r="I23" s="90">
        <v>153085.05597092767</v>
      </c>
      <c r="J23" s="90">
        <v>66112.663426560059</v>
      </c>
      <c r="K23" s="90">
        <v>-26126.360827200006</v>
      </c>
      <c r="L23" s="90">
        <v>129719.44216483874</v>
      </c>
      <c r="M23" s="90">
        <v>155233.61815999335</v>
      </c>
      <c r="N23" s="90">
        <v>43382.954258312515</v>
      </c>
      <c r="O23" s="90">
        <v>328790.71575910633</v>
      </c>
      <c r="P23" s="90">
        <v>165111.54527590837</v>
      </c>
      <c r="Q23" s="90">
        <v>0</v>
      </c>
      <c r="R23" s="90">
        <v>-40285.541044980964</v>
      </c>
      <c r="S23" s="90">
        <v>0</v>
      </c>
      <c r="T23" s="90">
        <v>0</v>
      </c>
      <c r="U23" s="90">
        <v>0</v>
      </c>
      <c r="V23" s="94">
        <f>SUM(E23:U23)</f>
        <v>1407738.7174962948</v>
      </c>
      <c r="W23" s="94">
        <f>SUM(D23,V23)</f>
        <v>7134738.7174962945</v>
      </c>
      <c r="X23" s="94">
        <f>-Q23</f>
        <v>0</v>
      </c>
      <c r="Y23" s="94">
        <f t="shared" ref="Y23:Y24" si="14">SUM(W23:X23)</f>
        <v>7134738.7174962945</v>
      </c>
    </row>
    <row r="24" spans="1:25" x14ac:dyDescent="0.2">
      <c r="A24" s="83">
        <f t="shared" si="4"/>
        <v>16</v>
      </c>
      <c r="B24" s="42">
        <v>49</v>
      </c>
      <c r="C24" s="89">
        <v>506483348.17290127</v>
      </c>
      <c r="D24" s="90">
        <v>32870000</v>
      </c>
      <c r="E24" s="90">
        <v>996234.48980727862</v>
      </c>
      <c r="F24" s="90">
        <v>0</v>
      </c>
      <c r="G24" s="90">
        <v>24311.200712299262</v>
      </c>
      <c r="H24" s="90">
        <v>2277149.133385364</v>
      </c>
      <c r="I24" s="90">
        <v>851904.99162681994</v>
      </c>
      <c r="J24" s="90">
        <v>726532.59202114865</v>
      </c>
      <c r="K24" s="90">
        <v>-268768.30364225997</v>
      </c>
      <c r="L24" s="90">
        <v>733894.37150253402</v>
      </c>
      <c r="M24" s="90">
        <v>878242.12573181081</v>
      </c>
      <c r="N24" s="90">
        <v>968651.54864832549</v>
      </c>
      <c r="O24" s="90">
        <v>1894024.2141304854</v>
      </c>
      <c r="P24" s="90">
        <v>944820.73237522331</v>
      </c>
      <c r="Q24" s="90">
        <v>0</v>
      </c>
      <c r="R24" s="90">
        <v>-227917.50667780556</v>
      </c>
      <c r="S24" s="90">
        <v>0</v>
      </c>
      <c r="T24" s="90">
        <v>0</v>
      </c>
      <c r="U24" s="90">
        <v>0</v>
      </c>
      <c r="V24" s="94">
        <f>SUM(E24:U24)</f>
        <v>9799079.5896212235</v>
      </c>
      <c r="W24" s="94">
        <f>SUM(D24,V24)</f>
        <v>42669079.589621224</v>
      </c>
      <c r="X24" s="94">
        <f>-Q24</f>
        <v>0</v>
      </c>
      <c r="Y24" s="94">
        <f t="shared" si="14"/>
        <v>42669079.589621224</v>
      </c>
    </row>
    <row r="25" spans="1:25" x14ac:dyDescent="0.2">
      <c r="A25" s="83">
        <f t="shared" si="4"/>
        <v>17</v>
      </c>
      <c r="B25" s="91" t="s">
        <v>67</v>
      </c>
      <c r="C25" s="92">
        <f t="shared" ref="C25" si="15">SUM(C23:C24)</f>
        <v>596006772.7173034</v>
      </c>
      <c r="D25" s="93">
        <f t="shared" ref="D25" si="16">SUM(D23:D24)</f>
        <v>38597000</v>
      </c>
      <c r="E25" s="93">
        <f t="shared" ref="E25:U25" si="17">SUM(E23:E24)</f>
        <v>1158946.4657341903</v>
      </c>
      <c r="F25" s="93">
        <f t="shared" si="17"/>
        <v>0</v>
      </c>
      <c r="G25" s="93">
        <f t="shared" si="17"/>
        <v>27086.426873175729</v>
      </c>
      <c r="H25" s="93">
        <f t="shared" si="17"/>
        <v>2544376.5556504042</v>
      </c>
      <c r="I25" s="93">
        <f t="shared" si="17"/>
        <v>1004990.0475977476</v>
      </c>
      <c r="J25" s="93">
        <f t="shared" si="17"/>
        <v>792645.25544770877</v>
      </c>
      <c r="K25" s="93">
        <f t="shared" si="17"/>
        <v>-294894.66446945997</v>
      </c>
      <c r="L25" s="93">
        <f t="shared" si="17"/>
        <v>863613.8136673728</v>
      </c>
      <c r="M25" s="93">
        <f t="shared" si="17"/>
        <v>1033475.7438918041</v>
      </c>
      <c r="N25" s="93">
        <f t="shared" si="17"/>
        <v>1012034.502906638</v>
      </c>
      <c r="O25" s="93">
        <f t="shared" si="17"/>
        <v>2222814.9298895919</v>
      </c>
      <c r="P25" s="93">
        <f t="shared" si="17"/>
        <v>1109932.2776511316</v>
      </c>
      <c r="Q25" s="93">
        <f t="shared" si="17"/>
        <v>0</v>
      </c>
      <c r="R25" s="93">
        <f t="shared" si="17"/>
        <v>-268203.04772278655</v>
      </c>
      <c r="S25" s="93">
        <f t="shared" si="17"/>
        <v>0</v>
      </c>
      <c r="T25" s="93">
        <f t="shared" si="17"/>
        <v>0</v>
      </c>
      <c r="U25" s="93">
        <f t="shared" si="17"/>
        <v>0</v>
      </c>
      <c r="V25" s="93">
        <f t="shared" ref="V25:X25" si="18">SUM(V23:V24)</f>
        <v>11206818.307117518</v>
      </c>
      <c r="W25" s="93">
        <f t="shared" si="18"/>
        <v>49803818.307117522</v>
      </c>
      <c r="X25" s="93">
        <f t="shared" si="18"/>
        <v>0</v>
      </c>
      <c r="Y25" s="93">
        <f>SUM(Y23:Y24)</f>
        <v>49803818.307117522</v>
      </c>
    </row>
    <row r="26" spans="1:25" x14ac:dyDescent="0.2">
      <c r="A26" s="83">
        <f t="shared" si="4"/>
        <v>18</v>
      </c>
      <c r="B26" s="42"/>
      <c r="C26" s="59"/>
      <c r="D26" s="94"/>
      <c r="E26" s="94"/>
      <c r="F26" s="94"/>
      <c r="G26" s="94"/>
      <c r="H26" s="94"/>
      <c r="I26" s="94"/>
      <c r="J26" s="94"/>
      <c r="K26" s="94"/>
      <c r="L26" s="94"/>
      <c r="M26" s="94"/>
      <c r="N26" s="94"/>
      <c r="O26" s="94"/>
      <c r="P26" s="94"/>
      <c r="Q26" s="94"/>
      <c r="R26" s="94"/>
      <c r="S26" s="94"/>
      <c r="T26" s="94"/>
      <c r="U26" s="94"/>
      <c r="V26" s="94"/>
      <c r="W26" s="94"/>
      <c r="X26" s="94"/>
      <c r="Y26" s="94"/>
    </row>
    <row r="27" spans="1:25" x14ac:dyDescent="0.2">
      <c r="A27" s="83">
        <f t="shared" si="4"/>
        <v>19</v>
      </c>
      <c r="B27" s="42" t="s">
        <v>59</v>
      </c>
      <c r="C27" s="97">
        <v>62167183.412781127</v>
      </c>
      <c r="D27" s="98">
        <v>15513000</v>
      </c>
      <c r="E27" s="98">
        <v>132443.60059832319</v>
      </c>
      <c r="F27" s="98">
        <v>0</v>
      </c>
      <c r="G27" s="98">
        <v>3232.6935374646182</v>
      </c>
      <c r="H27" s="98">
        <v>299770.15841643058</v>
      </c>
      <c r="I27" s="98">
        <v>367718.88988660037</v>
      </c>
      <c r="J27" s="98">
        <v>0</v>
      </c>
      <c r="K27" s="98">
        <v>0</v>
      </c>
      <c r="L27" s="98">
        <v>515241.61612512998</v>
      </c>
      <c r="M27" s="98">
        <v>123091.02315730663</v>
      </c>
      <c r="N27" s="98">
        <v>76030.465313831315</v>
      </c>
      <c r="O27" s="98">
        <v>2186979.3452782272</v>
      </c>
      <c r="P27" s="98">
        <v>1099177.9699213831</v>
      </c>
      <c r="Q27" s="98">
        <v>0</v>
      </c>
      <c r="R27" s="98">
        <v>-155604.46008219116</v>
      </c>
      <c r="S27" s="98">
        <v>0</v>
      </c>
      <c r="T27" s="98">
        <v>0</v>
      </c>
      <c r="U27" s="98">
        <v>-11744.634185681911</v>
      </c>
      <c r="V27" s="93">
        <f>SUM(E27:U27)</f>
        <v>4636336.667966824</v>
      </c>
      <c r="W27" s="93">
        <f>SUM(D27,V27)</f>
        <v>20149336.667966824</v>
      </c>
      <c r="X27" s="93">
        <f>-Q27</f>
        <v>0</v>
      </c>
      <c r="Y27" s="93">
        <f>SUM(W27:X27)</f>
        <v>20149336.667966824</v>
      </c>
    </row>
    <row r="28" spans="1:25" x14ac:dyDescent="0.2">
      <c r="A28" s="83">
        <f t="shared" si="4"/>
        <v>20</v>
      </c>
      <c r="B28" s="42"/>
      <c r="C28" s="59"/>
      <c r="D28" s="94"/>
      <c r="E28" s="94"/>
      <c r="F28" s="94"/>
      <c r="G28" s="94"/>
      <c r="H28" s="94"/>
      <c r="I28" s="94"/>
      <c r="J28" s="94"/>
      <c r="K28" s="94"/>
      <c r="L28" s="94"/>
      <c r="M28" s="94"/>
      <c r="N28" s="94"/>
      <c r="O28" s="94"/>
      <c r="P28" s="94"/>
      <c r="Q28" s="94"/>
      <c r="R28" s="94"/>
      <c r="S28" s="94"/>
      <c r="T28" s="94"/>
      <c r="U28" s="94"/>
      <c r="V28" s="94"/>
      <c r="W28" s="94"/>
      <c r="X28" s="94"/>
      <c r="Y28" s="94"/>
    </row>
    <row r="29" spans="1:25" x14ac:dyDescent="0.2">
      <c r="A29" s="83">
        <f t="shared" si="4"/>
        <v>21</v>
      </c>
      <c r="B29" s="42" t="s">
        <v>111</v>
      </c>
      <c r="C29" s="97">
        <v>2245720268.8083301</v>
      </c>
      <c r="D29" s="98">
        <v>12604000</v>
      </c>
      <c r="E29" s="98">
        <v>0</v>
      </c>
      <c r="F29" s="98">
        <v>0</v>
      </c>
      <c r="G29" s="98">
        <v>0</v>
      </c>
      <c r="H29" s="98">
        <v>4161863.533411013</v>
      </c>
      <c r="I29" s="98">
        <v>408550.58405309496</v>
      </c>
      <c r="J29" s="98">
        <v>0</v>
      </c>
      <c r="K29" s="98">
        <v>0</v>
      </c>
      <c r="L29" s="98">
        <v>248450.9958921753</v>
      </c>
      <c r="M29" s="98">
        <v>0</v>
      </c>
      <c r="N29" s="98">
        <v>0</v>
      </c>
      <c r="O29" s="98">
        <v>637996.15519694099</v>
      </c>
      <c r="P29" s="98">
        <v>320540.49728698202</v>
      </c>
      <c r="Q29" s="98">
        <v>0</v>
      </c>
      <c r="R29" s="98">
        <v>-81328.873882607004</v>
      </c>
      <c r="S29" s="98">
        <v>0</v>
      </c>
      <c r="T29" s="98">
        <v>0</v>
      </c>
      <c r="U29" s="98">
        <v>0</v>
      </c>
      <c r="V29" s="93">
        <f>SUM(E29:U29)</f>
        <v>5696072.8919576006</v>
      </c>
      <c r="W29" s="93">
        <f>SUM(D29,V29)</f>
        <v>18300072.8919576</v>
      </c>
      <c r="X29" s="93">
        <f>-Q29</f>
        <v>0</v>
      </c>
      <c r="Y29" s="93">
        <f>SUM(W29:X29)</f>
        <v>18300072.8919576</v>
      </c>
    </row>
    <row r="30" spans="1:25" x14ac:dyDescent="0.2">
      <c r="A30" s="83">
        <f t="shared" si="4"/>
        <v>22</v>
      </c>
      <c r="B30" s="42"/>
      <c r="C30" s="59"/>
      <c r="D30" s="94"/>
      <c r="E30" s="94"/>
      <c r="F30" s="94"/>
      <c r="G30" s="94"/>
      <c r="H30" s="94"/>
      <c r="I30" s="94"/>
      <c r="J30" s="94"/>
      <c r="K30" s="94"/>
      <c r="L30" s="94"/>
      <c r="M30" s="94"/>
      <c r="N30" s="94"/>
      <c r="O30" s="94"/>
      <c r="P30" s="94"/>
      <c r="Q30" s="94"/>
      <c r="R30" s="94"/>
      <c r="S30" s="94"/>
      <c r="T30" s="94"/>
      <c r="U30" s="94"/>
      <c r="V30" s="94"/>
      <c r="W30" s="94"/>
      <c r="X30" s="94"/>
      <c r="Y30" s="94"/>
    </row>
    <row r="31" spans="1:25" ht="10.8" thickBot="1" x14ac:dyDescent="0.25">
      <c r="A31" s="83">
        <f t="shared" si="4"/>
        <v>23</v>
      </c>
      <c r="B31" s="91" t="s">
        <v>12</v>
      </c>
      <c r="C31" s="41">
        <f>SUM(C10,C16,C21,C25,C27,C29)</f>
        <v>22659469597.716106</v>
      </c>
      <c r="D31" s="99">
        <f>SUM(D10,D16,D21,D25,D27,D29)</f>
        <v>2033119000</v>
      </c>
      <c r="E31" s="101">
        <f t="shared" ref="E31:U31" si="19">SUM(E10,E16,E21,E25,E27,E29)</f>
        <v>44060949.137976736</v>
      </c>
      <c r="F31" s="101">
        <f t="shared" si="19"/>
        <v>0</v>
      </c>
      <c r="G31" s="101">
        <f t="shared" si="19"/>
        <v>1036335.1585031403</v>
      </c>
      <c r="H31" s="101">
        <f t="shared" si="19"/>
        <v>103619045.45016493</v>
      </c>
      <c r="I31" s="101">
        <f t="shared" si="19"/>
        <v>52314931.862090968</v>
      </c>
      <c r="J31" s="101">
        <f t="shared" si="19"/>
        <v>3263707.07681177</v>
      </c>
      <c r="K31" s="101">
        <f t="shared" si="19"/>
        <v>-1417531.3423638302</v>
      </c>
      <c r="L31" s="101">
        <f t="shared" si="19"/>
        <v>51032733.780945368</v>
      </c>
      <c r="M31" s="101">
        <f t="shared" si="19"/>
        <v>36352465.641315408</v>
      </c>
      <c r="N31" s="101">
        <f t="shared" si="19"/>
        <v>49996871.022100545</v>
      </c>
      <c r="O31" s="101">
        <f t="shared" si="19"/>
        <v>181313705.22660634</v>
      </c>
      <c r="P31" s="101">
        <f t="shared" si="19"/>
        <v>91128788.78911981</v>
      </c>
      <c r="Q31" s="101">
        <f t="shared" si="19"/>
        <v>0</v>
      </c>
      <c r="R31" s="101">
        <f t="shared" si="19"/>
        <v>-15912113.627422046</v>
      </c>
      <c r="S31" s="101">
        <f t="shared" si="19"/>
        <v>6601758.5628942335</v>
      </c>
      <c r="T31" s="101">
        <f t="shared" si="19"/>
        <v>0</v>
      </c>
      <c r="U31" s="101">
        <f t="shared" si="19"/>
        <v>-75261991.741652697</v>
      </c>
      <c r="V31" s="101">
        <f t="shared" ref="V31:X31" si="20">SUM(V10,V16,V21,V25,V27,V29)</f>
        <v>528129654.99709076</v>
      </c>
      <c r="W31" s="101">
        <f t="shared" si="20"/>
        <v>2561248654.9970908</v>
      </c>
      <c r="X31" s="101">
        <f t="shared" si="20"/>
        <v>0</v>
      </c>
      <c r="Y31" s="41">
        <f>SUM(Y10,Y16,Y21,Y25,Y27,Y29)</f>
        <v>2561248654.9970908</v>
      </c>
    </row>
    <row r="32" spans="1:25" ht="10.8" thickTop="1" x14ac:dyDescent="0.2">
      <c r="A32" s="83">
        <f t="shared" si="4"/>
        <v>24</v>
      </c>
      <c r="B32" s="42"/>
      <c r="C32" s="51"/>
      <c r="D32" s="100"/>
      <c r="E32" s="100"/>
      <c r="F32" s="100"/>
      <c r="G32" s="100"/>
      <c r="H32" s="100"/>
      <c r="I32" s="100"/>
      <c r="J32" s="100"/>
      <c r="K32" s="100"/>
      <c r="L32" s="100"/>
      <c r="M32" s="100"/>
      <c r="N32" s="100"/>
      <c r="O32" s="100"/>
      <c r="P32" s="100"/>
      <c r="Q32" s="100"/>
      <c r="R32" s="100"/>
      <c r="S32" s="100"/>
      <c r="T32" s="100"/>
      <c r="U32" s="100"/>
      <c r="V32" s="100"/>
      <c r="W32" s="100"/>
      <c r="X32" s="100"/>
      <c r="Y32" s="100"/>
    </row>
    <row r="33" spans="1:25" x14ac:dyDescent="0.2">
      <c r="A33" s="83">
        <f t="shared" si="4"/>
        <v>25</v>
      </c>
      <c r="B33" s="42">
        <v>5</v>
      </c>
      <c r="C33" s="97">
        <v>7099000</v>
      </c>
      <c r="D33" s="98">
        <v>553000</v>
      </c>
      <c r="E33" s="98">
        <v>14464.449068296817</v>
      </c>
      <c r="F33" s="98">
        <v>0</v>
      </c>
      <c r="G33" s="98">
        <v>362.04899999999998</v>
      </c>
      <c r="H33" s="98">
        <v>0</v>
      </c>
      <c r="I33" s="98">
        <v>0</v>
      </c>
      <c r="J33" s="98">
        <v>0</v>
      </c>
      <c r="K33" s="98">
        <v>0</v>
      </c>
      <c r="L33" s="98">
        <v>0</v>
      </c>
      <c r="M33" s="98">
        <v>11613.964</v>
      </c>
      <c r="N33" s="98">
        <v>13502.298000000001</v>
      </c>
      <c r="O33" s="98">
        <v>45575.066000000006</v>
      </c>
      <c r="P33" s="98">
        <v>22879.82</v>
      </c>
      <c r="Q33" s="98">
        <v>0</v>
      </c>
      <c r="R33" s="98">
        <v>-5373.2853115490161</v>
      </c>
      <c r="S33" s="98">
        <v>0</v>
      </c>
      <c r="T33" s="98">
        <v>0</v>
      </c>
      <c r="U33" s="98">
        <v>0</v>
      </c>
      <c r="V33" s="93">
        <f>SUM(E33:U33)</f>
        <v>103024.36075674782</v>
      </c>
      <c r="W33" s="93">
        <f>SUM(D33,V33)</f>
        <v>656024.36075674777</v>
      </c>
      <c r="X33" s="93">
        <f>-Q33</f>
        <v>0</v>
      </c>
      <c r="Y33" s="93">
        <f t="shared" ref="Y33" si="21">SUM(W33:X33)</f>
        <v>656024.36075674777</v>
      </c>
    </row>
    <row r="34" spans="1:25" x14ac:dyDescent="0.2">
      <c r="A34" s="83">
        <f t="shared" si="4"/>
        <v>26</v>
      </c>
      <c r="B34" s="42"/>
      <c r="C34" s="51"/>
      <c r="D34" s="100"/>
      <c r="E34" s="100"/>
      <c r="F34" s="100"/>
      <c r="G34" s="100"/>
      <c r="H34" s="100"/>
      <c r="I34" s="100"/>
      <c r="J34" s="100"/>
      <c r="K34" s="100"/>
      <c r="L34" s="100"/>
      <c r="M34" s="100"/>
      <c r="N34" s="100"/>
      <c r="O34" s="100"/>
      <c r="P34" s="100"/>
      <c r="Q34" s="100"/>
      <c r="R34" s="100"/>
      <c r="S34" s="100"/>
      <c r="T34" s="100"/>
      <c r="U34" s="100"/>
      <c r="V34" s="100"/>
      <c r="W34" s="100"/>
      <c r="X34" s="100"/>
      <c r="Y34" s="100"/>
    </row>
    <row r="35" spans="1:25" ht="10.8" thickBot="1" x14ac:dyDescent="0.25">
      <c r="A35" s="83">
        <f t="shared" si="4"/>
        <v>27</v>
      </c>
      <c r="B35" s="91" t="s">
        <v>92</v>
      </c>
      <c r="C35" s="41">
        <f>+C33+C31</f>
        <v>22666568597.716106</v>
      </c>
      <c r="D35" s="99">
        <f>+D33+D31</f>
        <v>2033672000</v>
      </c>
      <c r="E35" s="101">
        <f t="shared" ref="E35:U35" si="22">+E33+E31</f>
        <v>44075413.587045036</v>
      </c>
      <c r="F35" s="101">
        <f t="shared" si="22"/>
        <v>0</v>
      </c>
      <c r="G35" s="101">
        <f t="shared" si="22"/>
        <v>1036697.2075031403</v>
      </c>
      <c r="H35" s="101">
        <f t="shared" si="22"/>
        <v>103619045.45016493</v>
      </c>
      <c r="I35" s="101">
        <f t="shared" si="22"/>
        <v>52314931.862090968</v>
      </c>
      <c r="J35" s="101">
        <f t="shared" si="22"/>
        <v>3263707.07681177</v>
      </c>
      <c r="K35" s="101">
        <f t="shared" si="22"/>
        <v>-1417531.3423638302</v>
      </c>
      <c r="L35" s="101">
        <f t="shared" si="22"/>
        <v>51032733.780945368</v>
      </c>
      <c r="M35" s="101">
        <f t="shared" si="22"/>
        <v>36364079.60531541</v>
      </c>
      <c r="N35" s="101">
        <f t="shared" si="22"/>
        <v>50010373.320100546</v>
      </c>
      <c r="O35" s="101">
        <f t="shared" si="22"/>
        <v>181359280.29260635</v>
      </c>
      <c r="P35" s="101">
        <f t="shared" si="22"/>
        <v>91151668.609119803</v>
      </c>
      <c r="Q35" s="101">
        <f t="shared" si="22"/>
        <v>0</v>
      </c>
      <c r="R35" s="101">
        <f t="shared" si="22"/>
        <v>-15917486.912733596</v>
      </c>
      <c r="S35" s="101">
        <f t="shared" si="22"/>
        <v>6601758.5628942335</v>
      </c>
      <c r="T35" s="101">
        <f t="shared" si="22"/>
        <v>0</v>
      </c>
      <c r="U35" s="101">
        <f t="shared" si="22"/>
        <v>-75261991.741652697</v>
      </c>
      <c r="V35" s="101">
        <f t="shared" ref="V35:X35" si="23">+V33+V31</f>
        <v>528232679.35784751</v>
      </c>
      <c r="W35" s="101">
        <f t="shared" si="23"/>
        <v>2561904679.3578477</v>
      </c>
      <c r="X35" s="101">
        <f t="shared" si="23"/>
        <v>0</v>
      </c>
      <c r="Y35" s="101">
        <f>+Y33+Y31</f>
        <v>2561904679.3578477</v>
      </c>
    </row>
    <row r="36" spans="1:25" ht="10.8" thickTop="1" x14ac:dyDescent="0.2">
      <c r="A36" s="83"/>
    </row>
    <row r="37" spans="1:25" x14ac:dyDescent="0.2">
      <c r="A37" s="83"/>
      <c r="B37" s="136" t="s">
        <v>126</v>
      </c>
      <c r="C37" s="135">
        <v>0</v>
      </c>
      <c r="D37" s="135">
        <v>0</v>
      </c>
      <c r="E37" s="218">
        <v>0</v>
      </c>
      <c r="F37" s="218">
        <v>0</v>
      </c>
      <c r="G37" s="218">
        <v>0</v>
      </c>
      <c r="H37" s="218">
        <v>0</v>
      </c>
      <c r="I37" s="218">
        <v>0</v>
      </c>
      <c r="J37" s="218">
        <v>0</v>
      </c>
      <c r="K37" s="218">
        <v>0</v>
      </c>
      <c r="L37" s="218">
        <v>0</v>
      </c>
      <c r="M37" s="218">
        <v>0</v>
      </c>
      <c r="N37" s="218">
        <v>0</v>
      </c>
      <c r="O37" s="218">
        <v>0</v>
      </c>
      <c r="P37" s="218">
        <v>0</v>
      </c>
      <c r="Q37" s="218">
        <v>0</v>
      </c>
      <c r="R37" s="218">
        <v>0</v>
      </c>
      <c r="S37" s="218">
        <v>0</v>
      </c>
      <c r="T37" s="218">
        <v>0</v>
      </c>
      <c r="U37" s="218">
        <v>0</v>
      </c>
      <c r="V37" s="218">
        <v>0</v>
      </c>
      <c r="W37" s="218">
        <v>0</v>
      </c>
      <c r="X37" s="135"/>
    </row>
  </sheetData>
  <printOptions horizontalCentered="1"/>
  <pageMargins left="0.7" right="0.7" top="0.75" bottom="0.75" header="0.3" footer="0.3"/>
  <pageSetup scale="54" orientation="landscape" r:id="rId1"/>
  <headerFooter alignWithMargins="0">
    <oddFooter>&amp;L&amp;F
&amp;A&amp;RSchedule 95A Filing Eff 1-1-21
Page &amp;P of &amp;N</oddFooter>
  </headerFooter>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workbookViewId="0">
      <selection activeCell="G33" sqref="G33"/>
    </sheetView>
  </sheetViews>
  <sheetFormatPr defaultColWidth="9.109375" defaultRowHeight="10.199999999999999" x14ac:dyDescent="0.2"/>
  <cols>
    <col min="1" max="1" width="54" style="227" customWidth="1"/>
    <col min="2" max="2" width="8.44140625" style="227" bestFit="1" customWidth="1"/>
    <col min="3" max="3" width="10" style="227" bestFit="1" customWidth="1"/>
    <col min="4" max="6" width="8.6640625" style="227" bestFit="1" customWidth="1"/>
    <col min="7" max="7" width="7" style="227" bestFit="1" customWidth="1"/>
    <col min="8" max="8" width="8.6640625" style="227" bestFit="1" customWidth="1"/>
    <col min="9" max="9" width="7" style="227" bestFit="1" customWidth="1"/>
    <col min="10" max="10" width="10.88671875" style="227" customWidth="1"/>
    <col min="11" max="11" width="10.6640625" style="227" customWidth="1"/>
    <col min="12" max="13" width="7.88671875" style="227" bestFit="1" customWidth="1"/>
    <col min="14" max="15" width="7" style="227" bestFit="1" customWidth="1"/>
    <col min="16" max="16" width="9.5546875" style="227" bestFit="1" customWidth="1"/>
    <col min="17" max="17" width="9.44140625" style="227" bestFit="1" customWidth="1"/>
    <col min="18" max="18" width="9.5546875" style="227" bestFit="1" customWidth="1"/>
    <col min="19" max="19" width="7.88671875" style="227" bestFit="1" customWidth="1"/>
    <col min="20" max="20" width="10" style="227" bestFit="1" customWidth="1"/>
    <col min="21" max="16384" width="9.109375" style="227"/>
  </cols>
  <sheetData>
    <row r="1" spans="1:20" ht="21" thickBot="1" x14ac:dyDescent="0.25">
      <c r="J1" s="281"/>
      <c r="K1" s="281"/>
      <c r="M1" s="319" t="s">
        <v>202</v>
      </c>
      <c r="N1" s="321"/>
      <c r="O1" s="233" t="s">
        <v>207</v>
      </c>
      <c r="P1" s="319" t="s">
        <v>203</v>
      </c>
      <c r="Q1" s="320"/>
      <c r="R1" s="320"/>
      <c r="S1" s="233" t="s">
        <v>201</v>
      </c>
    </row>
    <row r="2" spans="1:20" s="226" customFormat="1" x14ac:dyDescent="0.2">
      <c r="A2" s="226" t="s">
        <v>164</v>
      </c>
      <c r="B2" s="226" t="s">
        <v>165</v>
      </c>
      <c r="C2" s="226" t="s">
        <v>166</v>
      </c>
      <c r="D2" s="226" t="s">
        <v>167</v>
      </c>
      <c r="E2" s="226" t="s">
        <v>168</v>
      </c>
      <c r="F2" s="226" t="s">
        <v>169</v>
      </c>
      <c r="G2" s="226" t="s">
        <v>170</v>
      </c>
      <c r="H2" s="226" t="s">
        <v>171</v>
      </c>
      <c r="I2" s="226" t="s">
        <v>172</v>
      </c>
      <c r="J2" s="282" t="s">
        <v>173</v>
      </c>
      <c r="K2" s="282" t="s">
        <v>174</v>
      </c>
      <c r="L2" s="226" t="s">
        <v>175</v>
      </c>
      <c r="M2" s="239" t="s">
        <v>176</v>
      </c>
      <c r="N2" s="240" t="s">
        <v>177</v>
      </c>
      <c r="O2" s="234" t="s">
        <v>178</v>
      </c>
      <c r="P2" s="239" t="s">
        <v>179</v>
      </c>
      <c r="Q2" s="249" t="s">
        <v>180</v>
      </c>
      <c r="R2" s="240" t="s">
        <v>181</v>
      </c>
      <c r="S2" s="254" t="s">
        <v>182</v>
      </c>
      <c r="T2" s="226" t="s">
        <v>183</v>
      </c>
    </row>
    <row r="3" spans="1:20" x14ac:dyDescent="0.2">
      <c r="A3" s="227" t="s">
        <v>184</v>
      </c>
      <c r="B3" s="227" t="s">
        <v>185</v>
      </c>
      <c r="C3" s="228">
        <f>'2022 GRC Load Research - NCP'!C2</f>
        <v>2087281.596177585</v>
      </c>
      <c r="D3" s="228">
        <f>'2022 GRC Load Research - NCP'!D2</f>
        <v>439014.97368917638</v>
      </c>
      <c r="E3" s="228">
        <f>'2022 GRC Load Research - NCP'!E2</f>
        <v>488898.99827733717</v>
      </c>
      <c r="F3" s="228">
        <f>'2022 GRC Load Research - NCP'!F2</f>
        <v>320836.84517965955</v>
      </c>
      <c r="G3" s="228">
        <f>'2022 GRC Load Research - NCP'!G2</f>
        <v>8214.2841962024177</v>
      </c>
      <c r="H3" s="228">
        <f>'2022 GRC Load Research - NCP'!H2</f>
        <v>222186.30105248999</v>
      </c>
      <c r="I3" s="228">
        <f>'2022 GRC Load Research - NCP'!I2</f>
        <v>1531.797695616666</v>
      </c>
      <c r="J3" s="250">
        <f>'2022 GRC Load Research - NCP'!J2</f>
        <v>10304.680093691752</v>
      </c>
      <c r="K3" s="250">
        <f>'2022 GRC Load Research - NCP'!K2</f>
        <v>20210.935440219702</v>
      </c>
      <c r="L3" s="228">
        <f>'2022 GRC Load Research - NCP'!L2</f>
        <v>74027.064431777457</v>
      </c>
      <c r="M3" s="241">
        <f>'2022 GRC Load Research - NCP'!M2</f>
        <v>16112.776646952683</v>
      </c>
      <c r="N3" s="242">
        <f>'2022 GRC Load Research - NCP'!N2</f>
        <v>1557.3076735881295</v>
      </c>
      <c r="O3" s="235">
        <f>'2022 GRC Load Research - NCP'!O2</f>
        <v>644.06821724657721</v>
      </c>
      <c r="P3" s="241">
        <f>'2022 GRC Load Research - NCP'!P2</f>
        <v>208573.20076600311</v>
      </c>
      <c r="Q3" s="250">
        <f>'2022 GRC Load Research - NCP'!Q2</f>
        <v>2847.0212996986802</v>
      </c>
      <c r="R3" s="242">
        <f>'2022 GRC Load Research - NCP'!R2</f>
        <v>40582.123641423117</v>
      </c>
      <c r="S3" s="235">
        <f>'2022 GRC Load Research - NCP'!S2</f>
        <v>45651.924503561495</v>
      </c>
      <c r="T3" s="228">
        <f>'2022 GRC Load Research - NCP'!T2</f>
        <v>3414000</v>
      </c>
    </row>
    <row r="4" spans="1:20" x14ac:dyDescent="0.2">
      <c r="A4" s="227" t="s">
        <v>186</v>
      </c>
      <c r="B4" s="227" t="s">
        <v>185</v>
      </c>
      <c r="C4" s="228">
        <f>'2022 GRC Load Research - NCP'!C3</f>
        <v>2046287.0634689757</v>
      </c>
      <c r="D4" s="228">
        <f>'2022 GRC Load Research - NCP'!D3</f>
        <v>425282.53137800674</v>
      </c>
      <c r="E4" s="228">
        <f>'2022 GRC Load Research - NCP'!E3</f>
        <v>498187.58124620002</v>
      </c>
      <c r="F4" s="228">
        <f>'2022 GRC Load Research - NCP'!F3</f>
        <v>307514.53308364749</v>
      </c>
      <c r="G4" s="228">
        <f>'2022 GRC Load Research - NCP'!G3</f>
        <v>7825.8739007479044</v>
      </c>
      <c r="H4" s="228">
        <f>'2022 GRC Load Research - NCP'!H3</f>
        <v>220922.84938425315</v>
      </c>
      <c r="I4" s="228">
        <f>'2022 GRC Load Research - NCP'!I3</f>
        <v>1503.7919218269435</v>
      </c>
      <c r="J4" s="250">
        <f>'2022 GRC Load Research - NCP'!J3</f>
        <v>12888.939769993873</v>
      </c>
      <c r="K4" s="250">
        <f>'2022 GRC Load Research - NCP'!K3</f>
        <v>20018.834844736728</v>
      </c>
      <c r="L4" s="228">
        <f>'2022 GRC Load Research - NCP'!L3</f>
        <v>74425.014521139397</v>
      </c>
      <c r="M4" s="241">
        <f>'2022 GRC Load Research - NCP'!M3</f>
        <v>16112.776646952683</v>
      </c>
      <c r="N4" s="242">
        <f>'2022 GRC Load Research - NCP'!N3</f>
        <v>1557.3076735881295</v>
      </c>
      <c r="O4" s="235">
        <f>'2022 GRC Load Research - NCP'!O3</f>
        <v>637.00645692649539</v>
      </c>
      <c r="P4" s="241">
        <f>'2022 GRC Load Research - NCP'!P3</f>
        <v>209998.72183225755</v>
      </c>
      <c r="Q4" s="250">
        <f>'2022 GRC Load Research - NCP'!Q3</f>
        <v>2943.7455248513916</v>
      </c>
      <c r="R4" s="242">
        <f>'2022 GRC Load Research - NCP'!R3</f>
        <v>40657.359600358715</v>
      </c>
      <c r="S4" s="235">
        <f>'2022 GRC Load Research - NCP'!S3</f>
        <v>44039.400644464447</v>
      </c>
      <c r="T4" s="228">
        <f>'2022 GRC Load Research - NCP'!T3</f>
        <v>3361000</v>
      </c>
    </row>
    <row r="5" spans="1:20" x14ac:dyDescent="0.2">
      <c r="A5" s="227" t="s">
        <v>187</v>
      </c>
      <c r="B5" s="227" t="s">
        <v>185</v>
      </c>
      <c r="C5" s="228">
        <f>'2022 GRC Load Research - NCP'!C4</f>
        <v>1804022.0537038089</v>
      </c>
      <c r="D5" s="228">
        <f>'2022 GRC Load Research - NCP'!D4</f>
        <v>407777.05024818348</v>
      </c>
      <c r="E5" s="228">
        <f>'2022 GRC Load Research - NCP'!E4</f>
        <v>515999.84028456517</v>
      </c>
      <c r="F5" s="228">
        <f>'2022 GRC Load Research - NCP'!F4</f>
        <v>302300.4025045085</v>
      </c>
      <c r="G5" s="228">
        <f>'2022 GRC Load Research - NCP'!G4</f>
        <v>5546.4726596409737</v>
      </c>
      <c r="H5" s="228">
        <f>'2022 GRC Load Research - NCP'!H4</f>
        <v>212767.30826436865</v>
      </c>
      <c r="I5" s="228">
        <f>'2022 GRC Load Research - NCP'!I4</f>
        <v>1265.8211562446504</v>
      </c>
      <c r="J5" s="250">
        <f>'2022 GRC Load Research - NCP'!J4</f>
        <v>18459.086518457458</v>
      </c>
      <c r="K5" s="250">
        <f>'2022 GRC Load Research - NCP'!K4</f>
        <v>20024.502147921092</v>
      </c>
      <c r="L5" s="228">
        <f>'2022 GRC Load Research - NCP'!L4</f>
        <v>73885.990015239659</v>
      </c>
      <c r="M5" s="241">
        <f>'2022 GRC Load Research - NCP'!M4</f>
        <v>16112.776646952683</v>
      </c>
      <c r="N5" s="242">
        <f>'2022 GRC Load Research - NCP'!N4</f>
        <v>1557.3076735881295</v>
      </c>
      <c r="O5" s="235">
        <f>'2022 GRC Load Research - NCP'!O4</f>
        <v>650.7522311008006</v>
      </c>
      <c r="P5" s="241">
        <f>'2022 GRC Load Research - NCP'!P4</f>
        <v>207389.58970005956</v>
      </c>
      <c r="Q5" s="250">
        <f>'2022 GRC Load Research - NCP'!Q4</f>
        <v>2813.4062834826223</v>
      </c>
      <c r="R5" s="242">
        <f>'2022 GRC Load Research - NCP'!R4</f>
        <v>38510.562809853349</v>
      </c>
      <c r="S5" s="235">
        <f>'2022 GRC Load Research - NCP'!S4</f>
        <v>41336.582768715336</v>
      </c>
      <c r="T5" s="228">
        <f>'2022 GRC Load Research - NCP'!T4</f>
        <v>3124000</v>
      </c>
    </row>
    <row r="6" spans="1:20" x14ac:dyDescent="0.2">
      <c r="A6" s="227" t="s">
        <v>188</v>
      </c>
      <c r="B6" s="227" t="s">
        <v>185</v>
      </c>
      <c r="C6" s="228">
        <f>'2022 GRC Load Research - NCP'!C5</f>
        <v>2092990.5401669464</v>
      </c>
      <c r="D6" s="228">
        <f>'2022 GRC Load Research - NCP'!D5</f>
        <v>497715.72571607016</v>
      </c>
      <c r="E6" s="228">
        <f>'2022 GRC Load Research - NCP'!E5</f>
        <v>528847.48858373496</v>
      </c>
      <c r="F6" s="228">
        <f>'2022 GRC Load Research - NCP'!F5</f>
        <v>273709.67957035219</v>
      </c>
      <c r="G6" s="228">
        <f>'2022 GRC Load Research - NCP'!G5</f>
        <v>1549.6267376000044</v>
      </c>
      <c r="H6" s="228">
        <f>'2022 GRC Load Research - NCP'!H5</f>
        <v>212014.06551014649</v>
      </c>
      <c r="I6" s="228">
        <f>'2022 GRC Load Research - NCP'!I5</f>
        <v>782.62521807703445</v>
      </c>
      <c r="J6" s="250">
        <f>'2022 GRC Load Research - NCP'!J5</f>
        <v>37153.818660675461</v>
      </c>
      <c r="K6" s="250">
        <f>'2022 GRC Load Research - NCP'!K5</f>
        <v>19565.504574004535</v>
      </c>
      <c r="L6" s="228">
        <f>'2022 GRC Load Research - NCP'!L5</f>
        <v>71197.392382620877</v>
      </c>
      <c r="M6" s="241">
        <f>'2022 GRC Load Research - NCP'!M5</f>
        <v>16112.776646952683</v>
      </c>
      <c r="N6" s="242">
        <f>'2022 GRC Load Research - NCP'!N5</f>
        <v>1557.3076735881295</v>
      </c>
      <c r="O6" s="235">
        <f>'2022 GRC Load Research - NCP'!O5</f>
        <v>1368.3026289142915</v>
      </c>
      <c r="P6" s="241">
        <f>'2022 GRC Load Research - NCP'!P5</f>
        <v>204329.08878316308</v>
      </c>
      <c r="Q6" s="250">
        <f>'2022 GRC Load Research - NCP'!Q5</f>
        <v>2944.5405722308715</v>
      </c>
      <c r="R6" s="242">
        <f>'2022 GRC Load Research - NCP'!R5</f>
        <v>37613.219101983879</v>
      </c>
      <c r="S6" s="235">
        <f>'2022 GRC Load Research - NCP'!S5</f>
        <v>46979.344631272543</v>
      </c>
      <c r="T6" s="228">
        <f>'2022 GRC Load Research - NCP'!T5</f>
        <v>3463000</v>
      </c>
    </row>
    <row r="7" spans="1:20" x14ac:dyDescent="0.2">
      <c r="A7" s="227" t="s">
        <v>189</v>
      </c>
      <c r="B7" s="227" t="s">
        <v>185</v>
      </c>
      <c r="C7" s="228">
        <f>'2022 GRC Load Research - NCP'!C6</f>
        <v>2317772.7457320043</v>
      </c>
      <c r="D7" s="228">
        <f>'2022 GRC Load Research - NCP'!D6</f>
        <v>511456.46726271161</v>
      </c>
      <c r="E7" s="228">
        <f>'2022 GRC Load Research - NCP'!E6</f>
        <v>550774.65981149464</v>
      </c>
      <c r="F7" s="228">
        <f>'2022 GRC Load Research - NCP'!F6</f>
        <v>272538.45720258215</v>
      </c>
      <c r="G7" s="228">
        <f>'2022 GRC Load Research - NCP'!G6</f>
        <v>967.69016952306038</v>
      </c>
      <c r="H7" s="228">
        <f>'2022 GRC Load Research - NCP'!H6</f>
        <v>208631.8867612984</v>
      </c>
      <c r="I7" s="228">
        <f>'2022 GRC Load Research - NCP'!I6</f>
        <v>9.8873491384853285</v>
      </c>
      <c r="J7" s="250">
        <f>'2022 GRC Load Research - NCP'!J6</f>
        <v>41804.423072175472</v>
      </c>
      <c r="K7" s="250">
        <f>'2022 GRC Load Research - NCP'!K6</f>
        <v>20178.050006968395</v>
      </c>
      <c r="L7" s="228">
        <f>'2022 GRC Load Research - NCP'!L6</f>
        <v>71458.184385869201</v>
      </c>
      <c r="M7" s="241">
        <f>'2022 GRC Load Research - NCP'!M6</f>
        <v>16112.776646952683</v>
      </c>
      <c r="N7" s="242">
        <f>'2022 GRC Load Research - NCP'!N6</f>
        <v>1557.3076735881295</v>
      </c>
      <c r="O7" s="235">
        <f>'2022 GRC Load Research - NCP'!O6</f>
        <v>1623.7326905365112</v>
      </c>
      <c r="P7" s="241">
        <f>'2022 GRC Load Research - NCP'!P6</f>
        <v>207212.84678308776</v>
      </c>
      <c r="Q7" s="250">
        <f>'2022 GRC Load Research - NCP'!Q6</f>
        <v>3684.0471808156658</v>
      </c>
      <c r="R7" s="242">
        <f>'2022 GRC Load Research - NCP'!R6</f>
        <v>37035.68875427029</v>
      </c>
      <c r="S7" s="235">
        <f>'2022 GRC Load Research - NCP'!S6</f>
        <v>49863.643728035837</v>
      </c>
      <c r="T7" s="228">
        <f>'2022 GRC Load Research - NCP'!T6</f>
        <v>3691000</v>
      </c>
    </row>
    <row r="8" spans="1:20" x14ac:dyDescent="0.2">
      <c r="A8" s="227" t="s">
        <v>190</v>
      </c>
      <c r="B8" s="227" t="s">
        <v>185</v>
      </c>
      <c r="C8" s="228">
        <f>'2022 GRC Load Research - NCP'!C7</f>
        <v>2632803.5355816404</v>
      </c>
      <c r="D8" s="228">
        <f>'2022 GRC Load Research - NCP'!D7</f>
        <v>524380.79578742443</v>
      </c>
      <c r="E8" s="228">
        <f>'2022 GRC Load Research - NCP'!E7</f>
        <v>543175.10953058384</v>
      </c>
      <c r="F8" s="228">
        <f>'2022 GRC Load Research - NCP'!F7</f>
        <v>273359.2364270275</v>
      </c>
      <c r="G8" s="228">
        <f>'2022 GRC Load Research - NCP'!G7</f>
        <v>898.93058284353197</v>
      </c>
      <c r="H8" s="228">
        <f>'2022 GRC Load Research - NCP'!H7</f>
        <v>215700.30096996771</v>
      </c>
      <c r="I8" s="228">
        <f>'2022 GRC Load Research - NCP'!I7</f>
        <v>10.743981037038631</v>
      </c>
      <c r="J8" s="250">
        <f>'2022 GRC Load Research - NCP'!J7</f>
        <v>41685.167947530128</v>
      </c>
      <c r="K8" s="250">
        <f>'2022 GRC Load Research - NCP'!K7</f>
        <v>17252.599103717919</v>
      </c>
      <c r="L8" s="228">
        <f>'2022 GRC Load Research - NCP'!L7</f>
        <v>69436.232116018436</v>
      </c>
      <c r="M8" s="241">
        <f>'2022 GRC Load Research - NCP'!M7</f>
        <v>16112.776646952683</v>
      </c>
      <c r="N8" s="242">
        <f>'2022 GRC Load Research - NCP'!N7</f>
        <v>1557.3076735881295</v>
      </c>
      <c r="O8" s="235">
        <f>'2022 GRC Load Research - NCP'!O7</f>
        <v>2191.3387273188437</v>
      </c>
      <c r="P8" s="241">
        <f>'2022 GRC Load Research - NCP'!P7</f>
        <v>206742.90296482164</v>
      </c>
      <c r="Q8" s="250">
        <f>'2022 GRC Load Research - NCP'!Q7</f>
        <v>3890.8813379101575</v>
      </c>
      <c r="R8" s="242">
        <f>'2022 GRC Load Research - NCP'!R7</f>
        <v>35735.713122820547</v>
      </c>
      <c r="S8" s="235">
        <f>'2022 GRC Load Research - NCP'!S7</f>
        <v>51216.212984096739</v>
      </c>
      <c r="T8" s="228">
        <f>'2022 GRC Load Research - NCP'!T7</f>
        <v>3924000</v>
      </c>
    </row>
    <row r="9" spans="1:20" x14ac:dyDescent="0.2">
      <c r="A9" s="227" t="s">
        <v>191</v>
      </c>
      <c r="B9" s="227" t="s">
        <v>185</v>
      </c>
      <c r="C9" s="228">
        <f>'2022 GRC Load Research - NCP'!C8</f>
        <v>2476420.7888545343</v>
      </c>
      <c r="D9" s="228">
        <f>'2022 GRC Load Research - NCP'!D8</f>
        <v>543988.82813451975</v>
      </c>
      <c r="E9" s="228">
        <f>'2022 GRC Load Research - NCP'!E8</f>
        <v>552025.56326648837</v>
      </c>
      <c r="F9" s="228">
        <f>'2022 GRC Load Research - NCP'!F8</f>
        <v>268648.99452109111</v>
      </c>
      <c r="G9" s="228">
        <f>'2022 GRC Load Research - NCP'!G8</f>
        <v>935.12825204898274</v>
      </c>
      <c r="H9" s="228">
        <f>'2022 GRC Load Research - NCP'!H8</f>
        <v>212041.34423513885</v>
      </c>
      <c r="I9" s="228">
        <f>'2022 GRC Load Research - NCP'!I8</f>
        <v>32.930157050610461</v>
      </c>
      <c r="J9" s="250">
        <f>'2022 GRC Load Research - NCP'!J8</f>
        <v>44315.485181221309</v>
      </c>
      <c r="K9" s="250">
        <f>'2022 GRC Load Research - NCP'!K8</f>
        <v>17217.094936374771</v>
      </c>
      <c r="L9" s="228">
        <f>'2022 GRC Load Research - NCP'!L8</f>
        <v>71517.498194696163</v>
      </c>
      <c r="M9" s="241">
        <f>'2022 GRC Load Research - NCP'!M8</f>
        <v>16112.776646952683</v>
      </c>
      <c r="N9" s="242">
        <f>'2022 GRC Load Research - NCP'!N8</f>
        <v>1557.3076735881295</v>
      </c>
      <c r="O9" s="235">
        <f>'2022 GRC Load Research - NCP'!O8</f>
        <v>1858.7203725813397</v>
      </c>
      <c r="P9" s="241">
        <f>'2022 GRC Load Research - NCP'!P8</f>
        <v>203624.94795945377</v>
      </c>
      <c r="Q9" s="250">
        <f>'2022 GRC Load Research - NCP'!Q8</f>
        <v>3579.4602468386124</v>
      </c>
      <c r="R9" s="242">
        <f>'2022 GRC Load Research - NCP'!R8</f>
        <v>35790.160760607658</v>
      </c>
      <c r="S9" s="235">
        <f>'2022 GRC Load Research - NCP'!S8</f>
        <v>48821.36663037278</v>
      </c>
      <c r="T9" s="228">
        <f>'2022 GRC Load Research - NCP'!T8</f>
        <v>3833000</v>
      </c>
    </row>
    <row r="10" spans="1:20" x14ac:dyDescent="0.2">
      <c r="A10" s="227" t="s">
        <v>192</v>
      </c>
      <c r="B10" s="227" t="s">
        <v>185</v>
      </c>
      <c r="C10" s="228">
        <f>'2022 GRC Load Research - NCP'!C9</f>
        <v>2778468.0619862978</v>
      </c>
      <c r="D10" s="228">
        <f>'2022 GRC Load Research - NCP'!D9</f>
        <v>563963.56773502938</v>
      </c>
      <c r="E10" s="228">
        <f>'2022 GRC Load Research - NCP'!E9</f>
        <v>567744.9147070524</v>
      </c>
      <c r="F10" s="228">
        <f>'2022 GRC Load Research - NCP'!F9</f>
        <v>269439.02975479898</v>
      </c>
      <c r="G10" s="228">
        <f>'2022 GRC Load Research - NCP'!G9</f>
        <v>1048.8531486527611</v>
      </c>
      <c r="H10" s="228">
        <f>'2022 GRC Load Research - NCP'!H9</f>
        <v>220629.71973829615</v>
      </c>
      <c r="I10" s="228">
        <f>'2022 GRC Load Research - NCP'!I9</f>
        <v>40.11315163086924</v>
      </c>
      <c r="J10" s="250">
        <f>'2022 GRC Load Research - NCP'!J9</f>
        <v>44395.647893080895</v>
      </c>
      <c r="K10" s="250">
        <f>'2022 GRC Load Research - NCP'!K9</f>
        <v>14700.293872245211</v>
      </c>
      <c r="L10" s="228">
        <f>'2022 GRC Load Research - NCP'!L9</f>
        <v>71367.760712052404</v>
      </c>
      <c r="M10" s="241">
        <f>'2022 GRC Load Research - NCP'!M9</f>
        <v>16112.776646952683</v>
      </c>
      <c r="N10" s="242">
        <f>'2022 GRC Load Research - NCP'!N9</f>
        <v>1557.3076735881295</v>
      </c>
      <c r="O10" s="235">
        <f>'2022 GRC Load Research - NCP'!O9</f>
        <v>1851.8726685919112</v>
      </c>
      <c r="P10" s="241">
        <f>'2022 GRC Load Research - NCP'!P9</f>
        <v>208961.41979138745</v>
      </c>
      <c r="Q10" s="250">
        <f>'2022 GRC Load Research - NCP'!Q9</f>
        <v>4487.5251601057689</v>
      </c>
      <c r="R10" s="242">
        <f>'2022 GRC Load Research - NCP'!R9</f>
        <v>37455.53083987024</v>
      </c>
      <c r="S10" s="235">
        <f>'2022 GRC Load Research - NCP'!S9</f>
        <v>52138.648308229058</v>
      </c>
      <c r="T10" s="228">
        <f>'2022 GRC Load Research - NCP'!T9</f>
        <v>4182000</v>
      </c>
    </row>
    <row r="11" spans="1:20" x14ac:dyDescent="0.2">
      <c r="A11" s="227" t="s">
        <v>193</v>
      </c>
      <c r="B11" s="227" t="s">
        <v>185</v>
      </c>
      <c r="C11" s="228">
        <f>'2022 GRC Load Research - NCP'!C10</f>
        <v>2210152.8140009041</v>
      </c>
      <c r="D11" s="228">
        <f>'2022 GRC Load Research - NCP'!D10</f>
        <v>540806.57276389538</v>
      </c>
      <c r="E11" s="228">
        <f>'2022 GRC Load Research - NCP'!E10</f>
        <v>558392.68939826125</v>
      </c>
      <c r="F11" s="228">
        <f>'2022 GRC Load Research - NCP'!F10</f>
        <v>266998.17029931978</v>
      </c>
      <c r="G11" s="228">
        <f>'2022 GRC Load Research - NCP'!G10</f>
        <v>1039.4281379180793</v>
      </c>
      <c r="H11" s="228">
        <f>'2022 GRC Load Research - NCP'!H10</f>
        <v>219701.20809829599</v>
      </c>
      <c r="I11" s="228">
        <f>'2022 GRC Load Research - NCP'!I10</f>
        <v>19.050787449904991</v>
      </c>
      <c r="J11" s="250">
        <f>'2022 GRC Load Research - NCP'!J10</f>
        <v>45103.977347222397</v>
      </c>
      <c r="K11" s="250">
        <f>'2022 GRC Load Research - NCP'!K10</f>
        <v>15694.914748197723</v>
      </c>
      <c r="L11" s="228">
        <f>'2022 GRC Load Research - NCP'!L10</f>
        <v>68362.294356116763</v>
      </c>
      <c r="M11" s="241">
        <f>'2022 GRC Load Research - NCP'!M10</f>
        <v>16112.776646952683</v>
      </c>
      <c r="N11" s="242">
        <f>'2022 GRC Load Research - NCP'!N10</f>
        <v>1557.3076735881295</v>
      </c>
      <c r="O11" s="235">
        <f>'2022 GRC Load Research - NCP'!O10</f>
        <v>1537.0209892986315</v>
      </c>
      <c r="P11" s="241">
        <f>'2022 GRC Load Research - NCP'!P10</f>
        <v>209512.09467222221</v>
      </c>
      <c r="Q11" s="250">
        <f>'2022 GRC Load Research - NCP'!Q10</f>
        <v>2924.4671746925874</v>
      </c>
      <c r="R11" s="242">
        <f>'2022 GRC Load Research - NCP'!R10</f>
        <v>37751.766196667988</v>
      </c>
      <c r="S11" s="235">
        <f>'2022 GRC Load Research - NCP'!S10</f>
        <v>48299.116634767859</v>
      </c>
      <c r="T11" s="228">
        <f>'2022 GRC Load Research - NCP'!T10</f>
        <v>3697000</v>
      </c>
    </row>
    <row r="12" spans="1:20" x14ac:dyDescent="0.2">
      <c r="A12" s="227" t="s">
        <v>194</v>
      </c>
      <c r="B12" s="227" t="s">
        <v>185</v>
      </c>
      <c r="C12" s="228">
        <f>'2022 GRC Load Research - NCP'!C11</f>
        <v>1965272.5150975229</v>
      </c>
      <c r="D12" s="228">
        <f>'2022 GRC Load Research - NCP'!D11</f>
        <v>476477.44696452882</v>
      </c>
      <c r="E12" s="228">
        <f>'2022 GRC Load Research - NCP'!E11</f>
        <v>512335.06854376761</v>
      </c>
      <c r="F12" s="228">
        <f>'2022 GRC Load Research - NCP'!F11</f>
        <v>264198.82442481071</v>
      </c>
      <c r="G12" s="228">
        <f>'2022 GRC Load Research - NCP'!G11</f>
        <v>2732.9840523544872</v>
      </c>
      <c r="H12" s="228">
        <f>'2022 GRC Load Research - NCP'!H11</f>
        <v>211620.4430916328</v>
      </c>
      <c r="I12" s="228">
        <f>'2022 GRC Load Research - NCP'!I11</f>
        <v>5726.4868616266058</v>
      </c>
      <c r="J12" s="250">
        <f>'2022 GRC Load Research - NCP'!J11</f>
        <v>44270.813950225434</v>
      </c>
      <c r="K12" s="250">
        <f>'2022 GRC Load Research - NCP'!K11</f>
        <v>17961.086357106753</v>
      </c>
      <c r="L12" s="228">
        <f>'2022 GRC Load Research - NCP'!L11</f>
        <v>68102.61121737404</v>
      </c>
      <c r="M12" s="241">
        <f>'2022 GRC Load Research - NCP'!M11</f>
        <v>16112.776646952683</v>
      </c>
      <c r="N12" s="242">
        <f>'2022 GRC Load Research - NCP'!N11</f>
        <v>1557.3076735881295</v>
      </c>
      <c r="O12" s="235">
        <f>'2022 GRC Load Research - NCP'!O11</f>
        <v>1715.5691521612073</v>
      </c>
      <c r="P12" s="241">
        <f>'2022 GRC Load Research - NCP'!P11</f>
        <v>194752.76822589969</v>
      </c>
      <c r="Q12" s="250">
        <f>'2022 GRC Load Research - NCP'!Q11</f>
        <v>2933.156939297402</v>
      </c>
      <c r="R12" s="242">
        <f>'2022 GRC Load Research - NCP'!R11</f>
        <v>38681.614484010526</v>
      </c>
      <c r="S12" s="235">
        <f>'2022 GRC Load Research - NCP'!S11</f>
        <v>45377.730685335395</v>
      </c>
      <c r="T12" s="228">
        <f>'2022 GRC Load Research - NCP'!T11</f>
        <v>3383000</v>
      </c>
    </row>
    <row r="13" spans="1:20" x14ac:dyDescent="0.2">
      <c r="A13" s="227" t="s">
        <v>195</v>
      </c>
      <c r="B13" s="227" t="s">
        <v>185</v>
      </c>
      <c r="C13" s="228">
        <f>'2022 GRC Load Research - NCP'!C12</f>
        <v>1535583.7787791402</v>
      </c>
      <c r="D13" s="228">
        <f>'2022 GRC Load Research - NCP'!D12</f>
        <v>409915.95669724967</v>
      </c>
      <c r="E13" s="228">
        <f>'2022 GRC Load Research - NCP'!E12</f>
        <v>514223.99962331197</v>
      </c>
      <c r="F13" s="228">
        <f>'2022 GRC Load Research - NCP'!F12</f>
        <v>268781.90777653002</v>
      </c>
      <c r="G13" s="228">
        <f>'2022 GRC Load Research - NCP'!G12</f>
        <v>3830.9084720784358</v>
      </c>
      <c r="H13" s="228">
        <f>'2022 GRC Load Research - NCP'!H12</f>
        <v>207968.03347367205</v>
      </c>
      <c r="I13" s="228">
        <f>'2022 GRC Load Research - NCP'!I12</f>
        <v>4341.3254479065772</v>
      </c>
      <c r="J13" s="250">
        <f>'2022 GRC Load Research - NCP'!J12</f>
        <v>30714.224396764093</v>
      </c>
      <c r="K13" s="250">
        <f>'2022 GRC Load Research - NCP'!K12</f>
        <v>20003.062344770904</v>
      </c>
      <c r="L13" s="228">
        <f>'2022 GRC Load Research - NCP'!L12</f>
        <v>69082.547102121564</v>
      </c>
      <c r="M13" s="241">
        <f>'2022 GRC Load Research - NCP'!M12</f>
        <v>16112.776646952683</v>
      </c>
      <c r="N13" s="242">
        <f>'2022 GRC Load Research - NCP'!N12</f>
        <v>1557.3076735881295</v>
      </c>
      <c r="O13" s="235">
        <f>'2022 GRC Load Research - NCP'!O12</f>
        <v>1023.8524154295012</v>
      </c>
      <c r="P13" s="241">
        <f>'2022 GRC Load Research - NCP'!P12</f>
        <v>213276.44601702661</v>
      </c>
      <c r="Q13" s="250">
        <f>'2022 GRC Load Research - NCP'!Q12</f>
        <v>2307.5176359192319</v>
      </c>
      <c r="R13" s="242">
        <f>'2022 GRC Load Research - NCP'!R12</f>
        <v>39176.033260102638</v>
      </c>
      <c r="S13" s="235">
        <f>'2022 GRC Load Research - NCP'!S12</f>
        <v>37458.035585174024</v>
      </c>
      <c r="T13" s="228">
        <f>'2022 GRC Load Research - NCP'!T12</f>
        <v>2697000</v>
      </c>
    </row>
    <row r="14" spans="1:20" x14ac:dyDescent="0.2">
      <c r="A14" s="227" t="s">
        <v>196</v>
      </c>
      <c r="B14" s="227" t="s">
        <v>185</v>
      </c>
      <c r="C14" s="228">
        <f>'2022 GRC Load Research - NCP'!C13</f>
        <v>2500282.6908040401</v>
      </c>
      <c r="D14" s="228">
        <f>'2022 GRC Load Research - NCP'!D13</f>
        <v>501601.8616561158</v>
      </c>
      <c r="E14" s="228">
        <f>'2022 GRC Load Research - NCP'!E13</f>
        <v>572546.65374837222</v>
      </c>
      <c r="F14" s="228">
        <f>'2022 GRC Load Research - NCP'!F13</f>
        <v>327011.85126904596</v>
      </c>
      <c r="G14" s="228">
        <f>'2022 GRC Load Research - NCP'!G13</f>
        <v>8075.5122747944479</v>
      </c>
      <c r="H14" s="228">
        <f>'2022 GRC Load Research - NCP'!H13</f>
        <v>211415.70262857713</v>
      </c>
      <c r="I14" s="228">
        <f>'2022 GRC Load Research - NCP'!I13</f>
        <v>6140.3830179955021</v>
      </c>
      <c r="J14" s="250">
        <f>'2022 GRC Load Research - NCP'!J13</f>
        <v>26345.963974455532</v>
      </c>
      <c r="K14" s="250">
        <f>'2022 GRC Load Research - NCP'!K13</f>
        <v>15833.386806664195</v>
      </c>
      <c r="L14" s="228">
        <f>'2022 GRC Load Research - NCP'!L13</f>
        <v>71103.766427451643</v>
      </c>
      <c r="M14" s="241">
        <f>'2022 GRC Load Research - NCP'!M13</f>
        <v>16112.776646952683</v>
      </c>
      <c r="N14" s="242">
        <f>'2022 GRC Load Research - NCP'!N13</f>
        <v>1557.3076735881295</v>
      </c>
      <c r="O14" s="235">
        <f>'2022 GRC Load Research - NCP'!O13</f>
        <v>766.14957923769862</v>
      </c>
      <c r="P14" s="241">
        <f>'2022 GRC Load Research - NCP'!P13</f>
        <v>215859.39618734081</v>
      </c>
      <c r="Q14" s="250">
        <f>'2022 GRC Load Research - NCP'!Q13</f>
        <v>2734.7482193672749</v>
      </c>
      <c r="R14" s="242">
        <f>'2022 GRC Load Research - NCP'!R13</f>
        <v>40198.672563465741</v>
      </c>
      <c r="S14" s="235">
        <f>'2022 GRC Load Research - NCP'!S13</f>
        <v>52458.845744761362</v>
      </c>
      <c r="T14" s="228">
        <f>'2022 GRC Load Research - NCP'!T13</f>
        <v>4036000</v>
      </c>
    </row>
    <row r="15" spans="1:20" x14ac:dyDescent="0.2">
      <c r="J15" s="251"/>
      <c r="K15" s="251"/>
      <c r="M15" s="243"/>
      <c r="N15" s="244"/>
      <c r="O15" s="236"/>
      <c r="P15" s="243"/>
      <c r="Q15" s="251"/>
      <c r="R15" s="244"/>
      <c r="S15" s="236"/>
    </row>
    <row r="16" spans="1:20" x14ac:dyDescent="0.2">
      <c r="J16" s="251"/>
      <c r="K16" s="251"/>
      <c r="M16" s="243"/>
      <c r="N16" s="244"/>
      <c r="O16" s="236"/>
      <c r="P16" s="243"/>
      <c r="Q16" s="251"/>
      <c r="R16" s="244"/>
      <c r="S16" s="236"/>
    </row>
    <row r="17" spans="1:20" x14ac:dyDescent="0.2">
      <c r="A17" s="229" t="s">
        <v>197</v>
      </c>
      <c r="B17" s="230"/>
      <c r="C17" s="230">
        <f>SUM(C3:C14)/12</f>
        <v>2203944.8486961168</v>
      </c>
      <c r="D17" s="230">
        <f t="shared" ref="D17:S17" si="0">SUM(D3:D14)/12</f>
        <v>486865.14816940925</v>
      </c>
      <c r="E17" s="230">
        <f t="shared" si="0"/>
        <v>533596.0472517641</v>
      </c>
      <c r="F17" s="230">
        <f t="shared" si="0"/>
        <v>284611.49433444784</v>
      </c>
      <c r="G17" s="230">
        <f t="shared" si="0"/>
        <v>3555.4743820337571</v>
      </c>
      <c r="H17" s="230">
        <f t="shared" si="0"/>
        <v>214633.2636006781</v>
      </c>
      <c r="I17" s="230">
        <f t="shared" si="0"/>
        <v>1783.7463954667408</v>
      </c>
      <c r="J17" s="252">
        <f>SUM(J3:J14)/12</f>
        <v>33120.18573379115</v>
      </c>
      <c r="K17" s="252">
        <f t="shared" si="0"/>
        <v>18221.688765243995</v>
      </c>
      <c r="L17" s="230">
        <f t="shared" si="0"/>
        <v>71163.862988539797</v>
      </c>
      <c r="M17" s="245">
        <f t="shared" si="0"/>
        <v>16112.776646952678</v>
      </c>
      <c r="N17" s="246">
        <f t="shared" si="0"/>
        <v>1557.3076735881295</v>
      </c>
      <c r="O17" s="237">
        <f t="shared" si="0"/>
        <v>1322.365510778651</v>
      </c>
      <c r="P17" s="245">
        <f t="shared" si="0"/>
        <v>207519.45197356027</v>
      </c>
      <c r="Q17" s="252">
        <f t="shared" si="0"/>
        <v>3174.2097979341888</v>
      </c>
      <c r="R17" s="246">
        <f t="shared" si="0"/>
        <v>38265.703761286211</v>
      </c>
      <c r="S17" s="237">
        <f t="shared" si="0"/>
        <v>46970.071070732236</v>
      </c>
      <c r="T17" s="230">
        <f>SUM(C17:S17)</f>
        <v>4166417.646752323</v>
      </c>
    </row>
    <row r="18" spans="1:20" x14ac:dyDescent="0.2">
      <c r="A18" s="229" t="s">
        <v>198</v>
      </c>
      <c r="B18" s="231"/>
      <c r="C18" s="230">
        <f>+C17</f>
        <v>2203944.8486961168</v>
      </c>
      <c r="D18" s="230">
        <f t="shared" ref="D18:L18" si="1">+D17</f>
        <v>486865.14816940925</v>
      </c>
      <c r="E18" s="230">
        <f t="shared" si="1"/>
        <v>533596.0472517641</v>
      </c>
      <c r="F18" s="230">
        <f t="shared" si="1"/>
        <v>284611.49433444784</v>
      </c>
      <c r="G18" s="230">
        <f t="shared" si="1"/>
        <v>3555.4743820337571</v>
      </c>
      <c r="H18" s="230">
        <f t="shared" si="1"/>
        <v>214633.2636006781</v>
      </c>
      <c r="I18" s="230">
        <f t="shared" si="1"/>
        <v>1783.7463954667408</v>
      </c>
      <c r="J18" s="230">
        <f t="shared" si="1"/>
        <v>33120.18573379115</v>
      </c>
      <c r="K18" s="230">
        <f t="shared" si="1"/>
        <v>18221.688765243995</v>
      </c>
      <c r="L18" s="230">
        <f t="shared" si="1"/>
        <v>71163.862988539797</v>
      </c>
      <c r="M18" s="245">
        <v>0</v>
      </c>
      <c r="N18" s="246">
        <v>0</v>
      </c>
      <c r="O18" s="237">
        <v>0</v>
      </c>
      <c r="P18" s="245">
        <v>0</v>
      </c>
      <c r="Q18" s="252">
        <v>0</v>
      </c>
      <c r="R18" s="246">
        <v>0</v>
      </c>
      <c r="S18" s="237">
        <v>0</v>
      </c>
      <c r="T18" s="230">
        <f t="shared" ref="T18:T19" si="2">SUM(C18:S18)</f>
        <v>3851495.7603174914</v>
      </c>
    </row>
    <row r="19" spans="1:20" ht="10.8" thickBot="1" x14ac:dyDescent="0.25">
      <c r="A19" s="229" t="s">
        <v>233</v>
      </c>
      <c r="B19" s="231"/>
      <c r="C19" s="232">
        <f>+C18/$T$18</f>
        <v>0.57223089050328813</v>
      </c>
      <c r="D19" s="232">
        <f t="shared" ref="D19:S19" si="3">+D18/$T$18</f>
        <v>0.1264093688446058</v>
      </c>
      <c r="E19" s="232">
        <f t="shared" si="3"/>
        <v>0.13854255085763822</v>
      </c>
      <c r="F19" s="232">
        <f t="shared" si="3"/>
        <v>7.3896354052064794E-2</v>
      </c>
      <c r="G19" s="232">
        <f t="shared" si="3"/>
        <v>9.2314119066839312E-4</v>
      </c>
      <c r="H19" s="232">
        <f t="shared" si="3"/>
        <v>5.5727249089061744E-2</v>
      </c>
      <c r="I19" s="232">
        <f>+I18/$T$18</f>
        <v>4.6313082149665945E-4</v>
      </c>
      <c r="J19" s="283">
        <f>+J18/$T$18</f>
        <v>8.5993047363658384E-3</v>
      </c>
      <c r="K19" s="283">
        <f t="shared" si="3"/>
        <v>4.7310681094302753E-3</v>
      </c>
      <c r="L19" s="232">
        <f t="shared" si="3"/>
        <v>1.8476941795380175E-2</v>
      </c>
      <c r="M19" s="247">
        <f t="shared" si="3"/>
        <v>0</v>
      </c>
      <c r="N19" s="248">
        <f t="shared" si="3"/>
        <v>0</v>
      </c>
      <c r="O19" s="238">
        <f t="shared" si="3"/>
        <v>0</v>
      </c>
      <c r="P19" s="247">
        <f t="shared" si="3"/>
        <v>0</v>
      </c>
      <c r="Q19" s="253">
        <f t="shared" si="3"/>
        <v>0</v>
      </c>
      <c r="R19" s="248">
        <f t="shared" si="3"/>
        <v>0</v>
      </c>
      <c r="S19" s="238">
        <f t="shared" si="3"/>
        <v>0</v>
      </c>
      <c r="T19" s="232">
        <f t="shared" si="2"/>
        <v>1</v>
      </c>
    </row>
  </sheetData>
  <mergeCells count="2">
    <mergeCell ref="P1:R1"/>
    <mergeCell ref="M1:N1"/>
  </mergeCells>
  <pageMargins left="0.7" right="0.7" top="0.75" bottom="0.75" header="0.3" footer="0.3"/>
  <pageSetup orientation="portrait" horizontalDpi="1200" verticalDpi="1200"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workbookViewId="0"/>
  </sheetViews>
  <sheetFormatPr defaultRowHeight="13.2" x14ac:dyDescent="0.25"/>
  <sheetData/>
  <pageMargins left="0.7" right="0.7" top="0.75" bottom="0.75" header="0.3" footer="0.3"/>
  <customProperties>
    <customPr name="_pios_id"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I54"/>
  <sheetViews>
    <sheetView zoomScaleNormal="100" workbookViewId="0">
      <pane ySplit="8" topLeftCell="A9" activePane="bottomLeft" state="frozen"/>
      <selection activeCell="G40" sqref="G40"/>
      <selection pane="bottomLeft" activeCell="L14" sqref="L14"/>
    </sheetView>
  </sheetViews>
  <sheetFormatPr defaultColWidth="9.109375" defaultRowHeight="10.199999999999999" x14ac:dyDescent="0.2"/>
  <cols>
    <col min="1" max="1" width="1.5546875" style="147" customWidth="1"/>
    <col min="2" max="2" width="3.5546875" style="147" customWidth="1"/>
    <col min="3" max="3" width="61" style="147" bestFit="1" customWidth="1"/>
    <col min="4" max="4" width="2.33203125" style="147" customWidth="1"/>
    <col min="5" max="5" width="19.6640625" style="148" bestFit="1" customWidth="1"/>
    <col min="6" max="6" width="11.33203125" style="148" bestFit="1" customWidth="1"/>
    <col min="7" max="7" width="12" style="148" bestFit="1" customWidth="1"/>
    <col min="8" max="8" width="4.6640625" style="147" customWidth="1"/>
    <col min="9" max="16384" width="9.109375" style="147"/>
  </cols>
  <sheetData>
    <row r="1" spans="2:8" x14ac:dyDescent="0.2">
      <c r="B1" s="323" t="s">
        <v>131</v>
      </c>
      <c r="C1" s="323"/>
      <c r="D1" s="323"/>
      <c r="E1" s="323"/>
      <c r="F1" s="323"/>
      <c r="G1" s="323"/>
    </row>
    <row r="2" spans="2:8" x14ac:dyDescent="0.2">
      <c r="B2" s="323" t="s">
        <v>132</v>
      </c>
      <c r="C2" s="323"/>
      <c r="D2" s="323"/>
      <c r="E2" s="323"/>
      <c r="F2" s="323"/>
      <c r="G2" s="323"/>
    </row>
    <row r="3" spans="2:8" s="148" customFormat="1" x14ac:dyDescent="0.2">
      <c r="B3" s="324" t="s">
        <v>133</v>
      </c>
      <c r="C3" s="324"/>
      <c r="D3" s="324"/>
      <c r="E3" s="324"/>
      <c r="F3" s="324"/>
      <c r="G3" s="324"/>
      <c r="H3" s="147"/>
    </row>
    <row r="4" spans="2:8" s="148" customFormat="1" x14ac:dyDescent="0.2">
      <c r="B4" s="325"/>
      <c r="C4" s="325"/>
      <c r="D4" s="325"/>
      <c r="E4" s="325"/>
      <c r="F4" s="325"/>
      <c r="G4" s="325"/>
      <c r="H4" s="147"/>
    </row>
    <row r="5" spans="2:8" s="148" customFormat="1" x14ac:dyDescent="0.2">
      <c r="B5" s="322" t="s">
        <v>134</v>
      </c>
      <c r="C5" s="322"/>
      <c r="D5" s="322"/>
      <c r="E5" s="322"/>
      <c r="F5" s="322"/>
      <c r="G5" s="322"/>
      <c r="H5" s="147"/>
    </row>
    <row r="6" spans="2:8" s="148" customFormat="1" ht="12" customHeight="1" thickBot="1" x14ac:dyDescent="0.25">
      <c r="C6" s="149"/>
      <c r="D6" s="150"/>
      <c r="E6" s="151"/>
      <c r="F6" s="151"/>
      <c r="H6" s="147"/>
    </row>
    <row r="7" spans="2:8" s="148" customFormat="1" ht="10.8" thickBot="1" x14ac:dyDescent="0.25">
      <c r="B7" s="152"/>
      <c r="C7" s="153"/>
      <c r="D7" s="154"/>
      <c r="E7" s="155" t="s">
        <v>135</v>
      </c>
      <c r="F7" s="156"/>
      <c r="G7" s="157"/>
      <c r="H7" s="147"/>
    </row>
    <row r="8" spans="2:8" s="148" customFormat="1" x14ac:dyDescent="0.2">
      <c r="B8" s="158"/>
      <c r="C8" s="159" t="s">
        <v>136</v>
      </c>
      <c r="D8" s="160"/>
      <c r="E8" s="161" t="s">
        <v>137</v>
      </c>
      <c r="F8" s="162" t="s">
        <v>138</v>
      </c>
      <c r="G8" s="163" t="s">
        <v>139</v>
      </c>
      <c r="H8" s="147"/>
    </row>
    <row r="9" spans="2:8" s="148" customFormat="1" x14ac:dyDescent="0.2">
      <c r="B9" s="164"/>
      <c r="C9" s="165"/>
      <c r="D9" s="166"/>
      <c r="E9" s="167"/>
      <c r="F9" s="168"/>
      <c r="G9" s="169"/>
      <c r="H9" s="147"/>
    </row>
    <row r="10" spans="2:8" s="148" customFormat="1" x14ac:dyDescent="0.2">
      <c r="B10" s="164"/>
      <c r="C10" s="165"/>
      <c r="D10" s="166"/>
      <c r="E10" s="164"/>
      <c r="F10" s="166"/>
      <c r="G10" s="170"/>
      <c r="H10" s="147"/>
    </row>
    <row r="11" spans="2:8" s="148" customFormat="1" x14ac:dyDescent="0.2">
      <c r="B11" s="171">
        <v>1</v>
      </c>
      <c r="C11" s="172"/>
      <c r="D11" s="166"/>
      <c r="E11" s="173"/>
      <c r="F11" s="166"/>
      <c r="G11" s="174"/>
      <c r="H11" s="147"/>
    </row>
    <row r="12" spans="2:8" s="148" customFormat="1" x14ac:dyDescent="0.2">
      <c r="B12" s="171">
        <v>2</v>
      </c>
      <c r="C12" s="172" t="s">
        <v>140</v>
      </c>
      <c r="D12" s="166"/>
      <c r="E12" s="175">
        <v>1470697.8404128507</v>
      </c>
      <c r="F12" s="176"/>
      <c r="G12" s="177">
        <f>SUM(E12:F12)</f>
        <v>1470697.8404128507</v>
      </c>
      <c r="H12" s="147"/>
    </row>
    <row r="13" spans="2:8" s="148" customFormat="1" x14ac:dyDescent="0.2">
      <c r="B13" s="171">
        <v>3</v>
      </c>
      <c r="C13" s="172"/>
      <c r="D13" s="166"/>
      <c r="E13" s="178"/>
      <c r="F13" s="179"/>
      <c r="G13" s="174"/>
      <c r="H13" s="147"/>
    </row>
    <row r="14" spans="2:8" s="148" customFormat="1" x14ac:dyDescent="0.2">
      <c r="B14" s="171">
        <v>4</v>
      </c>
      <c r="C14" s="172" t="s">
        <v>141</v>
      </c>
      <c r="D14" s="166"/>
      <c r="E14" s="178"/>
      <c r="F14" s="179">
        <v>125744.11673863082</v>
      </c>
      <c r="G14" s="177">
        <f>SUM(E14:F14)</f>
        <v>125744.11673863082</v>
      </c>
      <c r="H14" s="147"/>
    </row>
    <row r="15" spans="2:8" s="148" customFormat="1" x14ac:dyDescent="0.2">
      <c r="B15" s="171">
        <v>5</v>
      </c>
      <c r="C15" s="172"/>
      <c r="D15" s="166"/>
      <c r="E15" s="178"/>
      <c r="F15" s="179"/>
      <c r="G15" s="174"/>
      <c r="H15" s="147"/>
    </row>
    <row r="16" spans="2:8" s="148" customFormat="1" x14ac:dyDescent="0.2">
      <c r="B16" s="171">
        <v>6</v>
      </c>
      <c r="C16" s="165" t="s">
        <v>234</v>
      </c>
      <c r="D16" s="166"/>
      <c r="E16" s="178"/>
      <c r="F16" s="179">
        <v>-7875.5869354108154</v>
      </c>
      <c r="G16" s="177">
        <f>SUM(E16:F16)</f>
        <v>-7875.5869354108154</v>
      </c>
      <c r="H16" s="147"/>
    </row>
    <row r="17" spans="2:8" s="148" customFormat="1" x14ac:dyDescent="0.2">
      <c r="B17" s="171">
        <v>7</v>
      </c>
      <c r="C17" s="165"/>
      <c r="D17" s="166"/>
      <c r="E17" s="178"/>
      <c r="F17" s="179"/>
      <c r="G17" s="174"/>
      <c r="H17" s="147"/>
    </row>
    <row r="18" spans="2:8" s="148" customFormat="1" x14ac:dyDescent="0.2">
      <c r="B18" s="171">
        <v>8</v>
      </c>
      <c r="C18" s="165" t="s">
        <v>142</v>
      </c>
      <c r="D18" s="166"/>
      <c r="E18" s="178"/>
      <c r="F18" s="179">
        <v>4299545.2091000006</v>
      </c>
      <c r="G18" s="177">
        <f>SUM(E18:F18)</f>
        <v>4299545.2091000006</v>
      </c>
      <c r="H18" s="147"/>
    </row>
    <row r="19" spans="2:8" s="148" customFormat="1" x14ac:dyDescent="0.2">
      <c r="B19" s="171">
        <v>9</v>
      </c>
      <c r="C19" s="165"/>
      <c r="D19" s="166"/>
      <c r="E19" s="178"/>
      <c r="F19" s="179"/>
      <c r="G19" s="174"/>
      <c r="H19" s="147"/>
    </row>
    <row r="20" spans="2:8" s="148" customFormat="1" x14ac:dyDescent="0.2">
      <c r="B20" s="171">
        <v>10</v>
      </c>
      <c r="C20" s="165" t="s">
        <v>143</v>
      </c>
      <c r="D20" s="166"/>
      <c r="E20" s="178"/>
      <c r="F20" s="179">
        <v>5426.29483609409</v>
      </c>
      <c r="G20" s="177">
        <f>SUM(E20:F20)</f>
        <v>5426.29483609409</v>
      </c>
      <c r="H20" s="147"/>
    </row>
    <row r="21" spans="2:8" s="148" customFormat="1" x14ac:dyDescent="0.2">
      <c r="B21" s="171">
        <v>11</v>
      </c>
      <c r="C21" s="165"/>
      <c r="D21" s="166"/>
      <c r="E21" s="178"/>
      <c r="F21" s="179"/>
      <c r="G21" s="174"/>
      <c r="H21" s="147"/>
    </row>
    <row r="22" spans="2:8" s="148" customFormat="1" x14ac:dyDescent="0.2">
      <c r="B22" s="171">
        <v>12</v>
      </c>
      <c r="C22" s="165"/>
      <c r="D22" s="166"/>
      <c r="E22" s="178"/>
      <c r="F22" s="179"/>
      <c r="G22" s="174"/>
      <c r="H22" s="147"/>
    </row>
    <row r="23" spans="2:8" s="148" customFormat="1" x14ac:dyDescent="0.2">
      <c r="B23" s="171">
        <v>13</v>
      </c>
      <c r="C23" s="172"/>
      <c r="D23" s="166"/>
      <c r="E23" s="180"/>
      <c r="F23" s="176"/>
      <c r="G23" s="174"/>
      <c r="H23" s="147"/>
    </row>
    <row r="24" spans="2:8" s="148" customFormat="1" x14ac:dyDescent="0.2">
      <c r="B24" s="171">
        <v>14</v>
      </c>
      <c r="C24" s="181" t="s">
        <v>144</v>
      </c>
      <c r="D24" s="160" t="s">
        <v>145</v>
      </c>
      <c r="E24" s="182">
        <v>7.1599999999999997E-2</v>
      </c>
      <c r="F24" s="183"/>
      <c r="G24" s="184"/>
      <c r="H24" s="147"/>
    </row>
    <row r="25" spans="2:8" s="148" customFormat="1" x14ac:dyDescent="0.2">
      <c r="B25" s="171">
        <v>15</v>
      </c>
      <c r="C25" s="165"/>
      <c r="D25" s="166"/>
      <c r="E25" s="185"/>
      <c r="F25" s="186"/>
      <c r="G25" s="187"/>
      <c r="H25" s="147"/>
    </row>
    <row r="26" spans="2:8" s="148" customFormat="1" x14ac:dyDescent="0.2">
      <c r="B26" s="171">
        <v>16</v>
      </c>
      <c r="C26" s="165" t="s">
        <v>146</v>
      </c>
      <c r="D26" s="166"/>
      <c r="E26" s="188">
        <f>E12*E24</f>
        <v>105301.9653735601</v>
      </c>
      <c r="F26" s="189">
        <f>SUM(F12:F20)</f>
        <v>4422840.0337393144</v>
      </c>
      <c r="G26" s="177">
        <f>SUM(E26:F26)</f>
        <v>4528141.9991128743</v>
      </c>
      <c r="H26" s="147"/>
    </row>
    <row r="27" spans="2:8" s="148" customFormat="1" x14ac:dyDescent="0.2">
      <c r="B27" s="171">
        <v>17</v>
      </c>
      <c r="C27" s="165"/>
      <c r="D27" s="166"/>
      <c r="E27" s="188"/>
      <c r="F27" s="190"/>
      <c r="G27" s="191"/>
      <c r="H27" s="147"/>
    </row>
    <row r="28" spans="2:8" s="148" customFormat="1" x14ac:dyDescent="0.2">
      <c r="B28" s="171">
        <v>18</v>
      </c>
      <c r="C28" s="181" t="s">
        <v>147</v>
      </c>
      <c r="D28" s="160" t="s">
        <v>148</v>
      </c>
      <c r="E28" s="192">
        <v>0.79</v>
      </c>
      <c r="F28" s="193">
        <v>0.79</v>
      </c>
      <c r="G28" s="194">
        <v>0.79</v>
      </c>
      <c r="H28" s="147"/>
    </row>
    <row r="29" spans="2:8" s="148" customFormat="1" x14ac:dyDescent="0.2">
      <c r="B29" s="171">
        <v>19</v>
      </c>
      <c r="C29" s="165"/>
      <c r="D29" s="166"/>
      <c r="E29" s="164"/>
      <c r="F29" s="166"/>
      <c r="G29" s="195"/>
      <c r="H29" s="147"/>
    </row>
    <row r="30" spans="2:8" s="148" customFormat="1" x14ac:dyDescent="0.2">
      <c r="B30" s="171">
        <v>20</v>
      </c>
      <c r="C30" s="172" t="s">
        <v>149</v>
      </c>
      <c r="D30" s="166"/>
      <c r="E30" s="188">
        <f>E26/E28</f>
        <v>133293.62705513937</v>
      </c>
      <c r="F30" s="190">
        <f>F26/F28</f>
        <v>5598531.6882776134</v>
      </c>
      <c r="G30" s="177">
        <f>SUM(E30:F30)</f>
        <v>5731825.3153327527</v>
      </c>
      <c r="H30" s="147"/>
    </row>
    <row r="31" spans="2:8" s="148" customFormat="1" x14ac:dyDescent="0.2">
      <c r="B31" s="171">
        <v>21</v>
      </c>
      <c r="C31" s="165"/>
      <c r="D31" s="166"/>
      <c r="E31" s="164"/>
      <c r="F31" s="166"/>
      <c r="G31" s="170"/>
      <c r="H31" s="147"/>
    </row>
    <row r="32" spans="2:8" s="148" customFormat="1" x14ac:dyDescent="0.2">
      <c r="B32" s="171">
        <v>22</v>
      </c>
      <c r="C32" s="181" t="s">
        <v>150</v>
      </c>
      <c r="D32" s="160" t="s">
        <v>148</v>
      </c>
      <c r="E32" s="292">
        <v>0.95234799999999997</v>
      </c>
      <c r="F32" s="196">
        <f>E32</f>
        <v>0.95234799999999997</v>
      </c>
      <c r="G32" s="197">
        <f>E32</f>
        <v>0.95234799999999997</v>
      </c>
      <c r="H32" s="147"/>
    </row>
    <row r="33" spans="2:9" s="148" customFormat="1" x14ac:dyDescent="0.2">
      <c r="B33" s="171">
        <v>23</v>
      </c>
      <c r="C33" s="165"/>
      <c r="D33" s="166"/>
      <c r="E33" s="185"/>
      <c r="F33" s="186"/>
      <c r="G33" s="187"/>
      <c r="H33" s="147"/>
    </row>
    <row r="34" spans="2:9" s="148" customFormat="1" x14ac:dyDescent="0.2">
      <c r="B34" s="171">
        <v>24</v>
      </c>
      <c r="C34" s="172" t="s">
        <v>151</v>
      </c>
      <c r="D34" s="166"/>
      <c r="E34" s="188">
        <f>E30/E32</f>
        <v>139963.15113292553</v>
      </c>
      <c r="F34" s="190">
        <f>F30/F32</f>
        <v>5878661.6743854275</v>
      </c>
      <c r="G34" s="198">
        <f>SUM(E34:F34)</f>
        <v>6018624.8255183529</v>
      </c>
      <c r="H34" s="147"/>
    </row>
    <row r="35" spans="2:9" s="148" customFormat="1" x14ac:dyDescent="0.2">
      <c r="B35" s="171">
        <v>25</v>
      </c>
      <c r="C35" s="172"/>
      <c r="D35" s="166"/>
      <c r="E35" s="164"/>
      <c r="F35" s="166"/>
      <c r="G35" s="170"/>
      <c r="H35" s="147"/>
    </row>
    <row r="36" spans="2:9" s="148" customFormat="1" x14ac:dyDescent="0.2">
      <c r="B36" s="171">
        <v>26</v>
      </c>
      <c r="C36" s="199" t="s">
        <v>152</v>
      </c>
      <c r="D36" s="160"/>
      <c r="E36" s="180">
        <v>0</v>
      </c>
      <c r="F36" s="200">
        <v>0</v>
      </c>
      <c r="G36" s="177">
        <f>SUM(E36:F36)</f>
        <v>0</v>
      </c>
      <c r="H36" s="147"/>
    </row>
    <row r="37" spans="2:9" s="148" customFormat="1" x14ac:dyDescent="0.2">
      <c r="B37" s="171">
        <v>27</v>
      </c>
      <c r="C37" s="165"/>
      <c r="D37" s="166"/>
      <c r="E37" s="185"/>
      <c r="F37" s="186"/>
      <c r="G37" s="187"/>
      <c r="H37" s="147"/>
    </row>
    <row r="38" spans="2:9" s="148" customFormat="1" ht="16.2" customHeight="1" thickBot="1" x14ac:dyDescent="0.25">
      <c r="B38" s="171">
        <v>28</v>
      </c>
      <c r="C38" s="201" t="s">
        <v>153</v>
      </c>
      <c r="D38" s="202"/>
      <c r="E38" s="203">
        <f>SUM(E34:E37)</f>
        <v>139963.15113292553</v>
      </c>
      <c r="F38" s="204">
        <f>SUM(F34:F37)</f>
        <v>5878661.6743854275</v>
      </c>
      <c r="G38" s="205">
        <f>SUM(E38:F38)</f>
        <v>6018624.8255183529</v>
      </c>
      <c r="H38" s="147"/>
    </row>
    <row r="39" spans="2:9" s="148" customFormat="1" ht="10.8" thickTop="1" x14ac:dyDescent="0.2">
      <c r="B39" s="171">
        <v>29</v>
      </c>
      <c r="C39" s="172"/>
      <c r="D39" s="166"/>
      <c r="E39" s="188"/>
      <c r="F39" s="190"/>
      <c r="G39" s="191"/>
      <c r="H39" s="147"/>
    </row>
    <row r="40" spans="2:9" s="148" customFormat="1" ht="10.8" thickBot="1" x14ac:dyDescent="0.25">
      <c r="B40" s="206"/>
      <c r="C40" s="207"/>
      <c r="D40" s="208"/>
      <c r="E40" s="209"/>
      <c r="F40" s="210"/>
      <c r="G40" s="211"/>
      <c r="H40" s="147"/>
    </row>
    <row r="41" spans="2:9" s="166" customFormat="1" x14ac:dyDescent="0.2">
      <c r="B41" s="212"/>
      <c r="C41" s="213"/>
      <c r="E41" s="214"/>
      <c r="F41" s="214"/>
      <c r="G41" s="214"/>
      <c r="H41" s="147"/>
      <c r="I41" s="147"/>
    </row>
    <row r="42" spans="2:9" s="148" customFormat="1" x14ac:dyDescent="0.2">
      <c r="E42" s="215"/>
      <c r="F42" s="215"/>
      <c r="G42" s="215"/>
      <c r="H42" s="147"/>
      <c r="I42" s="147"/>
    </row>
    <row r="43" spans="2:9" s="148" customFormat="1" x14ac:dyDescent="0.2">
      <c r="C43" s="148" t="s">
        <v>154</v>
      </c>
      <c r="D43" s="147"/>
      <c r="E43" s="147"/>
      <c r="F43" s="147"/>
      <c r="G43" s="147"/>
      <c r="H43" s="147"/>
      <c r="I43" s="147"/>
    </row>
    <row r="44" spans="2:9" s="148" customFormat="1" x14ac:dyDescent="0.2">
      <c r="C44" s="216" t="s">
        <v>155</v>
      </c>
      <c r="D44" s="147"/>
      <c r="E44" s="293">
        <v>0</v>
      </c>
      <c r="H44" s="147"/>
      <c r="I44" s="147"/>
    </row>
    <row r="45" spans="2:9" s="148" customFormat="1" x14ac:dyDescent="0.2">
      <c r="C45" s="216" t="s">
        <v>156</v>
      </c>
      <c r="D45" s="147"/>
      <c r="E45" s="294">
        <f>E34</f>
        <v>139963.15113292553</v>
      </c>
      <c r="H45" s="147"/>
      <c r="I45" s="147"/>
    </row>
    <row r="46" spans="2:9" s="148" customFormat="1" x14ac:dyDescent="0.2">
      <c r="C46" s="216" t="s">
        <v>157</v>
      </c>
      <c r="D46" s="147"/>
      <c r="E46" s="295">
        <f>F16/$F$28/$F$32</f>
        <v>-10467.914445765589</v>
      </c>
      <c r="H46" s="147"/>
      <c r="I46" s="147"/>
    </row>
    <row r="47" spans="2:9" s="148" customFormat="1" x14ac:dyDescent="0.2">
      <c r="C47" s="216" t="s">
        <v>158</v>
      </c>
      <c r="E47" s="295">
        <f>F18/$F$28/$F$32</f>
        <v>5714783.1359965056</v>
      </c>
      <c r="H47" s="147"/>
      <c r="I47" s="147"/>
    </row>
    <row r="48" spans="2:9" s="148" customFormat="1" x14ac:dyDescent="0.2">
      <c r="C48" s="216" t="s">
        <v>159</v>
      </c>
      <c r="E48" s="295">
        <f>F14/$F$28/$F$32</f>
        <v>167134.03926252096</v>
      </c>
      <c r="H48" s="147"/>
      <c r="I48" s="147"/>
    </row>
    <row r="49" spans="3:9" s="148" customFormat="1" x14ac:dyDescent="0.2">
      <c r="C49" s="216" t="s">
        <v>160</v>
      </c>
      <c r="E49" s="295">
        <f>F20/$F$28/$F$32</f>
        <v>7212.4135721662988</v>
      </c>
      <c r="H49" s="147"/>
      <c r="I49" s="147"/>
    </row>
    <row r="50" spans="3:9" s="148" customFormat="1" ht="10.8" thickBot="1" x14ac:dyDescent="0.25">
      <c r="C50" s="217" t="s">
        <v>161</v>
      </c>
      <c r="E50" s="296">
        <f>G38</f>
        <v>6018624.8255183529</v>
      </c>
      <c r="H50" s="147"/>
      <c r="I50" s="147"/>
    </row>
    <row r="51" spans="3:9" s="148" customFormat="1" ht="10.8" thickTop="1" x14ac:dyDescent="0.2">
      <c r="E51" s="218">
        <f>SUM(E44:E49)-E50</f>
        <v>0</v>
      </c>
      <c r="H51" s="147"/>
      <c r="I51" s="147"/>
    </row>
    <row r="52" spans="3:9" s="148" customFormat="1" x14ac:dyDescent="0.2">
      <c r="H52" s="147"/>
      <c r="I52" s="147"/>
    </row>
    <row r="53" spans="3:9" s="148" customFormat="1" x14ac:dyDescent="0.2">
      <c r="H53" s="147"/>
      <c r="I53" s="147"/>
    </row>
    <row r="54" spans="3:9" s="148" customFormat="1" x14ac:dyDescent="0.2">
      <c r="H54" s="147"/>
      <c r="I54" s="147"/>
    </row>
  </sheetData>
  <mergeCells count="5">
    <mergeCell ref="B5:G5"/>
    <mergeCell ref="B2:G2"/>
    <mergeCell ref="B3:G3"/>
    <mergeCell ref="B1:G1"/>
    <mergeCell ref="B4:G4"/>
  </mergeCells>
  <conditionalFormatting sqref="E6">
    <cfRule type="cellIs" dxfId="1" priority="4" operator="notEqual">
      <formula>0</formula>
    </cfRule>
  </conditionalFormatting>
  <conditionalFormatting sqref="F6">
    <cfRule type="cellIs" dxfId="0" priority="3" operator="notEqual">
      <formula>0</formula>
    </cfRule>
  </conditionalFormatting>
  <printOptions horizontalCentered="1"/>
  <pageMargins left="0.35" right="0.35" top="0.39" bottom="0" header="0.3" footer="0.05"/>
  <pageSetup orientation="landscape" r:id="rId1"/>
  <headerFooter>
    <oddFooter>&amp;L&amp;F
&amp;A&amp;RPage &amp;P</oddFooter>
  </headerFooter>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zoomScale="115" zoomScaleNormal="115" workbookViewId="0"/>
  </sheetViews>
  <sheetFormatPr defaultColWidth="9.109375" defaultRowHeight="10.199999999999999" x14ac:dyDescent="0.2"/>
  <cols>
    <col min="1" max="1" width="54" style="227" customWidth="1"/>
    <col min="2" max="2" width="8.44140625" style="227" bestFit="1" customWidth="1"/>
    <col min="3" max="3" width="10" style="227" bestFit="1" customWidth="1"/>
    <col min="4" max="6" width="8.6640625" style="227" bestFit="1" customWidth="1"/>
    <col min="7" max="7" width="7" style="227" bestFit="1" customWidth="1"/>
    <col min="8" max="8" width="8.6640625" style="227" bestFit="1" customWidth="1"/>
    <col min="9" max="9" width="7" style="227" bestFit="1" customWidth="1"/>
    <col min="10" max="13" width="7.88671875" style="227" bestFit="1" customWidth="1"/>
    <col min="14" max="15" width="7" style="227" bestFit="1" customWidth="1"/>
    <col min="16" max="16" width="9.5546875" style="227" bestFit="1" customWidth="1"/>
    <col min="17" max="17" width="9.44140625" style="227" bestFit="1" customWidth="1"/>
    <col min="18" max="18" width="9.5546875" style="227" bestFit="1" customWidth="1"/>
    <col min="19" max="19" width="7.88671875" style="227" bestFit="1" customWidth="1"/>
    <col min="20" max="20" width="10" style="227" bestFit="1" customWidth="1"/>
    <col min="21" max="16384" width="9.109375" style="227"/>
  </cols>
  <sheetData>
    <row r="1" spans="1:20" s="226" customFormat="1" x14ac:dyDescent="0.2">
      <c r="A1" s="226" t="s">
        <v>164</v>
      </c>
      <c r="B1" s="226" t="s">
        <v>165</v>
      </c>
      <c r="C1" s="226" t="s">
        <v>166</v>
      </c>
      <c r="D1" s="226" t="s">
        <v>167</v>
      </c>
      <c r="E1" s="226" t="s">
        <v>168</v>
      </c>
      <c r="F1" s="226" t="s">
        <v>169</v>
      </c>
      <c r="G1" s="226" t="s">
        <v>170</v>
      </c>
      <c r="H1" s="226" t="s">
        <v>171</v>
      </c>
      <c r="I1" s="226" t="s">
        <v>172</v>
      </c>
      <c r="J1" s="226" t="s">
        <v>173</v>
      </c>
      <c r="K1" s="226" t="s">
        <v>174</v>
      </c>
      <c r="L1" s="226" t="s">
        <v>175</v>
      </c>
      <c r="M1" s="226" t="s">
        <v>176</v>
      </c>
      <c r="N1" s="226" t="s">
        <v>177</v>
      </c>
      <c r="O1" s="226" t="s">
        <v>178</v>
      </c>
      <c r="P1" s="226" t="s">
        <v>179</v>
      </c>
      <c r="Q1" s="226" t="s">
        <v>180</v>
      </c>
      <c r="R1" s="226" t="s">
        <v>181</v>
      </c>
      <c r="S1" s="226" t="s">
        <v>182</v>
      </c>
      <c r="T1" s="226" t="s">
        <v>183</v>
      </c>
    </row>
    <row r="2" spans="1:20" x14ac:dyDescent="0.2">
      <c r="A2" s="227" t="s">
        <v>184</v>
      </c>
      <c r="B2" s="227" t="s">
        <v>185</v>
      </c>
      <c r="C2" s="228">
        <v>2087281.596177585</v>
      </c>
      <c r="D2" s="228">
        <v>439014.97368917638</v>
      </c>
      <c r="E2" s="228">
        <v>488898.99827733717</v>
      </c>
      <c r="F2" s="228">
        <v>320836.84517965955</v>
      </c>
      <c r="G2" s="228">
        <v>8214.2841962024177</v>
      </c>
      <c r="H2" s="228">
        <v>222186.30105248999</v>
      </c>
      <c r="I2" s="228">
        <v>1531.797695616666</v>
      </c>
      <c r="J2" s="228">
        <v>10304.680093691752</v>
      </c>
      <c r="K2" s="228">
        <v>20210.935440219702</v>
      </c>
      <c r="L2" s="228">
        <v>74027.064431777457</v>
      </c>
      <c r="M2" s="228">
        <v>16112.776646952683</v>
      </c>
      <c r="N2" s="228">
        <v>1557.3076735881295</v>
      </c>
      <c r="O2" s="228">
        <v>644.06821724657721</v>
      </c>
      <c r="P2" s="228">
        <v>208573.20076600311</v>
      </c>
      <c r="Q2" s="228">
        <v>2847.0212996986802</v>
      </c>
      <c r="R2" s="228">
        <v>40582.123641423117</v>
      </c>
      <c r="S2" s="228">
        <v>45651.924503561495</v>
      </c>
      <c r="T2" s="228">
        <v>3414000</v>
      </c>
    </row>
    <row r="3" spans="1:20" x14ac:dyDescent="0.2">
      <c r="A3" s="227" t="s">
        <v>186</v>
      </c>
      <c r="B3" s="227" t="s">
        <v>185</v>
      </c>
      <c r="C3" s="228">
        <v>2046287.0634689757</v>
      </c>
      <c r="D3" s="228">
        <v>425282.53137800674</v>
      </c>
      <c r="E3" s="228">
        <v>498187.58124620002</v>
      </c>
      <c r="F3" s="228">
        <v>307514.53308364749</v>
      </c>
      <c r="G3" s="228">
        <v>7825.8739007479044</v>
      </c>
      <c r="H3" s="228">
        <v>220922.84938425315</v>
      </c>
      <c r="I3" s="228">
        <v>1503.7919218269435</v>
      </c>
      <c r="J3" s="228">
        <v>12888.939769993873</v>
      </c>
      <c r="K3" s="228">
        <v>20018.834844736728</v>
      </c>
      <c r="L3" s="228">
        <v>74425.014521139397</v>
      </c>
      <c r="M3" s="228">
        <v>16112.776646952683</v>
      </c>
      <c r="N3" s="228">
        <v>1557.3076735881295</v>
      </c>
      <c r="O3" s="228">
        <v>637.00645692649539</v>
      </c>
      <c r="P3" s="228">
        <v>209998.72183225755</v>
      </c>
      <c r="Q3" s="228">
        <v>2943.7455248513916</v>
      </c>
      <c r="R3" s="228">
        <v>40657.359600358715</v>
      </c>
      <c r="S3" s="228">
        <v>44039.400644464447</v>
      </c>
      <c r="T3" s="228">
        <v>3361000</v>
      </c>
    </row>
    <row r="4" spans="1:20" x14ac:dyDescent="0.2">
      <c r="A4" s="227" t="s">
        <v>187</v>
      </c>
      <c r="B4" s="227" t="s">
        <v>185</v>
      </c>
      <c r="C4" s="228">
        <v>1804022.0537038089</v>
      </c>
      <c r="D4" s="228">
        <v>407777.05024818348</v>
      </c>
      <c r="E4" s="228">
        <v>515999.84028456517</v>
      </c>
      <c r="F4" s="228">
        <v>302300.4025045085</v>
      </c>
      <c r="G4" s="228">
        <v>5546.4726596409737</v>
      </c>
      <c r="H4" s="228">
        <v>212767.30826436865</v>
      </c>
      <c r="I4" s="228">
        <v>1265.8211562446504</v>
      </c>
      <c r="J4" s="228">
        <v>18459.086518457458</v>
      </c>
      <c r="K4" s="228">
        <v>20024.502147921092</v>
      </c>
      <c r="L4" s="228">
        <v>73885.990015239659</v>
      </c>
      <c r="M4" s="228">
        <v>16112.776646952683</v>
      </c>
      <c r="N4" s="228">
        <v>1557.3076735881295</v>
      </c>
      <c r="O4" s="228">
        <v>650.7522311008006</v>
      </c>
      <c r="P4" s="228">
        <v>207389.58970005956</v>
      </c>
      <c r="Q4" s="228">
        <v>2813.4062834826223</v>
      </c>
      <c r="R4" s="228">
        <v>38510.562809853349</v>
      </c>
      <c r="S4" s="228">
        <v>41336.582768715336</v>
      </c>
      <c r="T4" s="228">
        <v>3124000</v>
      </c>
    </row>
    <row r="5" spans="1:20" x14ac:dyDescent="0.2">
      <c r="A5" s="227" t="s">
        <v>188</v>
      </c>
      <c r="B5" s="227" t="s">
        <v>185</v>
      </c>
      <c r="C5" s="228">
        <v>2092990.5401669464</v>
      </c>
      <c r="D5" s="228">
        <v>497715.72571607016</v>
      </c>
      <c r="E5" s="228">
        <v>528847.48858373496</v>
      </c>
      <c r="F5" s="228">
        <v>273709.67957035219</v>
      </c>
      <c r="G5" s="228">
        <v>1549.6267376000044</v>
      </c>
      <c r="H5" s="228">
        <v>212014.06551014649</v>
      </c>
      <c r="I5" s="228">
        <v>782.62521807703445</v>
      </c>
      <c r="J5" s="228">
        <v>37153.818660675461</v>
      </c>
      <c r="K5" s="228">
        <v>19565.504574004535</v>
      </c>
      <c r="L5" s="228">
        <v>71197.392382620877</v>
      </c>
      <c r="M5" s="228">
        <v>16112.776646952683</v>
      </c>
      <c r="N5" s="228">
        <v>1557.3076735881295</v>
      </c>
      <c r="O5" s="228">
        <v>1368.3026289142915</v>
      </c>
      <c r="P5" s="228">
        <v>204329.08878316308</v>
      </c>
      <c r="Q5" s="228">
        <v>2944.5405722308715</v>
      </c>
      <c r="R5" s="228">
        <v>37613.219101983879</v>
      </c>
      <c r="S5" s="228">
        <v>46979.344631272543</v>
      </c>
      <c r="T5" s="228">
        <v>3463000</v>
      </c>
    </row>
    <row r="6" spans="1:20" x14ac:dyDescent="0.2">
      <c r="A6" s="227" t="s">
        <v>189</v>
      </c>
      <c r="B6" s="227" t="s">
        <v>185</v>
      </c>
      <c r="C6" s="228">
        <v>2317772.7457320043</v>
      </c>
      <c r="D6" s="228">
        <v>511456.46726271161</v>
      </c>
      <c r="E6" s="228">
        <v>550774.65981149464</v>
      </c>
      <c r="F6" s="228">
        <v>272538.45720258215</v>
      </c>
      <c r="G6" s="228">
        <v>967.69016952306038</v>
      </c>
      <c r="H6" s="228">
        <v>208631.8867612984</v>
      </c>
      <c r="I6" s="228">
        <v>9.8873491384853285</v>
      </c>
      <c r="J6" s="228">
        <v>41804.423072175472</v>
      </c>
      <c r="K6" s="228">
        <v>20178.050006968395</v>
      </c>
      <c r="L6" s="228">
        <v>71458.184385869201</v>
      </c>
      <c r="M6" s="228">
        <v>16112.776646952683</v>
      </c>
      <c r="N6" s="228">
        <v>1557.3076735881295</v>
      </c>
      <c r="O6" s="228">
        <v>1623.7326905365112</v>
      </c>
      <c r="P6" s="228">
        <v>207212.84678308776</v>
      </c>
      <c r="Q6" s="228">
        <v>3684.0471808156658</v>
      </c>
      <c r="R6" s="228">
        <v>37035.68875427029</v>
      </c>
      <c r="S6" s="228">
        <v>49863.643728035837</v>
      </c>
      <c r="T6" s="228">
        <v>3691000</v>
      </c>
    </row>
    <row r="7" spans="1:20" x14ac:dyDescent="0.2">
      <c r="A7" s="227" t="s">
        <v>190</v>
      </c>
      <c r="B7" s="227" t="s">
        <v>185</v>
      </c>
      <c r="C7" s="228">
        <v>2632803.5355816404</v>
      </c>
      <c r="D7" s="228">
        <v>524380.79578742443</v>
      </c>
      <c r="E7" s="228">
        <v>543175.10953058384</v>
      </c>
      <c r="F7" s="228">
        <v>273359.2364270275</v>
      </c>
      <c r="G7" s="228">
        <v>898.93058284353197</v>
      </c>
      <c r="H7" s="228">
        <v>215700.30096996771</v>
      </c>
      <c r="I7" s="228">
        <v>10.743981037038631</v>
      </c>
      <c r="J7" s="228">
        <v>41685.167947530128</v>
      </c>
      <c r="K7" s="228">
        <v>17252.599103717919</v>
      </c>
      <c r="L7" s="228">
        <v>69436.232116018436</v>
      </c>
      <c r="M7" s="228">
        <v>16112.776646952683</v>
      </c>
      <c r="N7" s="228">
        <v>1557.3076735881295</v>
      </c>
      <c r="O7" s="228">
        <v>2191.3387273188437</v>
      </c>
      <c r="P7" s="228">
        <v>206742.90296482164</v>
      </c>
      <c r="Q7" s="228">
        <v>3890.8813379101575</v>
      </c>
      <c r="R7" s="228">
        <v>35735.713122820547</v>
      </c>
      <c r="S7" s="228">
        <v>51216.212984096739</v>
      </c>
      <c r="T7" s="228">
        <v>3924000</v>
      </c>
    </row>
    <row r="8" spans="1:20" x14ac:dyDescent="0.2">
      <c r="A8" s="227" t="s">
        <v>191</v>
      </c>
      <c r="B8" s="227" t="s">
        <v>185</v>
      </c>
      <c r="C8" s="228">
        <v>2476420.7888545343</v>
      </c>
      <c r="D8" s="228">
        <v>543988.82813451975</v>
      </c>
      <c r="E8" s="228">
        <v>552025.56326648837</v>
      </c>
      <c r="F8" s="228">
        <v>268648.99452109111</v>
      </c>
      <c r="G8" s="228">
        <v>935.12825204898274</v>
      </c>
      <c r="H8" s="228">
        <v>212041.34423513885</v>
      </c>
      <c r="I8" s="228">
        <v>32.930157050610461</v>
      </c>
      <c r="J8" s="228">
        <v>44315.485181221309</v>
      </c>
      <c r="K8" s="228">
        <v>17217.094936374771</v>
      </c>
      <c r="L8" s="228">
        <v>71517.498194696163</v>
      </c>
      <c r="M8" s="228">
        <v>16112.776646952683</v>
      </c>
      <c r="N8" s="228">
        <v>1557.3076735881295</v>
      </c>
      <c r="O8" s="228">
        <v>1858.7203725813397</v>
      </c>
      <c r="P8" s="228">
        <v>203624.94795945377</v>
      </c>
      <c r="Q8" s="228">
        <v>3579.4602468386124</v>
      </c>
      <c r="R8" s="228">
        <v>35790.160760607658</v>
      </c>
      <c r="S8" s="228">
        <v>48821.36663037278</v>
      </c>
      <c r="T8" s="228">
        <v>3833000</v>
      </c>
    </row>
    <row r="9" spans="1:20" x14ac:dyDescent="0.2">
      <c r="A9" s="227" t="s">
        <v>192</v>
      </c>
      <c r="B9" s="227" t="s">
        <v>185</v>
      </c>
      <c r="C9" s="228">
        <v>2778468.0619862978</v>
      </c>
      <c r="D9" s="228">
        <v>563963.56773502938</v>
      </c>
      <c r="E9" s="228">
        <v>567744.9147070524</v>
      </c>
      <c r="F9" s="228">
        <v>269439.02975479898</v>
      </c>
      <c r="G9" s="228">
        <v>1048.8531486527611</v>
      </c>
      <c r="H9" s="228">
        <v>220629.71973829615</v>
      </c>
      <c r="I9" s="228">
        <v>40.11315163086924</v>
      </c>
      <c r="J9" s="228">
        <v>44395.647893080895</v>
      </c>
      <c r="K9" s="228">
        <v>14700.293872245211</v>
      </c>
      <c r="L9" s="228">
        <v>71367.760712052404</v>
      </c>
      <c r="M9" s="228">
        <v>16112.776646952683</v>
      </c>
      <c r="N9" s="228">
        <v>1557.3076735881295</v>
      </c>
      <c r="O9" s="228">
        <v>1851.8726685919112</v>
      </c>
      <c r="P9" s="228">
        <v>208961.41979138745</v>
      </c>
      <c r="Q9" s="228">
        <v>4487.5251601057689</v>
      </c>
      <c r="R9" s="228">
        <v>37455.53083987024</v>
      </c>
      <c r="S9" s="228">
        <v>52138.648308229058</v>
      </c>
      <c r="T9" s="228">
        <v>4182000</v>
      </c>
    </row>
    <row r="10" spans="1:20" x14ac:dyDescent="0.2">
      <c r="A10" s="227" t="s">
        <v>193</v>
      </c>
      <c r="B10" s="227" t="s">
        <v>185</v>
      </c>
      <c r="C10" s="228">
        <v>2210152.8140009041</v>
      </c>
      <c r="D10" s="228">
        <v>540806.57276389538</v>
      </c>
      <c r="E10" s="228">
        <v>558392.68939826125</v>
      </c>
      <c r="F10" s="228">
        <v>266998.17029931978</v>
      </c>
      <c r="G10" s="228">
        <v>1039.4281379180793</v>
      </c>
      <c r="H10" s="228">
        <v>219701.20809829599</v>
      </c>
      <c r="I10" s="228">
        <v>19.050787449904991</v>
      </c>
      <c r="J10" s="228">
        <v>45103.977347222397</v>
      </c>
      <c r="K10" s="228">
        <v>15694.914748197723</v>
      </c>
      <c r="L10" s="228">
        <v>68362.294356116763</v>
      </c>
      <c r="M10" s="228">
        <v>16112.776646952683</v>
      </c>
      <c r="N10" s="228">
        <v>1557.3076735881295</v>
      </c>
      <c r="O10" s="228">
        <v>1537.0209892986315</v>
      </c>
      <c r="P10" s="228">
        <v>209512.09467222221</v>
      </c>
      <c r="Q10" s="228">
        <v>2924.4671746925874</v>
      </c>
      <c r="R10" s="228">
        <v>37751.766196667988</v>
      </c>
      <c r="S10" s="228">
        <v>48299.116634767859</v>
      </c>
      <c r="T10" s="228">
        <v>3697000</v>
      </c>
    </row>
    <row r="11" spans="1:20" x14ac:dyDescent="0.2">
      <c r="A11" s="227" t="s">
        <v>194</v>
      </c>
      <c r="B11" s="227" t="s">
        <v>185</v>
      </c>
      <c r="C11" s="228">
        <v>1965272.5150975229</v>
      </c>
      <c r="D11" s="228">
        <v>476477.44696452882</v>
      </c>
      <c r="E11" s="228">
        <v>512335.06854376761</v>
      </c>
      <c r="F11" s="228">
        <v>264198.82442481071</v>
      </c>
      <c r="G11" s="228">
        <v>2732.9840523544872</v>
      </c>
      <c r="H11" s="228">
        <v>211620.4430916328</v>
      </c>
      <c r="I11" s="228">
        <v>5726.4868616266058</v>
      </c>
      <c r="J11" s="228">
        <v>44270.813950225434</v>
      </c>
      <c r="K11" s="228">
        <v>17961.086357106753</v>
      </c>
      <c r="L11" s="228">
        <v>68102.61121737404</v>
      </c>
      <c r="M11" s="228">
        <v>16112.776646952683</v>
      </c>
      <c r="N11" s="228">
        <v>1557.3076735881295</v>
      </c>
      <c r="O11" s="228">
        <v>1715.5691521612073</v>
      </c>
      <c r="P11" s="228">
        <v>194752.76822589969</v>
      </c>
      <c r="Q11" s="228">
        <v>2933.156939297402</v>
      </c>
      <c r="R11" s="228">
        <v>38681.614484010526</v>
      </c>
      <c r="S11" s="228">
        <v>45377.730685335395</v>
      </c>
      <c r="T11" s="228">
        <v>3383000</v>
      </c>
    </row>
    <row r="12" spans="1:20" x14ac:dyDescent="0.2">
      <c r="A12" s="227" t="s">
        <v>195</v>
      </c>
      <c r="B12" s="227" t="s">
        <v>185</v>
      </c>
      <c r="C12" s="228">
        <v>1535583.7787791402</v>
      </c>
      <c r="D12" s="228">
        <v>409915.95669724967</v>
      </c>
      <c r="E12" s="228">
        <v>514223.99962331197</v>
      </c>
      <c r="F12" s="228">
        <v>268781.90777653002</v>
      </c>
      <c r="G12" s="228">
        <v>3830.9084720784358</v>
      </c>
      <c r="H12" s="228">
        <v>207968.03347367205</v>
      </c>
      <c r="I12" s="228">
        <v>4341.3254479065772</v>
      </c>
      <c r="J12" s="228">
        <v>30714.224396764093</v>
      </c>
      <c r="K12" s="228">
        <v>20003.062344770904</v>
      </c>
      <c r="L12" s="228">
        <v>69082.547102121564</v>
      </c>
      <c r="M12" s="228">
        <v>16112.776646952683</v>
      </c>
      <c r="N12" s="228">
        <v>1557.3076735881295</v>
      </c>
      <c r="O12" s="228">
        <v>1023.8524154295012</v>
      </c>
      <c r="P12" s="228">
        <v>213276.44601702661</v>
      </c>
      <c r="Q12" s="228">
        <v>2307.5176359192319</v>
      </c>
      <c r="R12" s="228">
        <v>39176.033260102638</v>
      </c>
      <c r="S12" s="228">
        <v>37458.035585174024</v>
      </c>
      <c r="T12" s="228">
        <v>2697000</v>
      </c>
    </row>
    <row r="13" spans="1:20" x14ac:dyDescent="0.2">
      <c r="A13" s="227" t="s">
        <v>196</v>
      </c>
      <c r="B13" s="227" t="s">
        <v>185</v>
      </c>
      <c r="C13" s="228">
        <v>2500282.6908040401</v>
      </c>
      <c r="D13" s="228">
        <v>501601.8616561158</v>
      </c>
      <c r="E13" s="228">
        <v>572546.65374837222</v>
      </c>
      <c r="F13" s="228">
        <v>327011.85126904596</v>
      </c>
      <c r="G13" s="228">
        <v>8075.5122747944479</v>
      </c>
      <c r="H13" s="228">
        <v>211415.70262857713</v>
      </c>
      <c r="I13" s="228">
        <v>6140.3830179955021</v>
      </c>
      <c r="J13" s="228">
        <v>26345.963974455532</v>
      </c>
      <c r="K13" s="228">
        <v>15833.386806664195</v>
      </c>
      <c r="L13" s="228">
        <v>71103.766427451643</v>
      </c>
      <c r="M13" s="228">
        <v>16112.776646952683</v>
      </c>
      <c r="N13" s="228">
        <v>1557.3076735881295</v>
      </c>
      <c r="O13" s="228">
        <v>766.14957923769862</v>
      </c>
      <c r="P13" s="228">
        <v>215859.39618734081</v>
      </c>
      <c r="Q13" s="228">
        <v>2734.7482193672749</v>
      </c>
      <c r="R13" s="228">
        <v>40198.672563465741</v>
      </c>
      <c r="S13" s="228">
        <v>52458.845744761362</v>
      </c>
      <c r="T13" s="228">
        <v>4036000</v>
      </c>
    </row>
    <row r="16" spans="1:20" x14ac:dyDescent="0.2">
      <c r="A16" s="229" t="s">
        <v>197</v>
      </c>
      <c r="B16" s="230"/>
      <c r="C16" s="230">
        <f>SUM(C2:C13)/12</f>
        <v>2203944.8486961168</v>
      </c>
      <c r="D16" s="230">
        <f t="shared" ref="D16:S16" si="0">SUM(D2:D13)/12</f>
        <v>486865.14816940925</v>
      </c>
      <c r="E16" s="230">
        <f t="shared" si="0"/>
        <v>533596.0472517641</v>
      </c>
      <c r="F16" s="230">
        <f t="shared" si="0"/>
        <v>284611.49433444784</v>
      </c>
      <c r="G16" s="230">
        <f t="shared" si="0"/>
        <v>3555.4743820337571</v>
      </c>
      <c r="H16" s="230">
        <f t="shared" si="0"/>
        <v>214633.2636006781</v>
      </c>
      <c r="I16" s="230">
        <f t="shared" si="0"/>
        <v>1783.7463954667408</v>
      </c>
      <c r="J16" s="230">
        <f t="shared" si="0"/>
        <v>33120.18573379115</v>
      </c>
      <c r="K16" s="230">
        <f t="shared" si="0"/>
        <v>18221.688765243995</v>
      </c>
      <c r="L16" s="230">
        <f t="shared" si="0"/>
        <v>71163.862988539797</v>
      </c>
      <c r="M16" s="230">
        <f t="shared" si="0"/>
        <v>16112.776646952678</v>
      </c>
      <c r="N16" s="230">
        <f t="shared" si="0"/>
        <v>1557.3076735881295</v>
      </c>
      <c r="O16" s="230">
        <f t="shared" si="0"/>
        <v>1322.365510778651</v>
      </c>
      <c r="P16" s="230">
        <f t="shared" si="0"/>
        <v>207519.45197356027</v>
      </c>
      <c r="Q16" s="230">
        <f t="shared" si="0"/>
        <v>3174.2097979341888</v>
      </c>
      <c r="R16" s="230">
        <f t="shared" si="0"/>
        <v>38265.703761286211</v>
      </c>
      <c r="S16" s="230">
        <f t="shared" si="0"/>
        <v>46970.071070732236</v>
      </c>
      <c r="T16" s="230">
        <f>SUM(C16:S16)</f>
        <v>4166417.646752323</v>
      </c>
    </row>
    <row r="17" spans="1:20" x14ac:dyDescent="0.2">
      <c r="A17" s="229" t="s">
        <v>198</v>
      </c>
      <c r="B17" s="231" t="s">
        <v>199</v>
      </c>
      <c r="C17" s="230">
        <f>+C16</f>
        <v>2203944.8486961168</v>
      </c>
      <c r="D17" s="230">
        <f t="shared" ref="D17:O17" si="1">+D16</f>
        <v>486865.14816940925</v>
      </c>
      <c r="E17" s="230">
        <f t="shared" si="1"/>
        <v>533596.0472517641</v>
      </c>
      <c r="F17" s="230">
        <f t="shared" si="1"/>
        <v>284611.49433444784</v>
      </c>
      <c r="G17" s="230">
        <f t="shared" si="1"/>
        <v>3555.4743820337571</v>
      </c>
      <c r="H17" s="230">
        <f t="shared" si="1"/>
        <v>214633.2636006781</v>
      </c>
      <c r="I17" s="230">
        <f t="shared" si="1"/>
        <v>1783.7463954667408</v>
      </c>
      <c r="J17" s="230">
        <f t="shared" si="1"/>
        <v>33120.18573379115</v>
      </c>
      <c r="K17" s="230">
        <v>0</v>
      </c>
      <c r="L17" s="230">
        <v>0</v>
      </c>
      <c r="M17" s="230">
        <f t="shared" ref="M17:N17" si="2">+M16</f>
        <v>16112.776646952678</v>
      </c>
      <c r="N17" s="230">
        <f t="shared" si="2"/>
        <v>1557.3076735881295</v>
      </c>
      <c r="O17" s="230">
        <f t="shared" si="1"/>
        <v>1322.365510778651</v>
      </c>
      <c r="P17" s="230">
        <v>0</v>
      </c>
      <c r="Q17" s="230">
        <v>0</v>
      </c>
      <c r="R17" s="230">
        <v>0</v>
      </c>
      <c r="S17" s="230">
        <v>0</v>
      </c>
      <c r="T17" s="230">
        <f t="shared" ref="T17:T18" si="3">SUM(C17:S17)</f>
        <v>3781102.6583950263</v>
      </c>
    </row>
    <row r="18" spans="1:20" x14ac:dyDescent="0.2">
      <c r="A18" s="229" t="s">
        <v>200</v>
      </c>
      <c r="B18" s="231" t="s">
        <v>199</v>
      </c>
      <c r="C18" s="232">
        <f>+C17/$T$17</f>
        <v>0.58288416047175784</v>
      </c>
      <c r="D18" s="232">
        <f t="shared" ref="D18:S18" si="4">+D17/$T$17</f>
        <v>0.12876274255300701</v>
      </c>
      <c r="E18" s="232">
        <f t="shared" si="4"/>
        <v>0.14112180902230803</v>
      </c>
      <c r="F18" s="232">
        <f t="shared" si="4"/>
        <v>7.5272088606887375E-2</v>
      </c>
      <c r="G18" s="232">
        <f t="shared" si="4"/>
        <v>9.4032738681127423E-4</v>
      </c>
      <c r="H18" s="232">
        <f t="shared" si="4"/>
        <v>5.6764727909234813E-2</v>
      </c>
      <c r="I18" s="232">
        <f t="shared" si="4"/>
        <v>4.717529664280239E-4</v>
      </c>
      <c r="J18" s="232">
        <f t="shared" si="4"/>
        <v>8.7593987061567249E-3</v>
      </c>
      <c r="K18" s="232">
        <f t="shared" si="4"/>
        <v>0</v>
      </c>
      <c r="L18" s="232">
        <f t="shared" si="4"/>
        <v>0</v>
      </c>
      <c r="M18" s="232">
        <f t="shared" si="4"/>
        <v>4.2613962387871547E-3</v>
      </c>
      <c r="N18" s="232">
        <f t="shared" si="4"/>
        <v>4.1186601218840316E-4</v>
      </c>
      <c r="O18" s="232">
        <f t="shared" si="4"/>
        <v>3.4973012643353056E-4</v>
      </c>
      <c r="P18" s="232">
        <f t="shared" si="4"/>
        <v>0</v>
      </c>
      <c r="Q18" s="232">
        <f t="shared" si="4"/>
        <v>0</v>
      </c>
      <c r="R18" s="232">
        <f t="shared" si="4"/>
        <v>0</v>
      </c>
      <c r="S18" s="232">
        <f t="shared" si="4"/>
        <v>0</v>
      </c>
      <c r="T18" s="232">
        <f t="shared" si="3"/>
        <v>1.0000000000000002</v>
      </c>
    </row>
  </sheetData>
  <pageMargins left="0.7" right="0.7" top="0.75" bottom="0.75" header="0.3" footer="0.3"/>
  <customProperties>
    <customPr name="_pios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38C0F41675FFB45939C40BD9F39CCE3" ma:contentTypeVersion="24" ma:contentTypeDescription="" ma:contentTypeScope="" ma:versionID="4d3f974b58607cace606d445c956211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Pending</CaseStatus>
    <OpenedDate xmlns="dc463f71-b30c-4ab2-9473-d307f9d35888">2023-01-17T08:00:00+00:00</OpenedDate>
    <SignificantOrder xmlns="dc463f71-b30c-4ab2-9473-d307f9d35888">false</SignificantOrder>
    <Date1 xmlns="dc463f71-b30c-4ab2-9473-d307f9d35888">2023-01-17T08:00:00+00:00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230040</DocketNumber>
    <DelegatedOrder xmlns="dc463f71-b30c-4ab2-9473-d307f9d35888">false</DelegatedOrder>
  </documentManagement>
</p:properties>
</file>

<file path=customXml/itemProps1.xml><?xml version="1.0" encoding="utf-8"?>
<ds:datastoreItem xmlns:ds="http://schemas.openxmlformats.org/officeDocument/2006/customXml" ds:itemID="{99C204D6-E85C-432B-9A90-D6C665573FEE}">
  <ds:schemaRefs>
    <ds:schemaRef ds:uri="http://schemas.microsoft.com/PowerBIAddIn"/>
  </ds:schemaRefs>
</ds:datastoreItem>
</file>

<file path=customXml/itemProps2.xml><?xml version="1.0" encoding="utf-8"?>
<ds:datastoreItem xmlns:ds="http://schemas.openxmlformats.org/officeDocument/2006/customXml" ds:itemID="{9AAB973C-3C09-4088-A738-2DD36AEE400F}"/>
</file>

<file path=customXml/itemProps3.xml><?xml version="1.0" encoding="utf-8"?>
<ds:datastoreItem xmlns:ds="http://schemas.openxmlformats.org/officeDocument/2006/customXml" ds:itemID="{63632016-D8CA-450A-8D53-E7FFE17563AD}"/>
</file>

<file path=customXml/itemProps4.xml><?xml version="1.0" encoding="utf-8"?>
<ds:datastoreItem xmlns:ds="http://schemas.openxmlformats.org/officeDocument/2006/customXml" ds:itemID="{272F9E8F-8503-4445-9D28-6C0E5652C19D}"/>
</file>

<file path=customXml/itemProps5.xml><?xml version="1.0" encoding="utf-8"?>
<ds:datastoreItem xmlns:ds="http://schemas.openxmlformats.org/officeDocument/2006/customXml" ds:itemID="{0F5F328C-5929-4B64-9BAA-17FAA357CC7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Lead Sheet</vt:lpstr>
      <vt:lpstr>Rate Impacts</vt:lpstr>
      <vt:lpstr>Typical Residential Notice</vt:lpstr>
      <vt:lpstr>Rate Spread</vt:lpstr>
      <vt:lpstr>Estimated Proforma Net Revenue</vt:lpstr>
      <vt:lpstr>TEP 12NCP</vt:lpstr>
      <vt:lpstr>Workpapers&gt;</vt:lpstr>
      <vt:lpstr>Rev Req 2023</vt:lpstr>
      <vt:lpstr>2022 GRC Load Research - NCP</vt:lpstr>
      <vt:lpstr>Controls-&gt;</vt:lpstr>
      <vt:lpstr>Inputs</vt:lpstr>
      <vt:lpstr>'Estimated Proforma Net Revenue'!Print_Area</vt:lpstr>
      <vt:lpstr>'Lead Sheet'!Print_Area</vt:lpstr>
      <vt:lpstr>'Rate Impacts'!Print_Area</vt:lpstr>
      <vt:lpstr>'Rate Spread'!Print_Area</vt:lpstr>
      <vt:lpstr>'Typical Residential Notice'!Print_Area</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prasan</dc:creator>
  <cp:lastModifiedBy>Regan, Jared</cp:lastModifiedBy>
  <cp:lastPrinted>2019-10-28T17:03:02Z</cp:lastPrinted>
  <dcterms:created xsi:type="dcterms:W3CDTF">2006-05-11T20:49:14Z</dcterms:created>
  <dcterms:modified xsi:type="dcterms:W3CDTF">2023-01-13T00:51:16Z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-63372437</vt:i4>
  </property>
  <property fmtid="{D5CDD505-2E9C-101B-9397-08002B2CF9AE}" pid="3" name="_NewReviewCycle">
    <vt:lpwstr/>
  </property>
  <property fmtid="{D5CDD505-2E9C-101B-9397-08002B2CF9AE}" pid="4" name="_EmailSubject">
    <vt:lpwstr>141TEP Rev Req 01.11.2023 SF.xlsx</vt:lpwstr>
  </property>
  <property fmtid="{D5CDD505-2E9C-101B-9397-08002B2CF9AE}" pid="5" name="_AuthorEmail">
    <vt:lpwstr>Jared.Regan@pse.com</vt:lpwstr>
  </property>
  <property fmtid="{D5CDD505-2E9C-101B-9397-08002B2CF9AE}" pid="6" name="_AuthorEmailDisplayName">
    <vt:lpwstr>Regan, Jared</vt:lpwstr>
  </property>
  <property fmtid="{D5CDD505-2E9C-101B-9397-08002B2CF9AE}" pid="7" name="ContentTypeId">
    <vt:lpwstr>0x0101006E56B4D1795A2E4DB2F0B01679ED314A00638C0F41675FFB45939C40BD9F39CCE3</vt:lpwstr>
  </property>
  <property fmtid="{D5CDD505-2E9C-101B-9397-08002B2CF9AE}" pid="8" name="IsEFSEC">
    <vt:bool>false</vt:bool>
  </property>
  <property fmtid="{D5CDD505-2E9C-101B-9397-08002B2CF9AE}" pid="9" name="_docset_NoMedatataSyncRequired">
    <vt:lpwstr>False</vt:lpwstr>
  </property>
</Properties>
</file>