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port01fps01\public\Evan Burmester\WUTC\"/>
    </mc:Choice>
  </mc:AlternateContent>
  <xr:revisionPtr revIDLastSave="0" documentId="8_{B2C9A189-7662-4678-B7B1-A977862AF7AE}" xr6:coauthVersionLast="47" xr6:coauthVersionMax="47" xr10:uidLastSave="{00000000-0000-0000-0000-000000000000}"/>
  <bookViews>
    <workbookView xWindow="-120" yWindow="-120" windowWidth="51840" windowHeight="21240" activeTab="2" xr2:uid="{00000000-000D-0000-FFFF-FFFF00000000}"/>
  </bookViews>
  <sheets>
    <sheet name="Revenue &amp; Expense Adj." sheetId="2" r:id="rId1"/>
    <sheet name="References" sheetId="6" r:id="rId2"/>
    <sheet name="Priceout" sheetId="5" r:id="rId3"/>
  </sheets>
  <definedNames>
    <definedName name="_xlnm.Print_Area" localSheetId="2">Priceout!$A$1:$N$70</definedName>
    <definedName name="_xlnm.Print_Area" localSheetId="0">'Revenue &amp; Expense Adj.'!$A$1:$K$31</definedName>
    <definedName name="_xlnm.Print_Titles" localSheetId="2">Priceout!$1:$1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E18" i="2" l="1"/>
  <c r="E27" i="2" s="1"/>
  <c r="G69" i="5" l="1"/>
  <c r="G68" i="5"/>
  <c r="G66" i="5"/>
  <c r="G67" i="5"/>
  <c r="G65" i="5"/>
  <c r="H67" i="5" l="1"/>
  <c r="H68" i="5"/>
  <c r="G62" i="5"/>
  <c r="H62" i="5" s="1"/>
  <c r="G61" i="5"/>
  <c r="H61" i="5" s="1"/>
  <c r="G60" i="5"/>
  <c r="H60" i="5" s="1"/>
  <c r="G54" i="5"/>
  <c r="H54" i="5" s="1"/>
  <c r="G55" i="5"/>
  <c r="H55" i="5" s="1"/>
  <c r="G56" i="5"/>
  <c r="H56" i="5" s="1"/>
  <c r="G57" i="5"/>
  <c r="H57" i="5" s="1"/>
  <c r="G58" i="5"/>
  <c r="H58" i="5" s="1"/>
  <c r="G59" i="5"/>
  <c r="H59" i="5" s="1"/>
  <c r="G53" i="5"/>
  <c r="H53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46" i="5"/>
  <c r="G45" i="5"/>
  <c r="H45" i="5" s="1"/>
  <c r="G44" i="5"/>
  <c r="G43" i="5"/>
  <c r="H43" i="5" s="1"/>
  <c r="G42" i="5"/>
  <c r="H42" i="5" s="1"/>
  <c r="H65" i="5"/>
  <c r="H66" i="5"/>
  <c r="H69" i="5"/>
  <c r="H46" i="5"/>
  <c r="G40" i="5"/>
  <c r="G39" i="5"/>
  <c r="G38" i="5"/>
  <c r="G37" i="5"/>
  <c r="H44" i="5"/>
  <c r="G36" i="5"/>
  <c r="G35" i="5"/>
  <c r="G34" i="5"/>
  <c r="G64" i="5" l="1"/>
  <c r="H64" i="5" s="1"/>
  <c r="G63" i="5"/>
  <c r="H63" i="5" s="1"/>
  <c r="G27" i="5"/>
  <c r="G26" i="5"/>
  <c r="G25" i="5"/>
  <c r="G20" i="5"/>
  <c r="G21" i="5"/>
  <c r="G22" i="5"/>
  <c r="G23" i="5"/>
  <c r="G24" i="5"/>
  <c r="G19" i="5"/>
  <c r="G18" i="5"/>
  <c r="G17" i="5"/>
  <c r="G16" i="5"/>
  <c r="G15" i="5"/>
  <c r="G14" i="5"/>
  <c r="G12" i="5" l="1"/>
  <c r="G11" i="5"/>
  <c r="G10" i="5"/>
  <c r="G9" i="5"/>
  <c r="G5" i="5"/>
  <c r="G6" i="5"/>
  <c r="G7" i="5"/>
  <c r="G4" i="5"/>
  <c r="G8" i="5"/>
  <c r="G2" i="5"/>
  <c r="G3" i="5"/>
  <c r="F12" i="5" l="1"/>
  <c r="H12" i="5" s="1"/>
  <c r="O12" i="5"/>
  <c r="B49" i="6" l="1"/>
  <c r="B52" i="6" s="1"/>
  <c r="C48" i="6"/>
  <c r="C47" i="6"/>
  <c r="B9" i="6"/>
  <c r="E3" i="5" s="1"/>
  <c r="B8" i="6"/>
  <c r="B7" i="6"/>
  <c r="H7" i="6" s="1"/>
  <c r="B6" i="6"/>
  <c r="G6" i="6" s="1"/>
  <c r="B5" i="6"/>
  <c r="E5" i="6" s="1"/>
  <c r="B4" i="6"/>
  <c r="F4" i="6" s="1"/>
  <c r="B3" i="6"/>
  <c r="G3" i="6" s="1"/>
  <c r="D29" i="5"/>
  <c r="D3" i="6" l="1"/>
  <c r="C49" i="6"/>
  <c r="C6" i="6"/>
  <c r="D7" i="6"/>
  <c r="D4" i="6"/>
  <c r="E6" i="6"/>
  <c r="F8" i="6"/>
  <c r="G8" i="6"/>
  <c r="H3" i="6"/>
  <c r="E4" i="6"/>
  <c r="F6" i="6"/>
  <c r="G7" i="6"/>
  <c r="E38" i="5"/>
  <c r="F38" i="5" s="1"/>
  <c r="H38" i="5" s="1"/>
  <c r="E37" i="5"/>
  <c r="F37" i="5" s="1"/>
  <c r="H37" i="5" s="1"/>
  <c r="E35" i="5"/>
  <c r="F35" i="5" s="1"/>
  <c r="H35" i="5" s="1"/>
  <c r="E34" i="5"/>
  <c r="F34" i="5" s="1"/>
  <c r="H34" i="5" s="1"/>
  <c r="E6" i="5"/>
  <c r="F6" i="5" s="1"/>
  <c r="H6" i="5" s="1"/>
  <c r="E11" i="5"/>
  <c r="F11" i="5" s="1"/>
  <c r="H11" i="5" s="1"/>
  <c r="E5" i="5"/>
  <c r="F5" i="5" s="1"/>
  <c r="H5" i="5" s="1"/>
  <c r="E8" i="5"/>
  <c r="F8" i="5" s="1"/>
  <c r="H8" i="5" s="1"/>
  <c r="E7" i="5"/>
  <c r="F7" i="5" s="1"/>
  <c r="H7" i="5" s="1"/>
  <c r="E4" i="5"/>
  <c r="F4" i="5" s="1"/>
  <c r="H4" i="5" s="1"/>
  <c r="E10" i="5"/>
  <c r="E9" i="5"/>
  <c r="F9" i="5" s="1"/>
  <c r="H9" i="5" s="1"/>
  <c r="C8" i="6"/>
  <c r="H8" i="6"/>
  <c r="G4" i="6"/>
  <c r="D8" i="6"/>
  <c r="E9" i="6"/>
  <c r="E39" i="5"/>
  <c r="F39" i="5" s="1"/>
  <c r="H39" i="5" s="1"/>
  <c r="E40" i="5"/>
  <c r="F40" i="5" s="1"/>
  <c r="H40" i="5" s="1"/>
  <c r="E36" i="5"/>
  <c r="F36" i="5" s="1"/>
  <c r="H36" i="5" s="1"/>
  <c r="E2" i="5"/>
  <c r="F2" i="5" s="1"/>
  <c r="H2" i="5" s="1"/>
  <c r="G50" i="6"/>
  <c r="G52" i="6" s="1"/>
  <c r="C4" i="6"/>
  <c r="H4" i="6"/>
  <c r="E8" i="6"/>
  <c r="D13" i="5"/>
  <c r="D30" i="5" s="1"/>
  <c r="F3" i="5"/>
  <c r="H3" i="5" s="1"/>
  <c r="F9" i="6"/>
  <c r="E3" i="6"/>
  <c r="C5" i="6"/>
  <c r="G5" i="6"/>
  <c r="D6" i="6"/>
  <c r="H6" i="6"/>
  <c r="E7" i="6"/>
  <c r="C9" i="6"/>
  <c r="G9" i="6"/>
  <c r="F5" i="6"/>
  <c r="F3" i="6"/>
  <c r="D5" i="6"/>
  <c r="H5" i="6"/>
  <c r="F7" i="6"/>
  <c r="D9" i="6"/>
  <c r="H9" i="6"/>
  <c r="C3" i="6"/>
  <c r="C7" i="6"/>
  <c r="O9" i="5"/>
  <c r="O3" i="5"/>
  <c r="O2" i="5"/>
  <c r="O8" i="5"/>
  <c r="O4" i="5"/>
  <c r="O5" i="5"/>
  <c r="O6" i="5"/>
  <c r="O7" i="5"/>
  <c r="O11" i="5"/>
  <c r="F10" i="5"/>
  <c r="H10" i="5" s="1"/>
  <c r="O10" i="5"/>
  <c r="B53" i="6" l="1"/>
  <c r="J11" i="2"/>
  <c r="H13" i="5"/>
  <c r="O13" i="5"/>
  <c r="F13" i="5"/>
  <c r="H19" i="5" l="1"/>
  <c r="O19" i="5"/>
  <c r="O15" i="5"/>
  <c r="H15" i="5"/>
  <c r="H22" i="5"/>
  <c r="O22" i="5"/>
  <c r="H26" i="5"/>
  <c r="O26" i="5"/>
  <c r="O27" i="5"/>
  <c r="H27" i="5"/>
  <c r="O20" i="5"/>
  <c r="H20" i="5"/>
  <c r="O14" i="5"/>
  <c r="H14" i="5"/>
  <c r="F29" i="5"/>
  <c r="F30" i="5" s="1"/>
  <c r="D80" i="5" s="1"/>
  <c r="O25" i="5"/>
  <c r="H25" i="5"/>
  <c r="O17" i="5"/>
  <c r="H17" i="5"/>
  <c r="O24" i="5"/>
  <c r="H24" i="5"/>
  <c r="H21" i="5"/>
  <c r="O21" i="5"/>
  <c r="O18" i="5"/>
  <c r="H18" i="5"/>
  <c r="H16" i="5"/>
  <c r="O16" i="5"/>
  <c r="O23" i="5"/>
  <c r="H23" i="5"/>
  <c r="H29" i="5" l="1"/>
  <c r="H30" i="5" s="1"/>
  <c r="O29" i="5"/>
  <c r="O30" i="5" s="1"/>
  <c r="G27" i="2" l="1"/>
  <c r="H27" i="2" s="1"/>
  <c r="F27" i="2"/>
  <c r="F28" i="2" s="1"/>
  <c r="D19" i="2"/>
  <c r="D28" i="2"/>
  <c r="F18" i="2"/>
  <c r="G18" i="2" l="1"/>
  <c r="H18" i="2" s="1"/>
  <c r="H19" i="2" s="1"/>
  <c r="I27" i="2"/>
  <c r="H28" i="2"/>
  <c r="F19" i="2"/>
  <c r="I18" i="2" l="1"/>
  <c r="I19" i="2" s="1"/>
  <c r="D12" i="2"/>
  <c r="D21" i="2" s="1"/>
  <c r="F11" i="2"/>
  <c r="H11" i="2"/>
  <c r="H12" i="2" s="1"/>
  <c r="H21" i="2" s="1"/>
  <c r="H31" i="2" s="1"/>
  <c r="I28" i="2"/>
  <c r="K27" i="2"/>
  <c r="K28" i="2" s="1"/>
  <c r="I11" i="2" l="1"/>
  <c r="F12" i="2"/>
  <c r="F21" i="2" s="1"/>
  <c r="F31" i="2" s="1"/>
  <c r="B54" i="6"/>
  <c r="B55" i="6" s="1"/>
  <c r="D78" i="5"/>
  <c r="D79" i="5" s="1"/>
  <c r="D81" i="5" s="1"/>
  <c r="D31" i="2"/>
  <c r="I12" i="2"/>
  <c r="I21" i="2" s="1"/>
  <c r="I31" i="2" s="1"/>
  <c r="I67" i="5" l="1"/>
  <c r="J67" i="5" s="1"/>
  <c r="K67" i="5" s="1"/>
  <c r="L67" i="5" s="1"/>
  <c r="N67" i="5" s="1"/>
  <c r="I69" i="5"/>
  <c r="J69" i="5" s="1"/>
  <c r="K69" i="5" s="1"/>
  <c r="L69" i="5" s="1"/>
  <c r="N69" i="5" s="1"/>
  <c r="I48" i="5"/>
  <c r="J48" i="5" s="1"/>
  <c r="K48" i="5" s="1"/>
  <c r="L48" i="5" s="1"/>
  <c r="N48" i="5" s="1"/>
  <c r="I51" i="5"/>
  <c r="J51" i="5" s="1"/>
  <c r="K51" i="5" s="1"/>
  <c r="L51" i="5" s="1"/>
  <c r="N51" i="5" s="1"/>
  <c r="I44" i="5"/>
  <c r="J44" i="5" s="1"/>
  <c r="K44" i="5" s="1"/>
  <c r="L44" i="5" s="1"/>
  <c r="N44" i="5" s="1"/>
  <c r="I42" i="5"/>
  <c r="J42" i="5" s="1"/>
  <c r="K42" i="5" s="1"/>
  <c r="L42" i="5" s="1"/>
  <c r="N42" i="5" s="1"/>
  <c r="I38" i="5"/>
  <c r="J38" i="5" s="1"/>
  <c r="K38" i="5" s="1"/>
  <c r="L38" i="5" s="1"/>
  <c r="N38" i="5" s="1"/>
  <c r="I40" i="5"/>
  <c r="J40" i="5" s="1"/>
  <c r="K40" i="5" s="1"/>
  <c r="L40" i="5" s="1"/>
  <c r="N40" i="5" s="1"/>
  <c r="I19" i="5"/>
  <c r="J19" i="5" s="1"/>
  <c r="K19" i="5" s="1"/>
  <c r="L19" i="5" s="1"/>
  <c r="N19" i="5" s="1"/>
  <c r="S19" i="5" s="1"/>
  <c r="I26" i="5"/>
  <c r="J26" i="5" s="1"/>
  <c r="K26" i="5" s="1"/>
  <c r="L26" i="5" s="1"/>
  <c r="N26" i="5" s="1"/>
  <c r="S26" i="5" s="1"/>
  <c r="I22" i="5"/>
  <c r="J22" i="5" s="1"/>
  <c r="K22" i="5" s="1"/>
  <c r="L22" i="5" s="1"/>
  <c r="N22" i="5" s="1"/>
  <c r="S22" i="5" s="1"/>
  <c r="I3" i="5"/>
  <c r="J3" i="5" s="1"/>
  <c r="K3" i="5" s="1"/>
  <c r="L3" i="5" s="1"/>
  <c r="N3" i="5" s="1"/>
  <c r="S3" i="5" s="1"/>
  <c r="I16" i="5"/>
  <c r="J16" i="5" s="1"/>
  <c r="K16" i="5" s="1"/>
  <c r="L16" i="5" s="1"/>
  <c r="N16" i="5" s="1"/>
  <c r="S16" i="5" s="1"/>
  <c r="I11" i="5"/>
  <c r="J11" i="5" s="1"/>
  <c r="K11" i="5" s="1"/>
  <c r="L11" i="5" s="1"/>
  <c r="N11" i="5" s="1"/>
  <c r="S11" i="5" s="1"/>
  <c r="I8" i="5"/>
  <c r="J8" i="5" s="1"/>
  <c r="K8" i="5" s="1"/>
  <c r="L8" i="5" s="1"/>
  <c r="N8" i="5" s="1"/>
  <c r="S8" i="5" s="1"/>
  <c r="I7" i="5"/>
  <c r="J7" i="5" s="1"/>
  <c r="K7" i="5" s="1"/>
  <c r="L7" i="5" s="1"/>
  <c r="N7" i="5" s="1"/>
  <c r="S7" i="5" s="1"/>
  <c r="I61" i="5"/>
  <c r="J61" i="5" s="1"/>
  <c r="K61" i="5" s="1"/>
  <c r="L61" i="5" s="1"/>
  <c r="N61" i="5" s="1"/>
  <c r="I68" i="5"/>
  <c r="J68" i="5" s="1"/>
  <c r="K68" i="5" s="1"/>
  <c r="L68" i="5" s="1"/>
  <c r="N68" i="5" s="1"/>
  <c r="I52" i="5"/>
  <c r="J52" i="5" s="1"/>
  <c r="K52" i="5" s="1"/>
  <c r="L52" i="5" s="1"/>
  <c r="N52" i="5" s="1"/>
  <c r="I46" i="5"/>
  <c r="J46" i="5" s="1"/>
  <c r="K46" i="5" s="1"/>
  <c r="L46" i="5" s="1"/>
  <c r="N46" i="5" s="1"/>
  <c r="I54" i="5"/>
  <c r="J54" i="5" s="1"/>
  <c r="K54" i="5" s="1"/>
  <c r="L54" i="5" s="1"/>
  <c r="N54" i="5" s="1"/>
  <c r="I45" i="5"/>
  <c r="J45" i="5" s="1"/>
  <c r="K45" i="5" s="1"/>
  <c r="L45" i="5" s="1"/>
  <c r="N45" i="5" s="1"/>
  <c r="I57" i="5"/>
  <c r="J57" i="5" s="1"/>
  <c r="K57" i="5" s="1"/>
  <c r="L57" i="5" s="1"/>
  <c r="N57" i="5" s="1"/>
  <c r="I36" i="5"/>
  <c r="J36" i="5" s="1"/>
  <c r="K36" i="5" s="1"/>
  <c r="L36" i="5" s="1"/>
  <c r="N36" i="5" s="1"/>
  <c r="I21" i="5"/>
  <c r="J21" i="5" s="1"/>
  <c r="K21" i="5" s="1"/>
  <c r="L21" i="5" s="1"/>
  <c r="N21" i="5" s="1"/>
  <c r="S21" i="5" s="1"/>
  <c r="I63" i="5"/>
  <c r="J63" i="5" s="1"/>
  <c r="K63" i="5" s="1"/>
  <c r="L63" i="5" s="1"/>
  <c r="N63" i="5" s="1"/>
  <c r="I25" i="5"/>
  <c r="J25" i="5" s="1"/>
  <c r="K25" i="5" s="1"/>
  <c r="L25" i="5" s="1"/>
  <c r="N25" i="5" s="1"/>
  <c r="S25" i="5" s="1"/>
  <c r="I12" i="5"/>
  <c r="J12" i="5" s="1"/>
  <c r="K12" i="5" s="1"/>
  <c r="L12" i="5" s="1"/>
  <c r="N12" i="5" s="1"/>
  <c r="S12" i="5" s="1"/>
  <c r="I9" i="5"/>
  <c r="J9" i="5" s="1"/>
  <c r="K9" i="5" s="1"/>
  <c r="L9" i="5" s="1"/>
  <c r="N9" i="5" s="1"/>
  <c r="S9" i="5" s="1"/>
  <c r="I6" i="5"/>
  <c r="J6" i="5" s="1"/>
  <c r="K6" i="5" s="1"/>
  <c r="L6" i="5" s="1"/>
  <c r="N6" i="5" s="1"/>
  <c r="S6" i="5" s="1"/>
  <c r="I2" i="5"/>
  <c r="I39" i="5"/>
  <c r="J39" i="5" s="1"/>
  <c r="K39" i="5" s="1"/>
  <c r="L39" i="5" s="1"/>
  <c r="N39" i="5" s="1"/>
  <c r="I23" i="5"/>
  <c r="J23" i="5" s="1"/>
  <c r="K23" i="5" s="1"/>
  <c r="L23" i="5" s="1"/>
  <c r="N23" i="5" s="1"/>
  <c r="S23" i="5" s="1"/>
  <c r="I27" i="5"/>
  <c r="J27" i="5" s="1"/>
  <c r="K27" i="5" s="1"/>
  <c r="L27" i="5" s="1"/>
  <c r="N27" i="5" s="1"/>
  <c r="S27" i="5" s="1"/>
  <c r="I10" i="5"/>
  <c r="J10" i="5" s="1"/>
  <c r="K10" i="5" s="1"/>
  <c r="L10" i="5" s="1"/>
  <c r="N10" i="5" s="1"/>
  <c r="S10" i="5" s="1"/>
  <c r="I5" i="5"/>
  <c r="J5" i="5" s="1"/>
  <c r="K5" i="5" s="1"/>
  <c r="L5" i="5" s="1"/>
  <c r="N5" i="5" s="1"/>
  <c r="S5" i="5" s="1"/>
  <c r="I4" i="5"/>
  <c r="J4" i="5" s="1"/>
  <c r="K4" i="5" s="1"/>
  <c r="L4" i="5" s="1"/>
  <c r="N4" i="5" s="1"/>
  <c r="S4" i="5" s="1"/>
  <c r="I65" i="5"/>
  <c r="J65" i="5" s="1"/>
  <c r="K65" i="5" s="1"/>
  <c r="L65" i="5" s="1"/>
  <c r="N65" i="5" s="1"/>
  <c r="I66" i="5"/>
  <c r="J66" i="5" s="1"/>
  <c r="K66" i="5" s="1"/>
  <c r="L66" i="5" s="1"/>
  <c r="N66" i="5" s="1"/>
  <c r="I62" i="5"/>
  <c r="J62" i="5" s="1"/>
  <c r="K62" i="5" s="1"/>
  <c r="L62" i="5" s="1"/>
  <c r="N62" i="5" s="1"/>
  <c r="I49" i="5"/>
  <c r="J49" i="5" s="1"/>
  <c r="K49" i="5" s="1"/>
  <c r="L49" i="5" s="1"/>
  <c r="N49" i="5" s="1"/>
  <c r="I58" i="5"/>
  <c r="J58" i="5" s="1"/>
  <c r="K58" i="5" s="1"/>
  <c r="L58" i="5" s="1"/>
  <c r="N58" i="5" s="1"/>
  <c r="I59" i="5"/>
  <c r="J59" i="5" s="1"/>
  <c r="K59" i="5" s="1"/>
  <c r="L59" i="5" s="1"/>
  <c r="N59" i="5" s="1"/>
  <c r="I55" i="5"/>
  <c r="J55" i="5" s="1"/>
  <c r="K55" i="5" s="1"/>
  <c r="L55" i="5" s="1"/>
  <c r="N55" i="5" s="1"/>
  <c r="I34" i="5"/>
  <c r="J34" i="5" s="1"/>
  <c r="K34" i="5" s="1"/>
  <c r="L34" i="5" s="1"/>
  <c r="N34" i="5" s="1"/>
  <c r="I18" i="5"/>
  <c r="J18" i="5" s="1"/>
  <c r="K18" i="5" s="1"/>
  <c r="L18" i="5" s="1"/>
  <c r="N18" i="5" s="1"/>
  <c r="S18" i="5" s="1"/>
  <c r="I15" i="5"/>
  <c r="J15" i="5" s="1"/>
  <c r="K15" i="5" s="1"/>
  <c r="L15" i="5" s="1"/>
  <c r="N15" i="5" s="1"/>
  <c r="S15" i="5" s="1"/>
  <c r="I64" i="5"/>
  <c r="J64" i="5" s="1"/>
  <c r="K64" i="5" s="1"/>
  <c r="L64" i="5" s="1"/>
  <c r="N64" i="5" s="1"/>
  <c r="I60" i="5"/>
  <c r="J60" i="5" s="1"/>
  <c r="K60" i="5" s="1"/>
  <c r="L60" i="5" s="1"/>
  <c r="N60" i="5" s="1"/>
  <c r="I50" i="5"/>
  <c r="J50" i="5" s="1"/>
  <c r="K50" i="5" s="1"/>
  <c r="L50" i="5" s="1"/>
  <c r="N50" i="5" s="1"/>
  <c r="I47" i="5"/>
  <c r="J47" i="5" s="1"/>
  <c r="K47" i="5" s="1"/>
  <c r="L47" i="5" s="1"/>
  <c r="N47" i="5" s="1"/>
  <c r="I43" i="5"/>
  <c r="J43" i="5" s="1"/>
  <c r="K43" i="5" s="1"/>
  <c r="L43" i="5" s="1"/>
  <c r="N43" i="5" s="1"/>
  <c r="I53" i="5"/>
  <c r="J53" i="5" s="1"/>
  <c r="K53" i="5" s="1"/>
  <c r="L53" i="5" s="1"/>
  <c r="N53" i="5" s="1"/>
  <c r="I56" i="5"/>
  <c r="J56" i="5" s="1"/>
  <c r="K56" i="5" s="1"/>
  <c r="L56" i="5" s="1"/>
  <c r="N56" i="5" s="1"/>
  <c r="I37" i="5"/>
  <c r="J37" i="5" s="1"/>
  <c r="K37" i="5" s="1"/>
  <c r="L37" i="5" s="1"/>
  <c r="N37" i="5" s="1"/>
  <c r="I35" i="5"/>
  <c r="J35" i="5" s="1"/>
  <c r="K35" i="5" s="1"/>
  <c r="L35" i="5" s="1"/>
  <c r="N35" i="5" s="1"/>
  <c r="I24" i="5"/>
  <c r="J24" i="5" s="1"/>
  <c r="K24" i="5" s="1"/>
  <c r="L24" i="5" s="1"/>
  <c r="N24" i="5" s="1"/>
  <c r="S24" i="5" s="1"/>
  <c r="I20" i="5"/>
  <c r="J20" i="5" s="1"/>
  <c r="K20" i="5" s="1"/>
  <c r="L20" i="5" s="1"/>
  <c r="N20" i="5" s="1"/>
  <c r="S20" i="5" s="1"/>
  <c r="I17" i="5"/>
  <c r="J17" i="5" s="1"/>
  <c r="K17" i="5" s="1"/>
  <c r="L17" i="5" s="1"/>
  <c r="N17" i="5" s="1"/>
  <c r="S17" i="5" s="1"/>
  <c r="I14" i="5"/>
  <c r="P5" i="5" l="1"/>
  <c r="Q5" i="5" s="1"/>
  <c r="P12" i="5"/>
  <c r="Q12" i="5" s="1"/>
  <c r="P7" i="5"/>
  <c r="Q7" i="5" s="1"/>
  <c r="P3" i="5"/>
  <c r="Q3" i="5" s="1"/>
  <c r="P17" i="5"/>
  <c r="Q17" i="5" s="1"/>
  <c r="P15" i="5"/>
  <c r="Q15" i="5" s="1"/>
  <c r="P10" i="5"/>
  <c r="Q10" i="5" s="1"/>
  <c r="I13" i="5"/>
  <c r="J2" i="5"/>
  <c r="K2" i="5" s="1"/>
  <c r="L2" i="5" s="1"/>
  <c r="N2" i="5" s="1"/>
  <c r="S2" i="5" s="1"/>
  <c r="P25" i="5"/>
  <c r="Q25" i="5" s="1"/>
  <c r="P8" i="5"/>
  <c r="Q8" i="5" s="1"/>
  <c r="P22" i="5"/>
  <c r="Q22" i="5" s="1"/>
  <c r="P20" i="5"/>
  <c r="Q20" i="5" s="1"/>
  <c r="P18" i="5"/>
  <c r="Q18" i="5" s="1"/>
  <c r="P27" i="5"/>
  <c r="Q27" i="5" s="1"/>
  <c r="P6" i="5"/>
  <c r="Q6" i="5" s="1"/>
  <c r="P11" i="5"/>
  <c r="Q11" i="5" s="1"/>
  <c r="P26" i="5"/>
  <c r="Q26" i="5" s="1"/>
  <c r="J14" i="5"/>
  <c r="I29" i="5"/>
  <c r="P24" i="5"/>
  <c r="Q24" i="5" s="1"/>
  <c r="P4" i="5"/>
  <c r="Q4" i="5" s="1"/>
  <c r="P23" i="5"/>
  <c r="Q23" i="5" s="1"/>
  <c r="P9" i="5"/>
  <c r="Q9" i="5" s="1"/>
  <c r="P21" i="5"/>
  <c r="Q21" i="5" s="1"/>
  <c r="P16" i="5"/>
  <c r="Q16" i="5" s="1"/>
  <c r="P19" i="5"/>
  <c r="Q19" i="5" s="1"/>
  <c r="K14" i="5" l="1"/>
  <c r="J29" i="5"/>
  <c r="P2" i="5"/>
  <c r="Q2" i="5" s="1"/>
  <c r="I30" i="5"/>
  <c r="L14" i="5" l="1"/>
  <c r="N14" i="5" s="1"/>
  <c r="K29" i="5"/>
  <c r="Q13" i="5"/>
  <c r="P13" i="5"/>
  <c r="S13" i="5" l="1"/>
  <c r="L13" i="5"/>
  <c r="S14" i="5"/>
  <c r="P14" i="5"/>
  <c r="Q14" i="5" l="1"/>
  <c r="Q29" i="5" s="1"/>
  <c r="P29" i="5"/>
  <c r="P30" i="5" s="1"/>
  <c r="Q30" i="5" l="1"/>
  <c r="S30" i="5" s="1"/>
  <c r="S29" i="5"/>
  <c r="J18" i="2"/>
  <c r="K18" i="2" s="1"/>
  <c r="K19" i="2" s="1"/>
  <c r="K11" i="2"/>
  <c r="K12" i="2" s="1"/>
  <c r="K21" i="2" l="1"/>
  <c r="K31" i="2" l="1"/>
</calcChain>
</file>

<file path=xl/sharedStrings.xml><?xml version="1.0" encoding="utf-8"?>
<sst xmlns="http://schemas.openxmlformats.org/spreadsheetml/2006/main" count="222" uniqueCount="177">
  <si>
    <t>Waste Management of North Sound &amp; Marysville</t>
  </si>
  <si>
    <t>TG-151382</t>
  </si>
  <si>
    <t>Total</t>
  </si>
  <si>
    <t>Pro Forma</t>
  </si>
  <si>
    <t>Proposed</t>
  </si>
  <si>
    <t>Revenue</t>
  </si>
  <si>
    <t>Rate</t>
  </si>
  <si>
    <t>Tons</t>
  </si>
  <si>
    <t>Extras</t>
  </si>
  <si>
    <t>Regulated Revenue and Expense Adjustment</t>
  </si>
  <si>
    <t>January 1, 2014 - December 31, 2014</t>
  </si>
  <si>
    <t>Regulated</t>
  </si>
  <si>
    <t>Expense</t>
  </si>
  <si>
    <t>Gross up</t>
  </si>
  <si>
    <t>Cost</t>
  </si>
  <si>
    <t>Adj.</t>
  </si>
  <si>
    <t>Factor</t>
  </si>
  <si>
    <t>Commercial</t>
  </si>
  <si>
    <t>King County</t>
  </si>
  <si>
    <t>North Sound</t>
  </si>
  <si>
    <t>Residential</t>
  </si>
  <si>
    <t>Roll Off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</si>
  <si>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</si>
  <si>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</si>
  <si>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</si>
  <si>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</si>
  <si>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</si>
  <si>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</si>
  <si>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</si>
  <si>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</si>
  <si>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</si>
  <si>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</si>
  <si>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</si>
  <si>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Grossed Up Increase per ton</t>
  </si>
  <si>
    <t>Tons Collected</t>
  </si>
  <si>
    <t>Disposal Fee Revenue Increase</t>
  </si>
  <si>
    <t>Tariff Page</t>
  </si>
  <si>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</si>
  <si>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</si>
  <si>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</si>
  <si>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</si>
  <si>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</si>
  <si>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</si>
  <si>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Gross Up</t>
  </si>
  <si>
    <t>Tariff Rate Increase</t>
  </si>
  <si>
    <t>Company Current Tariff</t>
  </si>
  <si>
    <t>Company Current Revenue</t>
  </si>
  <si>
    <t>Revised Revenue Increase</t>
  </si>
  <si>
    <t>Totals</t>
  </si>
  <si>
    <t>No Current Customers</t>
  </si>
  <si>
    <t>Adjustment Factor Calculation</t>
  </si>
  <si>
    <t>Not on Meeks</t>
  </si>
  <si>
    <t>Total Tonnage</t>
  </si>
  <si>
    <t>na - multiple pickups not on tariff</t>
  </si>
  <si>
    <t>Total Pounds</t>
  </si>
  <si>
    <t>Total Pick Ups</t>
  </si>
  <si>
    <t>Adjustment factor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</si>
  <si>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</si>
  <si>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</si>
  <si>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</si>
  <si>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</si>
  <si>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</si>
  <si>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</si>
  <si>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</si>
  <si>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</si>
  <si>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</si>
  <si>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</si>
  <si>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</si>
  <si>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</si>
  <si>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</si>
  <si>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</si>
  <si>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</si>
  <si>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</si>
  <si>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</si>
  <si>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</si>
  <si>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</si>
  <si>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</si>
  <si>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</si>
  <si>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</si>
  <si>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</si>
  <si>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</si>
  <si>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</si>
  <si>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</si>
  <si>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</si>
  <si>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</si>
  <si>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</si>
  <si>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</si>
  <si>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</si>
  <si>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</si>
  <si>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</si>
  <si>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</si>
  <si>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</si>
  <si>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</si>
  <si>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</si>
  <si>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</si>
  <si>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</si>
  <si>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</si>
  <si>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</si>
  <si>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</si>
  <si>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</si>
  <si>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</si>
  <si>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</si>
  <si>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</si>
  <si>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</si>
  <si>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</si>
  <si>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</si>
  <si>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</si>
  <si>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</si>
  <si>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</si>
  <si>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Mini-Can Weekly</t>
  </si>
  <si>
    <t>1 Can Monthly</t>
  </si>
  <si>
    <t>1 Can Weekly</t>
  </si>
  <si>
    <t>2 Can Weekly</t>
  </si>
  <si>
    <t>3 Can Weekly</t>
  </si>
  <si>
    <t>4 Can Weekly</t>
  </si>
  <si>
    <t>Line of Service</t>
  </si>
  <si>
    <t>35 Gal. Cart Weekly</t>
  </si>
  <si>
    <t>5 Cans Weekly</t>
  </si>
  <si>
    <t>6 Cans Weekly</t>
  </si>
  <si>
    <t>20 Gal. Cart Weekly</t>
  </si>
  <si>
    <t>35 Gal. Cart Monthly</t>
  </si>
  <si>
    <t>64 Gal. Cart Weekly</t>
  </si>
  <si>
    <t>96 Gal. Cart Weekly</t>
  </si>
  <si>
    <t>Extra Can/Bag</t>
  </si>
  <si>
    <t>32 Gal Can</t>
  </si>
  <si>
    <t>64 Gal Cart</t>
  </si>
  <si>
    <t>96 Gal Cart</t>
  </si>
  <si>
    <t>1 Yd</t>
  </si>
  <si>
    <t>1.5 Yd</t>
  </si>
  <si>
    <t>2 Yd</t>
  </si>
  <si>
    <t>3 Yd</t>
  </si>
  <si>
    <t>4 Yd</t>
  </si>
  <si>
    <t>6 Yd</t>
  </si>
  <si>
    <t>8 Yd</t>
  </si>
  <si>
    <t>2 Yd Compact</t>
  </si>
  <si>
    <t>3 Yd Compact</t>
  </si>
  <si>
    <t>6 Yd Compact</t>
  </si>
  <si>
    <t>4 Yd Compact</t>
  </si>
  <si>
    <t>35 Gal Cart</t>
  </si>
  <si>
    <t>8 Yd Compact</t>
  </si>
  <si>
    <t>From rate case TG-151382</t>
  </si>
  <si>
    <t>Mini-Can</t>
  </si>
  <si>
    <t>32 Gal Can Special PU</t>
  </si>
  <si>
    <t>35 Cal Cart Special PU</t>
  </si>
  <si>
    <t>64 Gal Cart Special PU</t>
  </si>
  <si>
    <t>96 Gal Cart Special PU</t>
  </si>
  <si>
    <t>1 Yd Temp PU</t>
  </si>
  <si>
    <t>1.5 Yd Temp PU</t>
  </si>
  <si>
    <t>2 Yd Temp PU</t>
  </si>
  <si>
    <t>3 Yd Temp PU</t>
  </si>
  <si>
    <t>4 Yd Temp PU</t>
  </si>
  <si>
    <t>6 Yd Temp PU</t>
  </si>
  <si>
    <t>8 Yd Temp PU</t>
  </si>
  <si>
    <t>64 Gal Bear Cart</t>
  </si>
  <si>
    <t>96 Gal Bear Cart</t>
  </si>
  <si>
    <t>Loose/Bulky Materials 1-4 Yd</t>
  </si>
  <si>
    <t>Loose/Bulky Materials Addtl. Yard</t>
  </si>
  <si>
    <t>1 Yd Special PU</t>
  </si>
  <si>
    <t>2 Yd Special PU</t>
  </si>
  <si>
    <t>3 Yd Special PU</t>
  </si>
  <si>
    <t>4 Yd Special PU</t>
  </si>
  <si>
    <t>6 Yd Special PU</t>
  </si>
  <si>
    <t>1.5 Yd Special PU</t>
  </si>
  <si>
    <t>8 Yd Special PU</t>
  </si>
  <si>
    <t>Mini-Can Minimum Charge</t>
  </si>
  <si>
    <t>32 Gal Can Minimum Charge</t>
  </si>
  <si>
    <t>2 Yd Compact Special PU</t>
  </si>
  <si>
    <t>3 Yd Compact Special PU</t>
  </si>
  <si>
    <t>6 Yd Compact Special PU</t>
  </si>
  <si>
    <t>4 Yd Compact Special PU</t>
  </si>
  <si>
    <t>8 Yd Compact Special PU</t>
  </si>
  <si>
    <t>31 and 44</t>
  </si>
  <si>
    <t>31 and 41</t>
  </si>
  <si>
    <t>Multi-Family / Commercial</t>
  </si>
  <si>
    <t>30 and 42</t>
  </si>
  <si>
    <t>Company Calculated Revenue</t>
  </si>
  <si>
    <t>Company Proposed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</si>
</sst>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0.0000%"/>
    <numFmt numFmtId="168" formatCode="_(&quot;$&quot;* #,##0.000_);_(&quot;$&quot;* \(#,##0.000\);_(&quot;$&quot;* &quot;-&quot;??_);_(@_)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indexed="8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sz val="10"/>
      <color rgb="FFFF0000"/>
      <name val="Arial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3" tint="0.39997558519241921"/>
      <name val="Arial"/>
      <family val="2"/>
    </font>
    <font>
      <u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Fill="1" applyBorder="1" applyAlignment="1">
      <alignment horizontal="left"/>
    </xf>
    <xf numFmtId="164" fontId="2" fillId="0" borderId="0" xfId="1" applyNumberFormat="1" applyFont="1"/>
    <xf numFmtId="0" fontId="8" fillId="0" borderId="0" xfId="8" applyFont="1" applyFill="1" applyBorder="1"/>
    <xf numFmtId="0" fontId="10" fillId="0" borderId="0" xfId="0" applyFont="1"/>
    <xf numFmtId="0" fontId="0" fillId="0" borderId="0" xfId="0" applyBorder="1"/>
    <xf numFmtId="0" fontId="9" fillId="0" borderId="0" xfId="0" applyFont="1" applyAlignment="1">
      <alignment horizontal="left"/>
    </xf>
    <xf numFmtId="0" fontId="4" fillId="0" borderId="0" xfId="0" applyFont="1"/>
    <xf numFmtId="166" fontId="6" fillId="0" borderId="0" xfId="7" applyNumberFormat="1" applyFont="1" applyBorder="1"/>
    <xf numFmtId="166" fontId="10" fillId="0" borderId="0" xfId="7" applyNumberFormat="1" applyFont="1" applyBorder="1"/>
    <xf numFmtId="44" fontId="10" fillId="0" borderId="0" xfId="7" applyFont="1" applyBorder="1"/>
    <xf numFmtId="166" fontId="7" fillId="0" borderId="0" xfId="7" applyNumberFormat="1" applyFont="1" applyBorder="1"/>
    <xf numFmtId="166" fontId="7" fillId="0" borderId="0" xfId="0" applyNumberFormat="1" applyFont="1" applyBorder="1"/>
    <xf numFmtId="166" fontId="0" fillId="0" borderId="0" xfId="0" applyNumberFormat="1" applyBorder="1"/>
    <xf numFmtId="44" fontId="0" fillId="0" borderId="0" xfId="7" applyFont="1" applyBorder="1"/>
    <xf numFmtId="166" fontId="6" fillId="0" borderId="0" xfId="5" applyNumberFormat="1" applyFont="1" applyBorder="1"/>
    <xf numFmtId="0" fontId="11" fillId="0" borderId="0" xfId="0" applyFont="1"/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6" fillId="0" borderId="0" xfId="5" applyFont="1" applyBorder="1"/>
    <xf numFmtId="43" fontId="10" fillId="0" borderId="0" xfId="0" applyNumberFormat="1" applyFont="1" applyBorder="1"/>
    <xf numFmtId="43" fontId="0" fillId="0" borderId="0" xfId="0" applyNumberFormat="1" applyBorder="1"/>
    <xf numFmtId="44" fontId="4" fillId="0" borderId="0" xfId="7" applyFont="1" applyBorder="1"/>
    <xf numFmtId="44" fontId="5" fillId="0" borderId="0" xfId="7" applyFont="1" applyBorder="1"/>
    <xf numFmtId="0" fontId="1" fillId="0" borderId="0" xfId="0" applyFont="1" applyBorder="1"/>
    <xf numFmtId="0" fontId="2" fillId="0" borderId="0" xfId="0" applyFont="1"/>
    <xf numFmtId="0" fontId="0" fillId="0" borderId="0" xfId="0" applyFont="1"/>
    <xf numFmtId="0" fontId="2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4" fontId="1" fillId="0" borderId="0" xfId="2" applyFont="1" applyFill="1"/>
    <xf numFmtId="168" fontId="1" fillId="0" borderId="0" xfId="2" applyNumberFormat="1" applyFont="1" applyFill="1"/>
    <xf numFmtId="168" fontId="1" fillId="0" borderId="1" xfId="2" applyNumberFormat="1" applyFont="1" applyFill="1" applyBorder="1"/>
    <xf numFmtId="0" fontId="0" fillId="0" borderId="0" xfId="0" applyFont="1" applyAlignment="1">
      <alignment horizontal="left" indent="1"/>
    </xf>
    <xf numFmtId="169" fontId="1" fillId="0" borderId="0" xfId="2" applyNumberFormat="1" applyFont="1" applyFill="1"/>
    <xf numFmtId="0" fontId="0" fillId="3" borderId="1" xfId="0" applyFont="1" applyFill="1" applyBorder="1"/>
    <xf numFmtId="44" fontId="0" fillId="0" borderId="0" xfId="0" applyNumberFormat="1" applyFont="1"/>
    <xf numFmtId="170" fontId="0" fillId="0" borderId="0" xfId="0" applyNumberFormat="1" applyFont="1"/>
    <xf numFmtId="166" fontId="13" fillId="0" borderId="0" xfId="2" applyNumberFormat="1" applyFont="1"/>
    <xf numFmtId="166" fontId="6" fillId="0" borderId="0" xfId="2" applyNumberFormat="1" applyFont="1" applyBorder="1"/>
    <xf numFmtId="166" fontId="13" fillId="0" borderId="0" xfId="0" applyNumberFormat="1" applyFont="1"/>
    <xf numFmtId="43" fontId="14" fillId="0" borderId="0" xfId="0" applyNumberFormat="1" applyFont="1" applyBorder="1"/>
    <xf numFmtId="166" fontId="14" fillId="0" borderId="0" xfId="2" applyNumberFormat="1" applyFont="1" applyBorder="1"/>
    <xf numFmtId="43" fontId="11" fillId="0" borderId="0" xfId="0" applyNumberFormat="1" applyFont="1"/>
    <xf numFmtId="166" fontId="11" fillId="0" borderId="0" xfId="2" applyNumberFormat="1" applyFont="1"/>
    <xf numFmtId="0" fontId="10" fillId="0" borderId="0" xfId="0" applyFont="1" applyFill="1" applyBorder="1" applyAlignment="1">
      <alignment horizontal="center"/>
    </xf>
    <xf numFmtId="2" fontId="0" fillId="0" borderId="0" xfId="0" applyNumberFormat="1"/>
    <xf numFmtId="43" fontId="7" fillId="0" borderId="0" xfId="0" applyNumberFormat="1" applyFont="1" applyBorder="1"/>
    <xf numFmtId="44" fontId="7" fillId="0" borderId="0" xfId="7" applyFont="1" applyBorder="1"/>
    <xf numFmtId="0" fontId="7" fillId="0" borderId="0" xfId="0" applyFont="1"/>
    <xf numFmtId="0" fontId="15" fillId="0" borderId="0" xfId="0" applyFont="1"/>
    <xf numFmtId="44" fontId="4" fillId="0" borderId="0" xfId="7" applyFont="1" applyFill="1"/>
    <xf numFmtId="43" fontId="4" fillId="0" borderId="0" xfId="9" applyFont="1" applyFill="1"/>
    <xf numFmtId="164" fontId="4" fillId="0" borderId="0" xfId="1" applyNumberFormat="1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3" fontId="1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43" fontId="1" fillId="0" borderId="0" xfId="1" applyFont="1" applyAlignment="1">
      <alignment horizontal="center"/>
    </xf>
    <xf numFmtId="164" fontId="1" fillId="0" borderId="0" xfId="1" applyNumberFormat="1" applyFont="1"/>
    <xf numFmtId="0" fontId="0" fillId="2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44" fontId="1" fillId="7" borderId="0" xfId="2" applyFont="1" applyFill="1"/>
    <xf numFmtId="44" fontId="1" fillId="7" borderId="1" xfId="2" applyFont="1" applyFill="1" applyBorder="1"/>
    <xf numFmtId="167" fontId="0" fillId="0" borderId="0" xfId="0" applyNumberFormat="1" applyFont="1"/>
    <xf numFmtId="44" fontId="2" fillId="0" borderId="0" xfId="0" applyNumberFormat="1" applyFont="1"/>
    <xf numFmtId="43" fontId="6" fillId="7" borderId="0" xfId="5" applyFont="1" applyFill="1" applyBorder="1"/>
    <xf numFmtId="165" fontId="1" fillId="0" borderId="0" xfId="3" applyNumberFormat="1" applyFont="1"/>
    <xf numFmtId="165" fontId="1" fillId="0" borderId="0" xfId="3" applyNumberFormat="1" applyFont="1" applyBorder="1"/>
    <xf numFmtId="164" fontId="1" fillId="7" borderId="1" xfId="1" applyNumberFormat="1" applyFont="1" applyFill="1" applyBorder="1"/>
    <xf numFmtId="0" fontId="17" fillId="3" borderId="1" xfId="0" applyFont="1" applyFill="1" applyBorder="1"/>
    <xf numFmtId="0" fontId="17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164" fontId="17" fillId="3" borderId="1" xfId="1" applyNumberFormat="1" applyFont="1" applyFill="1" applyBorder="1" applyAlignment="1">
      <alignment horizontal="center" wrapText="1"/>
    </xf>
    <xf numFmtId="0" fontId="18" fillId="0" borderId="0" xfId="0" applyFont="1"/>
    <xf numFmtId="0" fontId="18" fillId="0" borderId="0" xfId="0" applyFont="1" applyFill="1" applyBorder="1" applyAlignment="1">
      <alignment horizontal="center" vertical="center"/>
    </xf>
    <xf numFmtId="164" fontId="18" fillId="0" borderId="0" xfId="1" applyNumberFormat="1" applyFont="1" applyFill="1" applyBorder="1"/>
    <xf numFmtId="43" fontId="4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center" wrapText="1"/>
    </xf>
    <xf numFmtId="44" fontId="18" fillId="0" borderId="0" xfId="2" applyFont="1" applyFill="1" applyBorder="1"/>
    <xf numFmtId="44" fontId="18" fillId="9" borderId="0" xfId="2" applyFont="1" applyFill="1" applyBorder="1"/>
    <xf numFmtId="166" fontId="18" fillId="0" borderId="0" xfId="2" applyNumberFormat="1" applyFont="1" applyFill="1" applyBorder="1"/>
    <xf numFmtId="44" fontId="18" fillId="4" borderId="0" xfId="2" applyFont="1" applyFill="1" applyBorder="1"/>
    <xf numFmtId="0" fontId="18" fillId="0" borderId="0" xfId="0" applyFont="1" applyFill="1" applyBorder="1" applyAlignment="1">
      <alignment horizontal="center" vertical="center" textRotation="90"/>
    </xf>
    <xf numFmtId="0" fontId="18" fillId="3" borderId="1" xfId="0" applyFont="1" applyFill="1" applyBorder="1" applyAlignment="1">
      <alignment vertical="center" textRotation="90"/>
    </xf>
    <xf numFmtId="0" fontId="18" fillId="3" borderId="1" xfId="0" applyFont="1" applyFill="1" applyBorder="1" applyAlignment="1">
      <alignment horizontal="center" vertical="center"/>
    </xf>
    <xf numFmtId="0" fontId="5" fillId="3" borderId="1" xfId="10" applyFont="1" applyFill="1" applyBorder="1" applyAlignment="1">
      <alignment horizontal="left"/>
    </xf>
    <xf numFmtId="3" fontId="17" fillId="3" borderId="1" xfId="0" applyNumberFormat="1" applyFont="1" applyFill="1" applyBorder="1" applyAlignment="1">
      <alignment horizontal="right"/>
    </xf>
    <xf numFmtId="43" fontId="18" fillId="3" borderId="1" xfId="1" applyFont="1" applyFill="1" applyBorder="1"/>
    <xf numFmtId="164" fontId="17" fillId="3" borderId="1" xfId="0" applyNumberFormat="1" applyFont="1" applyFill="1" applyBorder="1"/>
    <xf numFmtId="43" fontId="18" fillId="3" borderId="1" xfId="0" applyNumberFormat="1" applyFont="1" applyFill="1" applyBorder="1"/>
    <xf numFmtId="3" fontId="17" fillId="3" borderId="1" xfId="0" applyNumberFormat="1" applyFont="1" applyFill="1" applyBorder="1"/>
    <xf numFmtId="164" fontId="17" fillId="3" borderId="1" xfId="1" applyNumberFormat="1" applyFont="1" applyFill="1" applyBorder="1"/>
    <xf numFmtId="44" fontId="18" fillId="3" borderId="1" xfId="2" applyFont="1" applyFill="1" applyBorder="1"/>
    <xf numFmtId="166" fontId="17" fillId="7" borderId="1" xfId="2" applyNumberFormat="1" applyFont="1" applyFill="1" applyBorder="1"/>
    <xf numFmtId="166" fontId="17" fillId="3" borderId="1" xfId="2" applyNumberFormat="1" applyFont="1" applyFill="1" applyBorder="1"/>
    <xf numFmtId="44" fontId="17" fillId="3" borderId="1" xfId="2" applyFont="1" applyFill="1" applyBorder="1"/>
    <xf numFmtId="0" fontId="18" fillId="0" borderId="0" xfId="0" applyFont="1" applyFill="1"/>
    <xf numFmtId="43" fontId="18" fillId="0" borderId="0" xfId="1" applyNumberFormat="1" applyFont="1" applyFill="1" applyBorder="1"/>
    <xf numFmtId="164" fontId="4" fillId="0" borderId="0" xfId="1" applyNumberFormat="1" applyFont="1" applyFill="1" applyBorder="1"/>
    <xf numFmtId="43" fontId="18" fillId="0" borderId="0" xfId="2" applyNumberFormat="1" applyFont="1" applyFill="1" applyBorder="1"/>
    <xf numFmtId="0" fontId="18" fillId="3" borderId="1" xfId="0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5" fillId="0" borderId="0" xfId="10" applyFont="1" applyFill="1" applyBorder="1" applyAlignment="1">
      <alignment horizontal="left"/>
    </xf>
    <xf numFmtId="164" fontId="17" fillId="0" borderId="0" xfId="1" applyNumberFormat="1" applyFont="1" applyBorder="1" applyAlignment="1">
      <alignment horizontal="right"/>
    </xf>
    <xf numFmtId="44" fontId="17" fillId="0" borderId="0" xfId="2" applyFont="1" applyBorder="1" applyAlignment="1">
      <alignment horizontal="right"/>
    </xf>
    <xf numFmtId="166" fontId="17" fillId="0" borderId="0" xfId="2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164" fontId="18" fillId="0" borderId="0" xfId="1" applyNumberFormat="1" applyFont="1" applyBorder="1"/>
    <xf numFmtId="44" fontId="18" fillId="0" borderId="0" xfId="1" applyNumberFormat="1" applyFont="1" applyFill="1" applyBorder="1"/>
    <xf numFmtId="9" fontId="18" fillId="0" borderId="0" xfId="3" applyFont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7" fillId="5" borderId="0" xfId="0" applyFont="1" applyFill="1" applyBorder="1"/>
    <xf numFmtId="0" fontId="18" fillId="5" borderId="0" xfId="0" applyFont="1" applyFill="1" applyBorder="1" applyAlignment="1">
      <alignment horizontal="right"/>
    </xf>
    <xf numFmtId="164" fontId="18" fillId="5" borderId="0" xfId="1" applyNumberFormat="1" applyFont="1" applyFill="1" applyBorder="1"/>
    <xf numFmtId="44" fontId="18" fillId="5" borderId="0" xfId="1" applyNumberFormat="1" applyFont="1" applyFill="1" applyBorder="1"/>
    <xf numFmtId="0" fontId="18" fillId="0" borderId="0" xfId="0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44" fontId="18" fillId="0" borderId="0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4" fillId="0" borderId="1" xfId="11" applyFont="1" applyFill="1" applyBorder="1"/>
    <xf numFmtId="164" fontId="18" fillId="0" borderId="1" xfId="1" applyNumberFormat="1" applyFont="1" applyFill="1" applyBorder="1" applyAlignment="1">
      <alignment horizontal="right"/>
    </xf>
    <xf numFmtId="43" fontId="18" fillId="0" borderId="1" xfId="1" applyNumberFormat="1" applyFont="1" applyFill="1" applyBorder="1"/>
    <xf numFmtId="164" fontId="18" fillId="0" borderId="1" xfId="1" applyNumberFormat="1" applyFont="1" applyFill="1" applyBorder="1"/>
    <xf numFmtId="44" fontId="18" fillId="0" borderId="1" xfId="2" applyFont="1" applyFill="1" applyBorder="1"/>
    <xf numFmtId="0" fontId="18" fillId="0" borderId="2" xfId="0" applyFont="1" applyFill="1" applyBorder="1" applyAlignment="1">
      <alignment horizontal="center"/>
    </xf>
    <xf numFmtId="0" fontId="18" fillId="0" borderId="2" xfId="0" applyFont="1" applyBorder="1"/>
    <xf numFmtId="164" fontId="4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right"/>
    </xf>
    <xf numFmtId="164" fontId="18" fillId="0" borderId="2" xfId="1" applyNumberFormat="1" applyFont="1" applyFill="1" applyBorder="1" applyAlignment="1">
      <alignment horizontal="center" wrapText="1"/>
    </xf>
    <xf numFmtId="44" fontId="18" fillId="0" borderId="2" xfId="2" applyFont="1" applyFill="1" applyBorder="1"/>
    <xf numFmtId="44" fontId="18" fillId="9" borderId="2" xfId="2" applyFont="1" applyFill="1" applyBorder="1"/>
    <xf numFmtId="164" fontId="4" fillId="0" borderId="0" xfId="1" applyNumberFormat="1" applyFont="1" applyFill="1" applyBorder="1" applyAlignment="1">
      <alignment horizontal="right"/>
    </xf>
    <xf numFmtId="0" fontId="4" fillId="0" borderId="0" xfId="11" applyFont="1" applyFill="1" applyBorder="1"/>
    <xf numFmtId="43" fontId="18" fillId="0" borderId="0" xfId="1" applyFont="1" applyFill="1" applyBorder="1"/>
    <xf numFmtId="0" fontId="4" fillId="0" borderId="0" xfId="13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12" applyFont="1" applyFill="1" applyBorder="1" applyAlignment="1">
      <alignment horizontal="left"/>
    </xf>
    <xf numFmtId="0" fontId="18" fillId="8" borderId="7" xfId="0" applyFont="1" applyFill="1" applyBorder="1" applyAlignment="1">
      <alignment horizontal="center"/>
    </xf>
    <xf numFmtId="0" fontId="4" fillId="8" borderId="0" xfId="12" applyFont="1" applyFill="1" applyBorder="1" applyAlignment="1">
      <alignment horizontal="left"/>
    </xf>
    <xf numFmtId="164" fontId="18" fillId="8" borderId="0" xfId="1" applyNumberFormat="1" applyFont="1" applyFill="1" applyBorder="1" applyAlignment="1">
      <alignment horizontal="right"/>
    </xf>
    <xf numFmtId="43" fontId="18" fillId="8" borderId="0" xfId="1" applyFont="1" applyFill="1" applyBorder="1"/>
    <xf numFmtId="164" fontId="4" fillId="8" borderId="0" xfId="1" applyNumberFormat="1" applyFont="1" applyFill="1" applyBorder="1"/>
    <xf numFmtId="164" fontId="18" fillId="8" borderId="0" xfId="1" applyNumberFormat="1" applyFont="1" applyFill="1" applyBorder="1" applyAlignment="1">
      <alignment horizontal="center" wrapText="1"/>
    </xf>
    <xf numFmtId="44" fontId="18" fillId="8" borderId="0" xfId="2" applyFont="1" applyFill="1" applyBorder="1"/>
    <xf numFmtId="0" fontId="18" fillId="8" borderId="0" xfId="0" applyFont="1" applyFill="1" applyBorder="1"/>
    <xf numFmtId="0" fontId="18" fillId="0" borderId="7" xfId="0" applyFont="1" applyBorder="1" applyAlignment="1">
      <alignment horizontal="center"/>
    </xf>
    <xf numFmtId="164" fontId="18" fillId="0" borderId="0" xfId="1" applyNumberFormat="1" applyFont="1" applyBorder="1" applyAlignment="1">
      <alignment horizontal="right"/>
    </xf>
    <xf numFmtId="0" fontId="18" fillId="0" borderId="1" xfId="0" applyFont="1" applyBorder="1"/>
    <xf numFmtId="44" fontId="18" fillId="0" borderId="0" xfId="0" applyNumberFormat="1" applyFont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vertical="center" textRotation="90"/>
    </xf>
    <xf numFmtId="0" fontId="12" fillId="0" borderId="0" xfId="12" applyFont="1" applyBorder="1" applyAlignment="1">
      <alignment horizontal="left"/>
    </xf>
    <xf numFmtId="166" fontId="18" fillId="0" borderId="0" xfId="0" applyNumberFormat="1" applyFont="1" applyBorder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left"/>
    </xf>
    <xf numFmtId="164" fontId="17" fillId="0" borderId="1" xfId="1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43" fontId="18" fillId="0" borderId="0" xfId="0" applyNumberFormat="1" applyFont="1" applyBorder="1"/>
    <xf numFmtId="164" fontId="19" fillId="0" borderId="3" xfId="14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0" fontId="18" fillId="6" borderId="0" xfId="1" applyNumberFormat="1" applyFont="1" applyFill="1" applyBorder="1"/>
    <xf numFmtId="164" fontId="18" fillId="6" borderId="0" xfId="1" applyNumberFormat="1" applyFont="1" applyFill="1" applyBorder="1"/>
    <xf numFmtId="0" fontId="20" fillId="0" borderId="0" xfId="1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0" fontId="18" fillId="0" borderId="0" xfId="3" applyNumberFormat="1" applyFont="1" applyFill="1" applyBorder="1" applyAlignment="1">
      <alignment horizontal="right"/>
    </xf>
    <xf numFmtId="10" fontId="18" fillId="0" borderId="0" xfId="3" applyNumberFormat="1" applyFont="1" applyBorder="1" applyAlignment="1">
      <alignment horizontal="right"/>
    </xf>
    <xf numFmtId="10" fontId="18" fillId="0" borderId="0" xfId="3" applyNumberFormat="1" applyFont="1" applyBorder="1"/>
    <xf numFmtId="0" fontId="18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0" fontId="4" fillId="0" borderId="0" xfId="10" applyFont="1" applyFill="1" applyBorder="1" applyAlignment="1">
      <alignment horizontal="left"/>
    </xf>
    <xf numFmtId="43" fontId="18" fillId="0" borderId="0" xfId="1" applyFont="1" applyBorder="1"/>
    <xf numFmtId="166" fontId="18" fillId="0" borderId="0" xfId="2" applyNumberFormat="1" applyFont="1" applyBorder="1"/>
    <xf numFmtId="44" fontId="18" fillId="0" borderId="0" xfId="2" applyFont="1" applyBorder="1" applyAlignment="1">
      <alignment horizontal="right"/>
    </xf>
    <xf numFmtId="168" fontId="18" fillId="0" borderId="0" xfId="2" applyNumberFormat="1" applyFont="1" applyBorder="1"/>
    <xf numFmtId="166" fontId="18" fillId="4" borderId="0" xfId="2" applyNumberFormat="1" applyFont="1" applyFill="1" applyBorder="1"/>
    <xf numFmtId="166" fontId="18" fillId="3" borderId="1" xfId="2" applyNumberFormat="1" applyFont="1" applyFill="1" applyBorder="1"/>
    <xf numFmtId="171" fontId="18" fillId="0" borderId="0" xfId="3" applyNumberFormat="1" applyFont="1"/>
    <xf numFmtId="165" fontId="21" fillId="0" borderId="1" xfId="3" applyNumberFormat="1" applyFont="1" applyFill="1" applyBorder="1"/>
    <xf numFmtId="44" fontId="0" fillId="0" borderId="0" xfId="0" applyNumberFormat="1"/>
    <xf numFmtId="10" fontId="18" fillId="0" borderId="0" xfId="3" applyNumberFormat="1" applyFont="1"/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 textRotation="90"/>
    </xf>
    <xf numFmtId="0" fontId="18" fillId="0" borderId="5" xfId="0" applyFont="1" applyFill="1" applyBorder="1" applyAlignment="1">
      <alignment horizontal="center" vertical="center" textRotation="90"/>
    </xf>
    <xf numFmtId="0" fontId="18" fillId="0" borderId="7" xfId="0" applyFont="1" applyFill="1" applyBorder="1" applyAlignment="1">
      <alignment horizontal="center" vertical="center" textRotation="90"/>
    </xf>
    <xf numFmtId="0" fontId="18" fillId="0" borderId="6" xfId="0" applyFont="1" applyFill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 vertical="center" textRotation="90"/>
    </xf>
    <xf numFmtId="0" fontId="18" fillId="0" borderId="2" xfId="0" applyFont="1" applyFill="1" applyBorder="1" applyAlignment="1">
      <alignment horizontal="center" vertical="center" textRotation="90"/>
    </xf>
    <xf numFmtId="0" fontId="18" fillId="0" borderId="3" xfId="0" applyFont="1" applyFill="1" applyBorder="1" applyAlignment="1">
      <alignment horizontal="center" vertical="center" textRotation="90"/>
    </xf>
  </cellXfs>
  <cellStyles count="15">
    <cellStyle name="Comma" xfId="1" builtinId="3"/>
    <cellStyle name="Comma 10" xfId="9" xr:uid="{00000000-0005-0000-0000-000001000000}"/>
    <cellStyle name="Comma 2 6 2 2" xfId="5" xr:uid="{00000000-0005-0000-0000-000002000000}"/>
    <cellStyle name="Comma 20" xfId="14" xr:uid="{00000000-0005-0000-0000-000003000000}"/>
    <cellStyle name="Currency" xfId="2" builtinId="4"/>
    <cellStyle name="Currency 2 6 2 2" xfId="7" xr:uid="{00000000-0005-0000-0000-000005000000}"/>
    <cellStyle name="Normal" xfId="0" builtinId="0"/>
    <cellStyle name="Normal 10 2" xfId="4" xr:uid="{00000000-0005-0000-0000-000007000000}"/>
    <cellStyle name="Normal 84 2" xfId="11" xr:uid="{00000000-0005-0000-0000-000008000000}"/>
    <cellStyle name="Normal 87" xfId="13" xr:uid="{00000000-0005-0000-0000-000009000000}"/>
    <cellStyle name="Normal 9 4" xfId="8" xr:uid="{00000000-0005-0000-0000-00000A000000}"/>
    <cellStyle name="Normal 90" xfId="12" xr:uid="{00000000-0005-0000-0000-00000B000000}"/>
    <cellStyle name="Normal_Price out" xfId="10" xr:uid="{00000000-0005-0000-0000-00000C000000}"/>
    <cellStyle name="Percent" xfId="3" builtinId="5"/>
    <cellStyle name="Percent 2 6 2 2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3"/>
  <sheetViews>
    <sheetView workbookViewId="0">
      <selection activeCell="K11" sqref="K11"/>
    </sheetView>
  </sheetViews>
  <sheetFormatPr defaultRowHeight="15" x14ac:dyDescent="0.25"/>
  <cols>
    <col min="1" max="1" width="4.7109375" customWidth="1"/>
    <col min="4" max="4" width="10.5703125" style="5" bestFit="1" customWidth="1"/>
    <col min="5" max="5" width="12.28515625" style="5" bestFit="1" customWidth="1"/>
    <col min="6" max="6" width="11.5703125" style="5" bestFit="1" customWidth="1"/>
    <col min="7" max="7" width="9.42578125" bestFit="1" customWidth="1"/>
    <col min="8" max="8" width="11.5703125" style="5" bestFit="1" customWidth="1"/>
    <col min="9" max="9" width="10.5703125" bestFit="1" customWidth="1"/>
    <col min="11" max="11" width="12.5703125" bestFit="1" customWidth="1"/>
    <col min="15" max="15" width="11" bestFit="1" customWidth="1"/>
  </cols>
  <sheetData>
    <row r="1" spans="1:15" ht="18" x14ac:dyDescent="0.25">
      <c r="A1" s="1" t="s">
        <v>0</v>
      </c>
    </row>
    <row r="2" spans="1:15" ht="18.75" x14ac:dyDescent="0.3">
      <c r="A2" s="51" t="s">
        <v>9</v>
      </c>
    </row>
    <row r="3" spans="1:15" ht="15.75" x14ac:dyDescent="0.25">
      <c r="A3" s="3" t="s">
        <v>10</v>
      </c>
    </row>
    <row r="4" spans="1:15" x14ac:dyDescent="0.25">
      <c r="A4" s="2" t="s">
        <v>1</v>
      </c>
    </row>
    <row r="5" spans="1:15" x14ac:dyDescent="0.25">
      <c r="D5" s="17"/>
      <c r="E5" s="17"/>
      <c r="F5" s="17"/>
      <c r="H5" s="17"/>
      <c r="I5" s="18" t="s">
        <v>3</v>
      </c>
      <c r="K5" s="18" t="s">
        <v>3</v>
      </c>
    </row>
    <row r="6" spans="1:15" x14ac:dyDescent="0.25">
      <c r="D6" s="18" t="s">
        <v>11</v>
      </c>
      <c r="E6" s="17"/>
      <c r="F6" s="17"/>
      <c r="G6" s="26" t="s">
        <v>4</v>
      </c>
      <c r="H6" s="18" t="s">
        <v>3</v>
      </c>
      <c r="I6" s="18" t="s">
        <v>12</v>
      </c>
      <c r="J6" s="26" t="s">
        <v>13</v>
      </c>
      <c r="K6" s="18" t="s">
        <v>5</v>
      </c>
    </row>
    <row r="7" spans="1:15" x14ac:dyDescent="0.25">
      <c r="D7" s="19" t="s">
        <v>7</v>
      </c>
      <c r="E7" s="19" t="s">
        <v>6</v>
      </c>
      <c r="F7" s="19" t="s">
        <v>14</v>
      </c>
      <c r="G7" s="19" t="s">
        <v>6</v>
      </c>
      <c r="H7" s="19" t="s">
        <v>14</v>
      </c>
      <c r="I7" s="19" t="s">
        <v>15</v>
      </c>
      <c r="J7" s="46" t="s">
        <v>16</v>
      </c>
      <c r="K7" s="19" t="s">
        <v>15</v>
      </c>
    </row>
    <row r="8" spans="1:15" x14ac:dyDescent="0.25">
      <c r="A8" s="4" t="s">
        <v>17</v>
      </c>
      <c r="G8" s="5"/>
    </row>
    <row r="9" spans="1:15" x14ac:dyDescent="0.25">
      <c r="A9" s="4"/>
      <c r="G9" s="5"/>
    </row>
    <row r="10" spans="1:15" x14ac:dyDescent="0.25">
      <c r="A10" s="6" t="s">
        <v>18</v>
      </c>
      <c r="B10" s="6"/>
      <c r="C10" s="6"/>
      <c r="G10" s="5"/>
    </row>
    <row r="11" spans="1:15" ht="17.25" x14ac:dyDescent="0.4">
      <c r="B11" s="7" t="s">
        <v>19</v>
      </c>
      <c r="D11" s="69">
        <v>8369.42</v>
      </c>
      <c r="E11" s="23">
        <v>154.02000000000001</v>
      </c>
      <c r="F11" s="8">
        <f>+D11*E11</f>
        <v>1289058.0684</v>
      </c>
      <c r="G11" s="23">
        <f>+References!B48</f>
        <v>168.68</v>
      </c>
      <c r="H11" s="40">
        <f>+G11*D11</f>
        <v>1411753.7656</v>
      </c>
      <c r="I11" s="41">
        <f>+H11-F11</f>
        <v>122695.69720000005</v>
      </c>
      <c r="J11">
        <f>+References!G52</f>
        <v>0.97451046711084788</v>
      </c>
      <c r="K11" s="39">
        <f>+I11/J11</f>
        <v>125904.95570946367</v>
      </c>
    </row>
    <row r="12" spans="1:15" s="4" customFormat="1" x14ac:dyDescent="0.25">
      <c r="D12" s="21">
        <f>SUM(D11:D11)</f>
        <v>8369.42</v>
      </c>
      <c r="E12" s="24"/>
      <c r="F12" s="9">
        <f>SUM(F11:F11)</f>
        <v>1289058.0684</v>
      </c>
      <c r="G12" s="10"/>
      <c r="H12" s="9">
        <f>SUM(H11:H11)</f>
        <v>1411753.7656</v>
      </c>
      <c r="I12" s="9">
        <f>SUM(I11:I11)</f>
        <v>122695.69720000005</v>
      </c>
      <c r="K12" s="9">
        <f>SUM(K11:K11)</f>
        <v>125904.95570946367</v>
      </c>
      <c r="O12"/>
    </row>
    <row r="13" spans="1:15" x14ac:dyDescent="0.25">
      <c r="E13" s="25"/>
      <c r="F13" s="13"/>
      <c r="G13" s="5"/>
    </row>
    <row r="14" spans="1:15" x14ac:dyDescent="0.25">
      <c r="E14" s="25"/>
      <c r="F14" s="13"/>
      <c r="G14" s="5"/>
    </row>
    <row r="15" spans="1:15" x14ac:dyDescent="0.25">
      <c r="A15" s="4" t="s">
        <v>20</v>
      </c>
      <c r="E15" s="25"/>
      <c r="F15" s="13"/>
      <c r="G15" s="5"/>
    </row>
    <row r="16" spans="1:15" x14ac:dyDescent="0.25">
      <c r="A16" s="4"/>
      <c r="E16" s="25"/>
      <c r="F16" s="13"/>
      <c r="G16" s="5"/>
    </row>
    <row r="17" spans="1:12" x14ac:dyDescent="0.25">
      <c r="A17" s="6" t="s">
        <v>18</v>
      </c>
      <c r="E17" s="25"/>
      <c r="F17" s="13"/>
      <c r="G17" s="5"/>
    </row>
    <row r="18" spans="1:12" ht="17.25" x14ac:dyDescent="0.4">
      <c r="B18" s="7" t="s">
        <v>19</v>
      </c>
      <c r="D18" s="69">
        <v>18769.439997868274</v>
      </c>
      <c r="E18" s="23">
        <f>+E11</f>
        <v>154.02000000000001</v>
      </c>
      <c r="F18" s="15">
        <f>+E18*D18</f>
        <v>2890869.1484716716</v>
      </c>
      <c r="G18" s="23">
        <f>+G11</f>
        <v>168.68</v>
      </c>
      <c r="H18" s="40">
        <f>+G18*D18</f>
        <v>3166029.1388404206</v>
      </c>
      <c r="I18" s="41">
        <f>+H18-F18</f>
        <v>275159.99036874902</v>
      </c>
      <c r="J18">
        <f>+J11</f>
        <v>0.97451046711084788</v>
      </c>
      <c r="K18" s="39">
        <f>+I18/J18</f>
        <v>282357.14202693145</v>
      </c>
    </row>
    <row r="19" spans="1:12" s="4" customFormat="1" ht="12.75" x14ac:dyDescent="0.2">
      <c r="D19" s="21">
        <f>SUM(D18:D18)</f>
        <v>18769.439997868274</v>
      </c>
      <c r="E19" s="24"/>
      <c r="F19" s="9">
        <f>SUM(F18:F18)</f>
        <v>2890869.1484716716</v>
      </c>
      <c r="G19" s="10"/>
      <c r="H19" s="9">
        <f>SUM(H18:H18)</f>
        <v>3166029.1388404206</v>
      </c>
      <c r="I19" s="9">
        <f>SUM(I18:I18)</f>
        <v>275159.99036874902</v>
      </c>
      <c r="K19" s="9">
        <f>SUM(K18:K18)</f>
        <v>282357.14202693145</v>
      </c>
    </row>
    <row r="20" spans="1:12" x14ac:dyDescent="0.25">
      <c r="E20" s="25"/>
      <c r="F20" s="13"/>
      <c r="G20" s="5"/>
    </row>
    <row r="21" spans="1:12" ht="17.25" x14ac:dyDescent="0.4">
      <c r="D21" s="42">
        <f>+D19+D12</f>
        <v>27138.859997868276</v>
      </c>
      <c r="E21" s="42"/>
      <c r="F21" s="43">
        <f t="shared" ref="F21:I21" si="0">+F19+F12</f>
        <v>4179927.2168716714</v>
      </c>
      <c r="G21" s="43"/>
      <c r="H21" s="43">
        <f t="shared" si="0"/>
        <v>4577782.9044404207</v>
      </c>
      <c r="I21" s="43">
        <f t="shared" si="0"/>
        <v>397855.68756874907</v>
      </c>
      <c r="K21" s="43">
        <f t="shared" ref="K21" si="1">+K19+K12</f>
        <v>408262.09773639514</v>
      </c>
      <c r="L21" s="186"/>
    </row>
    <row r="22" spans="1:12" x14ac:dyDescent="0.25">
      <c r="E22" s="25"/>
      <c r="F22" s="13"/>
      <c r="G22" s="5"/>
    </row>
    <row r="23" spans="1:12" x14ac:dyDescent="0.25">
      <c r="E23" s="25"/>
      <c r="F23" s="13"/>
      <c r="G23" s="5"/>
    </row>
    <row r="24" spans="1:12" x14ac:dyDescent="0.25">
      <c r="A24" s="4" t="s">
        <v>21</v>
      </c>
      <c r="E24" s="25"/>
      <c r="F24" s="13"/>
      <c r="G24" s="5"/>
    </row>
    <row r="25" spans="1:12" x14ac:dyDescent="0.25">
      <c r="A25" s="4"/>
      <c r="E25" s="25"/>
      <c r="F25" s="13"/>
      <c r="G25" s="5"/>
    </row>
    <row r="26" spans="1:12" x14ac:dyDescent="0.25">
      <c r="A26" s="6" t="s">
        <v>18</v>
      </c>
      <c r="E26" s="25"/>
      <c r="F26" s="13"/>
      <c r="G26" s="5"/>
    </row>
    <row r="27" spans="1:12" ht="17.25" x14ac:dyDescent="0.4">
      <c r="B27" s="7" t="s">
        <v>19</v>
      </c>
      <c r="D27" s="20">
        <v>23062.42</v>
      </c>
      <c r="E27" s="23">
        <f>+E18</f>
        <v>154.02000000000001</v>
      </c>
      <c r="F27" s="15">
        <f>+E27*D27</f>
        <v>3552073.9284000001</v>
      </c>
      <c r="G27" s="23">
        <f>+G11</f>
        <v>168.68</v>
      </c>
      <c r="H27" s="40">
        <f>+G27*D27</f>
        <v>3890169.0055999998</v>
      </c>
      <c r="I27" s="41">
        <f>+H27-F27</f>
        <v>338095.07719999971</v>
      </c>
      <c r="J27" s="47">
        <v>1</v>
      </c>
      <c r="K27" s="39">
        <f>+I27/J27</f>
        <v>338095.07719999971</v>
      </c>
    </row>
    <row r="28" spans="1:12" s="4" customFormat="1" x14ac:dyDescent="0.35">
      <c r="D28" s="48">
        <f>SUM(D27:D27)</f>
        <v>23062.42</v>
      </c>
      <c r="E28" s="49"/>
      <c r="F28" s="12">
        <f>SUM(F27:F27)</f>
        <v>3552073.9284000001</v>
      </c>
      <c r="G28" s="49"/>
      <c r="H28" s="11">
        <f>SUM(H27:H27)</f>
        <v>3890169.0055999998</v>
      </c>
      <c r="I28" s="11">
        <f>SUM(I27:I27)</f>
        <v>338095.07719999971</v>
      </c>
      <c r="J28" s="50"/>
      <c r="K28" s="11">
        <f>SUM(K27:K27)</f>
        <v>338095.07719999971</v>
      </c>
    </row>
    <row r="29" spans="1:12" x14ac:dyDescent="0.25">
      <c r="F29" s="13"/>
    </row>
    <row r="30" spans="1:12" x14ac:dyDescent="0.25">
      <c r="A30" s="6"/>
      <c r="F30" s="13"/>
    </row>
    <row r="31" spans="1:12" s="16" customFormat="1" ht="12.75" x14ac:dyDescent="0.2">
      <c r="D31" s="44">
        <f>+D28+D21</f>
        <v>50201.279997868274</v>
      </c>
      <c r="E31" s="44"/>
      <c r="F31" s="45">
        <f t="shared" ref="F31:K31" si="2">+F28+F21</f>
        <v>7732001.1452716719</v>
      </c>
      <c r="G31" s="44"/>
      <c r="H31" s="45">
        <f t="shared" si="2"/>
        <v>8467951.9100404195</v>
      </c>
      <c r="I31" s="45">
        <f t="shared" si="2"/>
        <v>735950.76476874878</v>
      </c>
      <c r="J31" s="45"/>
      <c r="K31" s="45">
        <f t="shared" si="2"/>
        <v>746357.17493639491</v>
      </c>
    </row>
    <row r="32" spans="1:12" x14ac:dyDescent="0.25">
      <c r="F32" s="13"/>
    </row>
    <row r="33" spans="1:6" x14ac:dyDescent="0.25">
      <c r="F33" s="13"/>
    </row>
    <row r="41" spans="1:6" x14ac:dyDescent="0.25">
      <c r="A41" s="7"/>
      <c r="D41" s="22"/>
      <c r="E41" s="14"/>
      <c r="F41" s="14"/>
    </row>
    <row r="43" spans="1:6" x14ac:dyDescent="0.25">
      <c r="D43" s="22"/>
    </row>
  </sheetData>
  <pageMargins left="0.45" right="0.45" top="0.5" bottom="0.5" header="0.3" footer="0.3"/>
  <pageSetup orientation="landscape" verticalDpi="599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H57"/>
  <sheetViews>
    <sheetView workbookViewId="0">
      <selection activeCell="B49" sqref="B49"/>
    </sheetView>
  </sheetViews>
  <sheetFormatPr defaultRowHeight="15" x14ac:dyDescent="0.25"/>
  <cols>
    <col min="1" max="1" width="36.28515625" bestFit="1" customWidth="1"/>
    <col min="2" max="2" width="19" bestFit="1" customWidth="1"/>
    <col min="3" max="3" width="13.42578125" customWidth="1"/>
    <col min="4" max="5" width="7" bestFit="1" customWidth="1"/>
    <col min="6" max="6" width="11.42578125" bestFit="1" customWidth="1"/>
    <col min="7" max="7" width="10" bestFit="1" customWidth="1"/>
  </cols>
  <sheetData>
    <row r="1" spans="1:8" x14ac:dyDescent="0.25">
      <c r="A1" s="188" t="s">
        <v>57</v>
      </c>
      <c r="B1" s="188"/>
      <c r="C1" s="188"/>
      <c r="D1" s="188"/>
      <c r="E1" s="188"/>
      <c r="F1" s="188"/>
      <c r="G1" s="188"/>
      <c r="H1" s="188"/>
    </row>
    <row r="2" spans="1:8" x14ac:dyDescent="0.25">
      <c r="A2" s="27" t="s">
        <v>58</v>
      </c>
      <c r="B2" s="56" t="s">
        <v>59</v>
      </c>
      <c r="C2" s="56" t="s">
        <v>60</v>
      </c>
      <c r="D2" s="56" t="s">
        <v>61</v>
      </c>
      <c r="E2" s="55" t="s">
        <v>62</v>
      </c>
      <c r="F2" s="55" t="s">
        <v>63</v>
      </c>
      <c r="G2" s="55" t="s">
        <v>64</v>
      </c>
      <c r="H2" s="56" t="s">
        <v>65</v>
      </c>
    </row>
    <row r="3" spans="1:8" x14ac:dyDescent="0.25">
      <c r="A3" s="27" t="s">
        <v>66</v>
      </c>
      <c r="B3" s="57">
        <f>52*5/12</f>
        <v>21.666666666666668</v>
      </c>
      <c r="C3" s="58">
        <f>$B$3*2</f>
        <v>43.333333333333336</v>
      </c>
      <c r="D3" s="58">
        <f>$B$3*3</f>
        <v>65</v>
      </c>
      <c r="E3" s="58">
        <f>$B$3*4</f>
        <v>86.666666666666671</v>
      </c>
      <c r="F3" s="58">
        <f>$B$3*5</f>
        <v>108.33333333333334</v>
      </c>
      <c r="G3" s="58">
        <f>$B$3*6</f>
        <v>130</v>
      </c>
      <c r="H3" s="58">
        <f>$B$3*7</f>
        <v>151.66666666666669</v>
      </c>
    </row>
    <row r="4" spans="1:8" x14ac:dyDescent="0.25">
      <c r="A4" s="27" t="s">
        <v>67</v>
      </c>
      <c r="B4" s="57">
        <f>52*4/12</f>
        <v>17.333333333333332</v>
      </c>
      <c r="C4" s="58">
        <f>$B$4*2</f>
        <v>34.666666666666664</v>
      </c>
      <c r="D4" s="58">
        <f>$B$4*3</f>
        <v>52</v>
      </c>
      <c r="E4" s="58">
        <f>$B$4*4</f>
        <v>69.333333333333329</v>
      </c>
      <c r="F4" s="58">
        <f>$B$4*5</f>
        <v>86.666666666666657</v>
      </c>
      <c r="G4" s="58">
        <f>$B$4*6</f>
        <v>104</v>
      </c>
      <c r="H4" s="58">
        <f>$B$4*7</f>
        <v>121.33333333333333</v>
      </c>
    </row>
    <row r="5" spans="1:8" x14ac:dyDescent="0.25">
      <c r="A5" s="27" t="s">
        <v>68</v>
      </c>
      <c r="B5" s="57">
        <f>52*3/12</f>
        <v>13</v>
      </c>
      <c r="C5" s="58">
        <f>$B$5*2</f>
        <v>26</v>
      </c>
      <c r="D5" s="58">
        <f>$B$5*3</f>
        <v>39</v>
      </c>
      <c r="E5" s="58">
        <f>$B$5*4</f>
        <v>52</v>
      </c>
      <c r="F5" s="58">
        <f>$B$5*5</f>
        <v>65</v>
      </c>
      <c r="G5" s="58">
        <f>$B$5*6</f>
        <v>78</v>
      </c>
      <c r="H5" s="58">
        <f>$B$5*7</f>
        <v>91</v>
      </c>
    </row>
    <row r="6" spans="1:8" x14ac:dyDescent="0.25">
      <c r="A6" s="27" t="s">
        <v>69</v>
      </c>
      <c r="B6" s="57">
        <f>52*2/12</f>
        <v>8.6666666666666661</v>
      </c>
      <c r="C6" s="59">
        <f>$B$6*2</f>
        <v>17.333333333333332</v>
      </c>
      <c r="D6" s="59">
        <f>$B$6*3</f>
        <v>26</v>
      </c>
      <c r="E6" s="59">
        <f>$B$6*4</f>
        <v>34.666666666666664</v>
      </c>
      <c r="F6" s="59">
        <f>$B$6*5</f>
        <v>43.333333333333329</v>
      </c>
      <c r="G6" s="59">
        <f>$B$6*6</f>
        <v>52</v>
      </c>
      <c r="H6" s="59">
        <f>$B$6*7</f>
        <v>60.666666666666664</v>
      </c>
    </row>
    <row r="7" spans="1:8" x14ac:dyDescent="0.25">
      <c r="A7" s="27" t="s">
        <v>70</v>
      </c>
      <c r="B7" s="57">
        <f>52/12</f>
        <v>4.333333333333333</v>
      </c>
      <c r="C7" s="59">
        <f>$B$7*2</f>
        <v>8.6666666666666661</v>
      </c>
      <c r="D7" s="59">
        <f>$B$7*3</f>
        <v>13</v>
      </c>
      <c r="E7" s="59">
        <f>$B$7*4</f>
        <v>17.333333333333332</v>
      </c>
      <c r="F7" s="59">
        <f>$B$7*5</f>
        <v>21.666666666666664</v>
      </c>
      <c r="G7" s="59">
        <f>$B$7*6</f>
        <v>26</v>
      </c>
      <c r="H7" s="59">
        <f>$B$7*7</f>
        <v>30.333333333333332</v>
      </c>
    </row>
    <row r="8" spans="1:8" x14ac:dyDescent="0.25">
      <c r="A8" s="27" t="s">
        <v>71</v>
      </c>
      <c r="B8" s="57">
        <f>26/12</f>
        <v>2.1666666666666665</v>
      </c>
      <c r="C8" s="59">
        <f>$B$8*2</f>
        <v>4.333333333333333</v>
      </c>
      <c r="D8" s="59">
        <f>$B$8*3</f>
        <v>6.5</v>
      </c>
      <c r="E8" s="59">
        <f>$B$8*4</f>
        <v>8.6666666666666661</v>
      </c>
      <c r="F8" s="59">
        <f>$B$8*5</f>
        <v>10.833333333333332</v>
      </c>
      <c r="G8" s="59">
        <f>$B$8*6</f>
        <v>13</v>
      </c>
      <c r="H8" s="59">
        <f>$B$8*7</f>
        <v>15.166666666666666</v>
      </c>
    </row>
    <row r="9" spans="1:8" x14ac:dyDescent="0.25">
      <c r="A9" s="27" t="s">
        <v>72</v>
      </c>
      <c r="B9" s="57">
        <f>12/12</f>
        <v>1</v>
      </c>
      <c r="C9" s="59">
        <f>$B$9*2</f>
        <v>2</v>
      </c>
      <c r="D9" s="59">
        <f>$B$9*3</f>
        <v>3</v>
      </c>
      <c r="E9" s="59">
        <f>$B$9*4</f>
        <v>4</v>
      </c>
      <c r="F9" s="59">
        <f>$B$9*5</f>
        <v>5</v>
      </c>
      <c r="G9" s="59">
        <f>$B$9*6</f>
        <v>6</v>
      </c>
      <c r="H9" s="59">
        <f>$B$9*7</f>
        <v>7</v>
      </c>
    </row>
    <row r="10" spans="1:8" x14ac:dyDescent="0.25">
      <c r="A10" s="27"/>
      <c r="B10" s="57"/>
      <c r="C10" s="59"/>
      <c r="D10" s="59"/>
      <c r="E10" s="59"/>
      <c r="F10" s="59"/>
      <c r="G10" s="59"/>
      <c r="H10" s="59"/>
    </row>
    <row r="11" spans="1:8" x14ac:dyDescent="0.25">
      <c r="A11" s="188" t="s">
        <v>40</v>
      </c>
      <c r="B11" s="188"/>
      <c r="C11" s="59"/>
      <c r="D11" s="59"/>
      <c r="E11" s="59"/>
      <c r="F11" s="59"/>
      <c r="G11" s="59"/>
      <c r="H11" s="59"/>
    </row>
    <row r="12" spans="1:8" x14ac:dyDescent="0.25">
      <c r="A12" s="26" t="s">
        <v>73</v>
      </c>
      <c r="B12" s="60" t="s">
        <v>74</v>
      </c>
      <c r="C12" s="59"/>
      <c r="D12" s="59"/>
      <c r="E12" s="59"/>
      <c r="F12" s="59"/>
      <c r="G12" s="59"/>
      <c r="H12" s="59"/>
    </row>
    <row r="13" spans="1:8" x14ac:dyDescent="0.25">
      <c r="A13" s="34" t="s">
        <v>75</v>
      </c>
      <c r="B13" s="61">
        <v>20</v>
      </c>
      <c r="C13" s="59"/>
      <c r="D13" s="59"/>
      <c r="E13" s="59"/>
      <c r="F13" s="59"/>
      <c r="G13" s="59"/>
      <c r="H13" s="59"/>
    </row>
    <row r="14" spans="1:8" x14ac:dyDescent="0.25">
      <c r="A14" s="34" t="s">
        <v>76</v>
      </c>
      <c r="B14" s="61">
        <v>34</v>
      </c>
      <c r="C14" s="59"/>
      <c r="D14" s="59"/>
      <c r="E14" s="59"/>
      <c r="F14" s="59"/>
      <c r="G14" s="59"/>
      <c r="H14" s="59"/>
    </row>
    <row r="15" spans="1:8" x14ac:dyDescent="0.25">
      <c r="A15" s="34" t="s">
        <v>77</v>
      </c>
      <c r="B15" s="61">
        <v>51</v>
      </c>
      <c r="C15" s="59"/>
      <c r="D15" s="59"/>
      <c r="E15" s="59"/>
      <c r="F15" s="59"/>
      <c r="G15" s="59"/>
      <c r="H15" s="59"/>
    </row>
    <row r="16" spans="1:8" x14ac:dyDescent="0.25">
      <c r="A16" s="34" t="s">
        <v>78</v>
      </c>
      <c r="B16" s="61">
        <v>77</v>
      </c>
      <c r="C16" s="59"/>
      <c r="D16" s="59"/>
      <c r="E16" s="59"/>
      <c r="F16" s="27" t="s">
        <v>79</v>
      </c>
      <c r="G16" s="61">
        <v>2000</v>
      </c>
      <c r="H16" s="59"/>
    </row>
    <row r="17" spans="1:8" x14ac:dyDescent="0.25">
      <c r="A17" s="34" t="s">
        <v>80</v>
      </c>
      <c r="B17" s="61">
        <v>97</v>
      </c>
      <c r="C17" s="59"/>
      <c r="D17" s="59"/>
      <c r="E17" s="59"/>
      <c r="F17" s="27" t="s">
        <v>81</v>
      </c>
      <c r="G17" s="62" t="s">
        <v>82</v>
      </c>
      <c r="H17" s="59"/>
    </row>
    <row r="18" spans="1:8" x14ac:dyDescent="0.25">
      <c r="A18" s="34" t="s">
        <v>83</v>
      </c>
      <c r="B18" s="61">
        <v>117</v>
      </c>
      <c r="C18" s="59"/>
      <c r="D18" s="59"/>
      <c r="E18" s="59"/>
      <c r="F18" s="27"/>
      <c r="G18" s="27"/>
      <c r="H18" s="59"/>
    </row>
    <row r="19" spans="1:8" x14ac:dyDescent="0.25">
      <c r="A19" s="34" t="s">
        <v>84</v>
      </c>
      <c r="B19" s="61">
        <v>157</v>
      </c>
      <c r="C19" s="59"/>
      <c r="D19" s="59"/>
      <c r="E19" s="59"/>
      <c r="F19" s="63"/>
      <c r="G19" s="64"/>
      <c r="H19" s="59"/>
    </row>
    <row r="20" spans="1:8" x14ac:dyDescent="0.25">
      <c r="A20" s="34" t="s">
        <v>85</v>
      </c>
      <c r="B20" s="61">
        <v>37</v>
      </c>
      <c r="C20" s="59" t="s">
        <v>86</v>
      </c>
      <c r="D20" s="59"/>
      <c r="E20" s="59"/>
      <c r="F20" s="63"/>
      <c r="G20" s="64"/>
      <c r="H20" s="59"/>
    </row>
    <row r="21" spans="1:8" x14ac:dyDescent="0.25">
      <c r="A21" s="34" t="s">
        <v>87</v>
      </c>
      <c r="B21" s="61">
        <v>47</v>
      </c>
      <c r="C21" s="59"/>
      <c r="D21" s="59"/>
      <c r="E21" s="59"/>
      <c r="F21" s="59"/>
      <c r="G21" s="59"/>
      <c r="H21" s="59"/>
    </row>
    <row r="22" spans="1:8" x14ac:dyDescent="0.25">
      <c r="A22" s="34" t="s">
        <v>88</v>
      </c>
      <c r="B22" s="61">
        <v>68</v>
      </c>
      <c r="C22" s="59"/>
      <c r="D22" s="59"/>
      <c r="E22" s="59"/>
      <c r="F22" s="59"/>
      <c r="G22" s="59"/>
      <c r="H22" s="59"/>
    </row>
    <row r="23" spans="1:8" x14ac:dyDescent="0.25">
      <c r="A23" s="34" t="s">
        <v>89</v>
      </c>
      <c r="B23" s="61">
        <v>34</v>
      </c>
      <c r="C23" s="59"/>
      <c r="D23" s="59"/>
      <c r="E23" s="59"/>
      <c r="F23" s="59"/>
      <c r="G23" s="59"/>
      <c r="H23" s="59"/>
    </row>
    <row r="24" spans="1:8" x14ac:dyDescent="0.25">
      <c r="A24" s="34" t="s">
        <v>8</v>
      </c>
      <c r="B24" s="61">
        <v>34</v>
      </c>
      <c r="C24" s="59"/>
      <c r="D24" s="59"/>
      <c r="E24" s="59"/>
      <c r="F24" s="59"/>
      <c r="G24" s="59"/>
      <c r="H24" s="59"/>
    </row>
    <row r="25" spans="1:8" x14ac:dyDescent="0.25">
      <c r="A25" s="26" t="s">
        <v>90</v>
      </c>
      <c r="B25" s="61"/>
      <c r="C25" s="59"/>
      <c r="D25" s="59"/>
      <c r="E25" s="59"/>
      <c r="F25" s="59"/>
      <c r="G25" s="59"/>
      <c r="H25" s="59"/>
    </row>
    <row r="26" spans="1:8" x14ac:dyDescent="0.25">
      <c r="A26" s="34" t="s">
        <v>91</v>
      </c>
      <c r="B26" s="61">
        <v>29</v>
      </c>
      <c r="C26" s="59"/>
      <c r="D26" s="59"/>
      <c r="E26" s="59"/>
      <c r="F26" s="59"/>
      <c r="G26" s="59"/>
      <c r="H26" s="59"/>
    </row>
    <row r="27" spans="1:8" x14ac:dyDescent="0.25">
      <c r="A27" s="34" t="s">
        <v>92</v>
      </c>
      <c r="B27" s="61">
        <v>175</v>
      </c>
      <c r="C27" s="59"/>
      <c r="D27" s="59"/>
      <c r="E27" s="59"/>
      <c r="F27" s="59"/>
      <c r="G27" s="59"/>
      <c r="H27" s="59"/>
    </row>
    <row r="28" spans="1:8" x14ac:dyDescent="0.25">
      <c r="A28" s="34" t="s">
        <v>93</v>
      </c>
      <c r="B28" s="61">
        <v>250</v>
      </c>
      <c r="C28" s="59"/>
      <c r="D28" s="59"/>
      <c r="E28" s="59"/>
      <c r="F28" s="59"/>
      <c r="G28" s="59"/>
      <c r="H28" s="59"/>
    </row>
    <row r="29" spans="1:8" x14ac:dyDescent="0.25">
      <c r="A29" s="34" t="s">
        <v>94</v>
      </c>
      <c r="B29" s="61">
        <v>324</v>
      </c>
      <c r="C29" s="59"/>
      <c r="D29" s="59"/>
      <c r="E29" s="59"/>
      <c r="F29" s="59"/>
      <c r="G29" s="59"/>
      <c r="H29" s="59"/>
    </row>
    <row r="30" spans="1:8" x14ac:dyDescent="0.25">
      <c r="A30" s="34" t="s">
        <v>95</v>
      </c>
      <c r="B30" s="61">
        <v>473</v>
      </c>
      <c r="C30" s="59"/>
      <c r="D30" s="59"/>
      <c r="E30" s="59"/>
      <c r="F30" s="59"/>
      <c r="G30" s="59"/>
      <c r="H30" s="59"/>
    </row>
    <row r="31" spans="1:8" x14ac:dyDescent="0.25">
      <c r="A31" s="34" t="s">
        <v>96</v>
      </c>
      <c r="B31" s="61">
        <v>613</v>
      </c>
      <c r="C31" s="59"/>
      <c r="D31" s="59"/>
      <c r="E31" s="59"/>
      <c r="F31" s="59"/>
      <c r="G31" s="59"/>
      <c r="H31" s="59"/>
    </row>
    <row r="32" spans="1:8" x14ac:dyDescent="0.25">
      <c r="A32" s="34" t="s">
        <v>97</v>
      </c>
      <c r="B32" s="61">
        <v>840</v>
      </c>
      <c r="C32" s="59"/>
      <c r="D32" s="59"/>
      <c r="E32" s="59"/>
      <c r="F32" s="59"/>
      <c r="G32" s="59"/>
      <c r="H32" s="59"/>
    </row>
    <row r="33" spans="1:8" x14ac:dyDescent="0.25">
      <c r="A33" s="34" t="s">
        <v>98</v>
      </c>
      <c r="B33" s="61">
        <v>980</v>
      </c>
      <c r="C33" s="59"/>
      <c r="D33" s="59"/>
      <c r="E33" s="59"/>
      <c r="F33" s="59"/>
      <c r="G33" s="59"/>
      <c r="H33" s="59"/>
    </row>
    <row r="34" spans="1:8" x14ac:dyDescent="0.25">
      <c r="A34" s="34" t="s">
        <v>99</v>
      </c>
      <c r="B34" s="61">
        <v>482</v>
      </c>
      <c r="C34" s="59" t="s">
        <v>86</v>
      </c>
      <c r="D34" s="59"/>
      <c r="E34" s="59"/>
      <c r="F34" s="59"/>
      <c r="G34" s="59"/>
      <c r="H34" s="59"/>
    </row>
    <row r="35" spans="1:8" x14ac:dyDescent="0.25">
      <c r="A35" s="34" t="s">
        <v>100</v>
      </c>
      <c r="B35" s="61">
        <v>689</v>
      </c>
      <c r="C35" s="59" t="s">
        <v>86</v>
      </c>
      <c r="D35" s="59"/>
      <c r="E35" s="59"/>
      <c r="F35" s="59"/>
      <c r="G35" s="59"/>
      <c r="H35" s="59"/>
    </row>
    <row r="36" spans="1:8" x14ac:dyDescent="0.25">
      <c r="A36" s="34" t="s">
        <v>101</v>
      </c>
      <c r="B36" s="61">
        <v>892</v>
      </c>
      <c r="C36" s="59" t="s">
        <v>86</v>
      </c>
      <c r="D36" s="59"/>
      <c r="E36" s="59"/>
      <c r="F36" s="59"/>
      <c r="G36" s="59"/>
      <c r="H36" s="59"/>
    </row>
    <row r="37" spans="1:8" x14ac:dyDescent="0.25">
      <c r="A37" s="34" t="s">
        <v>102</v>
      </c>
      <c r="B37" s="61">
        <v>1301</v>
      </c>
      <c r="C37" s="59"/>
      <c r="D37" s="59"/>
      <c r="E37" s="59"/>
      <c r="F37" s="59"/>
      <c r="G37" s="59"/>
      <c r="H37" s="59"/>
    </row>
    <row r="38" spans="1:8" x14ac:dyDescent="0.25">
      <c r="A38" s="34" t="s">
        <v>103</v>
      </c>
      <c r="B38" s="61">
        <v>1686</v>
      </c>
      <c r="C38" s="59"/>
      <c r="D38" s="59"/>
      <c r="E38" s="59"/>
      <c r="F38" s="59"/>
      <c r="G38" s="59"/>
      <c r="H38" s="59"/>
    </row>
    <row r="39" spans="1:8" x14ac:dyDescent="0.25">
      <c r="A39" s="34" t="s">
        <v>104</v>
      </c>
      <c r="B39" s="61">
        <v>2046</v>
      </c>
      <c r="C39" s="59"/>
      <c r="D39" s="59"/>
      <c r="E39" s="59"/>
      <c r="F39" s="59"/>
      <c r="G39" s="59"/>
      <c r="H39" s="59"/>
    </row>
    <row r="40" spans="1:8" x14ac:dyDescent="0.25">
      <c r="A40" s="34" t="s">
        <v>105</v>
      </c>
      <c r="B40" s="61">
        <v>2310</v>
      </c>
      <c r="C40" s="59"/>
      <c r="D40" s="59"/>
      <c r="E40" s="59"/>
      <c r="F40" s="59"/>
      <c r="G40" s="59"/>
      <c r="H40" s="59"/>
    </row>
    <row r="41" spans="1:8" x14ac:dyDescent="0.25">
      <c r="A41" s="34" t="s">
        <v>106</v>
      </c>
      <c r="B41" s="61">
        <v>2800</v>
      </c>
      <c r="C41" s="59" t="s">
        <v>86</v>
      </c>
      <c r="D41" s="59"/>
      <c r="E41" s="59"/>
      <c r="F41" s="59"/>
      <c r="G41" s="59"/>
      <c r="H41" s="59"/>
    </row>
    <row r="42" spans="1:8" x14ac:dyDescent="0.25">
      <c r="A42" s="34" t="s">
        <v>107</v>
      </c>
      <c r="B42" s="61">
        <v>125</v>
      </c>
      <c r="C42" s="59"/>
      <c r="D42" s="59"/>
      <c r="E42" s="59"/>
      <c r="F42" s="59"/>
      <c r="G42" s="59"/>
      <c r="H42" s="59"/>
    </row>
    <row r="43" spans="1:8" x14ac:dyDescent="0.25">
      <c r="A43" s="27"/>
      <c r="B43" s="189" t="s">
        <v>108</v>
      </c>
      <c r="C43" s="189"/>
      <c r="D43" s="27"/>
      <c r="E43" s="27"/>
      <c r="F43" s="27"/>
      <c r="G43" s="27"/>
      <c r="H43" s="27"/>
    </row>
    <row r="44" spans="1:8" x14ac:dyDescent="0.25">
      <c r="A44" s="27"/>
      <c r="B44" s="27"/>
      <c r="C44" s="27"/>
      <c r="D44" s="27"/>
      <c r="E44" s="27"/>
      <c r="F44" s="27"/>
      <c r="G44" s="27"/>
      <c r="H44" s="27"/>
    </row>
    <row r="45" spans="1:8" x14ac:dyDescent="0.25">
      <c r="A45" s="27"/>
      <c r="B45" s="27"/>
      <c r="C45" s="27"/>
      <c r="D45" s="27"/>
      <c r="E45" s="27"/>
      <c r="F45" s="27"/>
      <c r="G45" s="27"/>
      <c r="H45" s="27"/>
    </row>
    <row r="46" spans="1:8" x14ac:dyDescent="0.25">
      <c r="A46" s="28" t="s">
        <v>18</v>
      </c>
      <c r="B46" s="29" t="s">
        <v>22</v>
      </c>
      <c r="C46" s="29" t="s">
        <v>23</v>
      </c>
      <c r="D46" s="27"/>
      <c r="E46" s="27"/>
      <c r="F46" s="190" t="s">
        <v>24</v>
      </c>
      <c r="G46" s="190"/>
      <c r="H46" s="27"/>
    </row>
    <row r="47" spans="1:8" x14ac:dyDescent="0.25">
      <c r="A47" s="30" t="s">
        <v>25</v>
      </c>
      <c r="B47" s="65">
        <v>154.02000000000001</v>
      </c>
      <c r="C47" s="32">
        <f>B47/2000</f>
        <v>7.7010000000000009E-2</v>
      </c>
      <c r="D47" s="27"/>
      <c r="E47" s="27"/>
      <c r="F47" s="27" t="s">
        <v>26</v>
      </c>
      <c r="G47" s="70">
        <v>1.7500000000000002E-2</v>
      </c>
      <c r="H47" s="27"/>
    </row>
    <row r="48" spans="1:8" x14ac:dyDescent="0.25">
      <c r="A48" s="30" t="s">
        <v>27</v>
      </c>
      <c r="B48" s="66">
        <v>168.68</v>
      </c>
      <c r="C48" s="33">
        <f>B48/2000</f>
        <v>8.4339999999999998E-2</v>
      </c>
      <c r="D48" s="27"/>
      <c r="E48" s="27"/>
      <c r="F48" s="27" t="s">
        <v>28</v>
      </c>
      <c r="G48" s="71">
        <v>5.1000000000000004E-3</v>
      </c>
      <c r="H48" s="27"/>
    </row>
    <row r="49" spans="1:8" x14ac:dyDescent="0.25">
      <c r="A49" s="34" t="s">
        <v>29</v>
      </c>
      <c r="B49" s="31">
        <f>B48-B47</f>
        <v>14.659999999999997</v>
      </c>
      <c r="C49" s="35">
        <f>C48-C47</f>
        <v>7.3299999999999893E-3</v>
      </c>
      <c r="D49" s="27"/>
      <c r="E49" s="27"/>
      <c r="F49" s="27" t="s">
        <v>30</v>
      </c>
      <c r="G49" s="185">
        <v>2.8895328891521423E-3</v>
      </c>
      <c r="H49" s="27" t="s">
        <v>140</v>
      </c>
    </row>
    <row r="50" spans="1:8" x14ac:dyDescent="0.25">
      <c r="A50" s="27"/>
      <c r="B50" s="27"/>
      <c r="C50" s="27"/>
      <c r="D50" s="27"/>
      <c r="E50" s="27"/>
      <c r="F50" s="27" t="s">
        <v>2</v>
      </c>
      <c r="G50" s="67">
        <f>SUM(G47:G49)</f>
        <v>2.5489532889152143E-2</v>
      </c>
      <c r="H50" s="27"/>
    </row>
    <row r="51" spans="1:8" x14ac:dyDescent="0.25">
      <c r="A51" s="27"/>
      <c r="B51" s="36" t="s">
        <v>31</v>
      </c>
      <c r="C51" s="27"/>
      <c r="D51" s="27"/>
      <c r="E51" s="27"/>
      <c r="F51" s="27"/>
      <c r="G51" s="27"/>
      <c r="H51" s="27"/>
    </row>
    <row r="52" spans="1:8" x14ac:dyDescent="0.25">
      <c r="A52" s="27" t="s">
        <v>32</v>
      </c>
      <c r="B52" s="37">
        <f>B49</f>
        <v>14.659999999999997</v>
      </c>
      <c r="C52" s="27"/>
      <c r="D52" s="27"/>
      <c r="E52" s="27"/>
      <c r="F52" s="27" t="s">
        <v>16</v>
      </c>
      <c r="G52" s="38">
        <f>1-G50</f>
        <v>0.97451046711084788</v>
      </c>
      <c r="H52" s="27"/>
    </row>
    <row r="53" spans="1:8" x14ac:dyDescent="0.25">
      <c r="A53" s="27" t="s">
        <v>33</v>
      </c>
      <c r="B53" s="37">
        <f>B52/$G$52</f>
        <v>15.043450526973624</v>
      </c>
      <c r="C53" s="27"/>
      <c r="D53" s="27"/>
      <c r="E53" s="27"/>
      <c r="F53" s="27"/>
      <c r="G53" s="27"/>
      <c r="H53" s="27"/>
    </row>
    <row r="54" spans="1:8" x14ac:dyDescent="0.25">
      <c r="A54" s="27" t="s">
        <v>34</v>
      </c>
      <c r="B54" s="72">
        <f>'Revenue &amp; Expense Adj.'!D21</f>
        <v>27138.859997868276</v>
      </c>
      <c r="C54" s="27"/>
      <c r="D54" s="27"/>
      <c r="E54" s="27"/>
      <c r="F54" s="27"/>
      <c r="G54" s="27"/>
      <c r="H54" s="27"/>
    </row>
    <row r="55" spans="1:8" x14ac:dyDescent="0.25">
      <c r="A55" s="26" t="s">
        <v>35</v>
      </c>
      <c r="B55" s="68">
        <f>B53*B54</f>
        <v>408262.09773639491</v>
      </c>
      <c r="C55" s="27"/>
      <c r="D55" s="27"/>
      <c r="E55" s="27"/>
      <c r="F55" s="27"/>
      <c r="G55" s="27"/>
      <c r="H55" s="27"/>
    </row>
    <row r="56" spans="1:8" x14ac:dyDescent="0.25">
      <c r="A56" s="27"/>
      <c r="B56" s="27"/>
      <c r="C56" s="27"/>
      <c r="D56" s="27"/>
      <c r="E56" s="27"/>
      <c r="F56" s="27"/>
      <c r="G56" s="27"/>
      <c r="H56" s="27"/>
    </row>
    <row r="57" spans="1:8" x14ac:dyDescent="0.25">
      <c r="A57" s="27"/>
      <c r="B57" s="27"/>
      <c r="C57" s="27"/>
      <c r="D57" s="27"/>
      <c r="E57" s="27"/>
      <c r="F57" s="27"/>
      <c r="G57" s="27"/>
      <c r="H57" s="27"/>
    </row>
  </sheetData>
  <mergeCells count="4">
    <mergeCell ref="A1:H1"/>
    <mergeCell ref="A11:B11"/>
    <mergeCell ref="B43:C43"/>
    <mergeCell ref="F46:G4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U85"/>
  <sheetViews>
    <sheetView tabSelected="1" workbookViewId="0">
      <selection activeCell="F23" sqref="F23"/>
    </sheetView>
  </sheetViews>
  <sheetFormatPr defaultRowHeight="12.75" x14ac:dyDescent="0.2"/>
  <cols>
    <col min="1" max="1" width="3.7109375" style="77" bestFit="1" customWidth="1"/>
    <col min="2" max="2" width="16.85546875" style="77" customWidth="1"/>
    <col min="3" max="3" width="31.7109375" style="77" customWidth="1"/>
    <col min="4" max="4" width="11.42578125" style="77" customWidth="1"/>
    <col min="5" max="5" width="10.42578125" style="77" customWidth="1"/>
    <col min="6" max="6" width="11.85546875" style="77" bestFit="1" customWidth="1"/>
    <col min="7" max="7" width="10.42578125" style="77" bestFit="1" customWidth="1"/>
    <col min="8" max="8" width="14.85546875" style="77" customWidth="1"/>
    <col min="9" max="9" width="13.28515625" style="77" customWidth="1"/>
    <col min="10" max="10" width="14.140625" style="77" customWidth="1"/>
    <col min="11" max="11" width="13.85546875" style="77" customWidth="1"/>
    <col min="12" max="12" width="10" style="77" customWidth="1"/>
    <col min="13" max="13" width="10.140625" style="77" customWidth="1"/>
    <col min="14" max="14" width="11.140625" style="77" customWidth="1"/>
    <col min="15" max="15" width="12.7109375" style="77" bestFit="1" customWidth="1"/>
    <col min="16" max="16" width="11.42578125" style="77" customWidth="1"/>
    <col min="17" max="17" width="13.28515625" style="77" customWidth="1"/>
    <col min="18" max="16384" width="9.140625" style="77"/>
  </cols>
  <sheetData>
    <row r="1" spans="1:21" ht="38.25" x14ac:dyDescent="0.2">
      <c r="A1" s="73"/>
      <c r="B1" s="74" t="s">
        <v>36</v>
      </c>
      <c r="C1" s="75" t="s">
        <v>115</v>
      </c>
      <c r="D1" s="74" t="s">
        <v>37</v>
      </c>
      <c r="E1" s="74" t="s">
        <v>38</v>
      </c>
      <c r="F1" s="73" t="s">
        <v>39</v>
      </c>
      <c r="G1" s="74" t="s">
        <v>40</v>
      </c>
      <c r="H1" s="74" t="s">
        <v>41</v>
      </c>
      <c r="I1" s="76" t="s">
        <v>42</v>
      </c>
      <c r="J1" s="74" t="s">
        <v>29</v>
      </c>
      <c r="K1" s="74" t="s">
        <v>43</v>
      </c>
      <c r="L1" s="74" t="s">
        <v>44</v>
      </c>
      <c r="M1" s="74" t="s">
        <v>45</v>
      </c>
      <c r="N1" s="74" t="s">
        <v>176</v>
      </c>
      <c r="O1" s="74" t="s">
        <v>46</v>
      </c>
      <c r="P1" s="74" t="s">
        <v>175</v>
      </c>
      <c r="Q1" s="74" t="s">
        <v>47</v>
      </c>
    </row>
    <row r="2" spans="1:21" x14ac:dyDescent="0.2">
      <c r="A2" s="196" t="s">
        <v>20</v>
      </c>
      <c r="B2" s="78">
        <v>24</v>
      </c>
      <c r="C2" s="77" t="s">
        <v>109</v>
      </c>
      <c r="D2" s="79">
        <v>364.37520000000001</v>
      </c>
      <c r="E2" s="80">
        <f>References!$B$7</f>
        <v>4.333333333333333</v>
      </c>
      <c r="F2" s="79">
        <f t="shared" ref="F2:F11" si="0">D2*E2*12</f>
        <v>18947.510399999999</v>
      </c>
      <c r="G2" s="53">
        <f>References!B13</f>
        <v>20</v>
      </c>
      <c r="H2" s="79">
        <f t="shared" ref="H2:H11" si="1">G2*F2</f>
        <v>378950.20799999998</v>
      </c>
      <c r="I2" s="81">
        <f t="shared" ref="I2:I12" si="2">$D$81*H2</f>
        <v>305913.15464518114</v>
      </c>
      <c r="J2" s="84">
        <f>(References!$C$49*I2)</f>
        <v>2242.3434235491745</v>
      </c>
      <c r="K2" s="84">
        <f>J2/References!$G$52</f>
        <v>2300.9947037276042</v>
      </c>
      <c r="L2" s="82">
        <f t="shared" ref="L2:L11" si="3">(K2/F2)*E2</f>
        <v>0.52624206763788262</v>
      </c>
      <c r="M2" s="52">
        <v>9.6438332396193776</v>
      </c>
      <c r="N2" s="83">
        <f>L2+M2</f>
        <v>10.17007530725726</v>
      </c>
      <c r="O2" s="84">
        <f t="shared" ref="O2:O12" si="4">D2*M2*12</f>
        <v>42167.683985435506</v>
      </c>
      <c r="P2" s="84">
        <f t="shared" ref="P2:P12" si="5">D2*N2*12</f>
        <v>44468.678689163105</v>
      </c>
      <c r="Q2" s="182">
        <f>+P2-O2</f>
        <v>2300.9947037275997</v>
      </c>
      <c r="S2" s="184">
        <f>+N2/M2-1</f>
        <v>5.4567727848708891E-2</v>
      </c>
      <c r="U2" s="52"/>
    </row>
    <row r="3" spans="1:21" x14ac:dyDescent="0.2">
      <c r="A3" s="196"/>
      <c r="B3" s="78">
        <v>24</v>
      </c>
      <c r="C3" s="77" t="s">
        <v>110</v>
      </c>
      <c r="D3" s="79">
        <v>210.90195</v>
      </c>
      <c r="E3" s="80">
        <f>References!B9</f>
        <v>1</v>
      </c>
      <c r="F3" s="79">
        <f t="shared" si="0"/>
        <v>2530.8234000000002</v>
      </c>
      <c r="G3" s="53">
        <f>References!B14</f>
        <v>34</v>
      </c>
      <c r="H3" s="79">
        <f t="shared" si="1"/>
        <v>86047.995600000009</v>
      </c>
      <c r="I3" s="81">
        <f t="shared" si="2"/>
        <v>69463.515863515961</v>
      </c>
      <c r="J3" s="84">
        <f>(References!$C$49*I3)</f>
        <v>509.16757127957123</v>
      </c>
      <c r="K3" s="84">
        <f>J3/References!$G$52</f>
        <v>522.48548216122424</v>
      </c>
      <c r="L3" s="82">
        <f t="shared" si="3"/>
        <v>0.20644881115024627</v>
      </c>
      <c r="M3" s="52">
        <v>7.8358884247737564</v>
      </c>
      <c r="N3" s="83">
        <f t="shared" ref="N3:N12" si="6">L3+M3</f>
        <v>8.042337235924002</v>
      </c>
      <c r="O3" s="84">
        <f t="shared" si="4"/>
        <v>19831.249785206561</v>
      </c>
      <c r="P3" s="84">
        <f t="shared" si="5"/>
        <v>20353.735267367785</v>
      </c>
      <c r="Q3" s="182">
        <f t="shared" ref="Q3:Q27" si="7">+P3-O3</f>
        <v>522.48548216122435</v>
      </c>
      <c r="S3" s="184">
        <f t="shared" ref="S3:S27" si="8">+N3/M3-1</f>
        <v>2.6346573605813717E-2</v>
      </c>
      <c r="U3" s="52"/>
    </row>
    <row r="4" spans="1:21" x14ac:dyDescent="0.2">
      <c r="A4" s="196"/>
      <c r="B4" s="78">
        <v>24</v>
      </c>
      <c r="C4" s="77" t="s">
        <v>111</v>
      </c>
      <c r="D4" s="79">
        <v>2619.9369000000002</v>
      </c>
      <c r="E4" s="80">
        <f>References!$B$7</f>
        <v>4.333333333333333</v>
      </c>
      <c r="F4" s="79">
        <f t="shared" si="0"/>
        <v>136236.7188</v>
      </c>
      <c r="G4" s="53">
        <f>References!$B$14</f>
        <v>34</v>
      </c>
      <c r="H4" s="79">
        <f t="shared" si="1"/>
        <v>4632048.4391999999</v>
      </c>
      <c r="I4" s="81">
        <f t="shared" si="2"/>
        <v>3739289.5440895488</v>
      </c>
      <c r="J4" s="84">
        <f>(References!$C$49*I4)</f>
        <v>27408.992358176354</v>
      </c>
      <c r="K4" s="84">
        <f>J4/References!$G$52</f>
        <v>28125.908631270409</v>
      </c>
      <c r="L4" s="82">
        <f t="shared" si="3"/>
        <v>0.89461151498440061</v>
      </c>
      <c r="M4" s="52">
        <v>16.705516507352943</v>
      </c>
      <c r="N4" s="83">
        <f t="shared" si="6"/>
        <v>17.600128022337344</v>
      </c>
      <c r="O4" s="84">
        <f t="shared" si="4"/>
        <v>525208.78957407724</v>
      </c>
      <c r="P4" s="84">
        <f t="shared" si="5"/>
        <v>553334.69820534764</v>
      </c>
      <c r="Q4" s="182">
        <f t="shared" si="7"/>
        <v>28125.908631270402</v>
      </c>
      <c r="S4" s="184">
        <f t="shared" si="8"/>
        <v>5.3551862020586816E-2</v>
      </c>
      <c r="U4" s="52"/>
    </row>
    <row r="5" spans="1:21" x14ac:dyDescent="0.2">
      <c r="A5" s="196"/>
      <c r="B5" s="78">
        <v>24</v>
      </c>
      <c r="C5" s="77" t="s">
        <v>112</v>
      </c>
      <c r="D5" s="79">
        <v>213.8724</v>
      </c>
      <c r="E5" s="80">
        <f>References!$B$7</f>
        <v>4.333333333333333</v>
      </c>
      <c r="F5" s="79">
        <f t="shared" si="0"/>
        <v>11121.364799999999</v>
      </c>
      <c r="G5" s="53">
        <f>References!$B$14</f>
        <v>34</v>
      </c>
      <c r="H5" s="79">
        <f t="shared" si="1"/>
        <v>378126.4032</v>
      </c>
      <c r="I5" s="81">
        <f t="shared" si="2"/>
        <v>305248.12604812643</v>
      </c>
      <c r="J5" s="84">
        <f>(References!$C$49*I5)</f>
        <v>2237.4687639327635</v>
      </c>
      <c r="K5" s="84">
        <f>J5/References!$G$52</f>
        <v>2295.9925413281967</v>
      </c>
      <c r="L5" s="82">
        <f t="shared" si="3"/>
        <v>0.89461151498440061</v>
      </c>
      <c r="M5" s="52">
        <v>25.965516507352941</v>
      </c>
      <c r="N5" s="83">
        <f t="shared" si="6"/>
        <v>26.860128022337342</v>
      </c>
      <c r="O5" s="84">
        <f t="shared" si="4"/>
        <v>66639.687992006293</v>
      </c>
      <c r="P5" s="84">
        <f t="shared" si="5"/>
        <v>68935.680533334496</v>
      </c>
      <c r="Q5" s="182">
        <f t="shared" si="7"/>
        <v>2295.9925413282035</v>
      </c>
      <c r="S5" s="184">
        <f t="shared" si="8"/>
        <v>3.4453830900342819E-2</v>
      </c>
      <c r="U5" s="52"/>
    </row>
    <row r="6" spans="1:21" x14ac:dyDescent="0.2">
      <c r="A6" s="196"/>
      <c r="B6" s="78">
        <v>24</v>
      </c>
      <c r="C6" s="77" t="s">
        <v>113</v>
      </c>
      <c r="D6" s="79">
        <v>16.832550000000001</v>
      </c>
      <c r="E6" s="80">
        <f>References!$B$7</f>
        <v>4.333333333333333</v>
      </c>
      <c r="F6" s="79">
        <f t="shared" si="0"/>
        <v>875.29259999999999</v>
      </c>
      <c r="G6" s="53">
        <f>References!$B$14</f>
        <v>34</v>
      </c>
      <c r="H6" s="79">
        <f t="shared" si="1"/>
        <v>29759.948400000001</v>
      </c>
      <c r="I6" s="81">
        <f t="shared" si="2"/>
        <v>24024.158068602545</v>
      </c>
      <c r="J6" s="84">
        <f>(References!$C$49*I6)</f>
        <v>176.09707864285639</v>
      </c>
      <c r="K6" s="84">
        <f>J6/References!$G$52</f>
        <v>180.70311667860807</v>
      </c>
      <c r="L6" s="82">
        <f t="shared" si="3"/>
        <v>0.89461151498440061</v>
      </c>
      <c r="M6" s="52">
        <v>34.91551650735294</v>
      </c>
      <c r="N6" s="83">
        <f t="shared" si="6"/>
        <v>35.810128022337338</v>
      </c>
      <c r="O6" s="84">
        <f t="shared" si="4"/>
        <v>7052.6061286301256</v>
      </c>
      <c r="P6" s="84">
        <f t="shared" si="5"/>
        <v>7233.3092453087338</v>
      </c>
      <c r="Q6" s="182">
        <f t="shared" si="7"/>
        <v>180.70311667860824</v>
      </c>
      <c r="S6" s="184">
        <f t="shared" si="8"/>
        <v>2.562217616903939E-2</v>
      </c>
      <c r="U6" s="52"/>
    </row>
    <row r="7" spans="1:21" x14ac:dyDescent="0.2">
      <c r="A7" s="196"/>
      <c r="B7" s="78">
        <v>24</v>
      </c>
      <c r="C7" s="77" t="s">
        <v>114</v>
      </c>
      <c r="D7" s="79">
        <v>0.99014999999999997</v>
      </c>
      <c r="E7" s="80">
        <f>References!$B$7</f>
        <v>4.333333333333333</v>
      </c>
      <c r="F7" s="79">
        <f t="shared" si="0"/>
        <v>51.487799999999993</v>
      </c>
      <c r="G7" s="53">
        <f>References!$B$14</f>
        <v>34</v>
      </c>
      <c r="H7" s="79">
        <f t="shared" si="1"/>
        <v>1750.5851999999998</v>
      </c>
      <c r="I7" s="81">
        <f t="shared" si="2"/>
        <v>1413.1857687413258</v>
      </c>
      <c r="J7" s="84">
        <f>(References!$C$49*I7)</f>
        <v>10.358651684873903</v>
      </c>
      <c r="K7" s="84">
        <f>J7/References!$G$52</f>
        <v>10.62959509874165</v>
      </c>
      <c r="L7" s="82">
        <f t="shared" si="3"/>
        <v>0.89461151498440061</v>
      </c>
      <c r="M7" s="52">
        <v>43.785516507352938</v>
      </c>
      <c r="N7" s="83">
        <f t="shared" si="6"/>
        <v>44.680128022337335</v>
      </c>
      <c r="O7" s="84">
        <f t="shared" si="4"/>
        <v>520.25075003706615</v>
      </c>
      <c r="P7" s="84">
        <f t="shared" si="5"/>
        <v>530.88034513580772</v>
      </c>
      <c r="Q7" s="182">
        <f t="shared" si="7"/>
        <v>10.629595098741561</v>
      </c>
      <c r="S7" s="184">
        <f t="shared" si="8"/>
        <v>2.0431676644357077E-2</v>
      </c>
      <c r="U7" s="52"/>
    </row>
    <row r="8" spans="1:21" x14ac:dyDescent="0.2">
      <c r="A8" s="196"/>
      <c r="B8" s="78">
        <v>24</v>
      </c>
      <c r="C8" s="77" t="s">
        <v>119</v>
      </c>
      <c r="D8" s="79">
        <v>1351.55475</v>
      </c>
      <c r="E8" s="80">
        <f>References!$B$7</f>
        <v>4.333333333333333</v>
      </c>
      <c r="F8" s="79">
        <f t="shared" si="0"/>
        <v>70280.846999999994</v>
      </c>
      <c r="G8" s="53">
        <f>References!B13</f>
        <v>20</v>
      </c>
      <c r="H8" s="79">
        <f t="shared" si="1"/>
        <v>1405616.94</v>
      </c>
      <c r="I8" s="81">
        <f t="shared" si="2"/>
        <v>1134705.0437246528</v>
      </c>
      <c r="J8" s="84">
        <f>(References!$C$49*I8)</f>
        <v>8317.3879705016934</v>
      </c>
      <c r="K8" s="84">
        <f>J8/References!$G$52</f>
        <v>8534.9395939896185</v>
      </c>
      <c r="L8" s="82">
        <f t="shared" si="3"/>
        <v>0.52624206763788262</v>
      </c>
      <c r="M8" s="52">
        <v>11.343833239619377</v>
      </c>
      <c r="N8" s="83">
        <f t="shared" si="6"/>
        <v>11.87007530725726</v>
      </c>
      <c r="O8" s="84">
        <f t="shared" si="4"/>
        <v>183981.74037858547</v>
      </c>
      <c r="P8" s="84">
        <f t="shared" si="5"/>
        <v>192516.6799725751</v>
      </c>
      <c r="Q8" s="182">
        <f t="shared" si="7"/>
        <v>8534.9395939896349</v>
      </c>
      <c r="S8" s="184">
        <f t="shared" si="8"/>
        <v>4.6390144893873719E-2</v>
      </c>
      <c r="U8" s="52"/>
    </row>
    <row r="9" spans="1:21" x14ac:dyDescent="0.2">
      <c r="A9" s="196"/>
      <c r="B9" s="78">
        <v>24</v>
      </c>
      <c r="C9" s="77" t="s">
        <v>116</v>
      </c>
      <c r="D9" s="79">
        <v>7933.081799999999</v>
      </c>
      <c r="E9" s="80">
        <f>References!$B$7</f>
        <v>4.333333333333333</v>
      </c>
      <c r="F9" s="79">
        <f t="shared" si="0"/>
        <v>412520.25359999994</v>
      </c>
      <c r="G9" s="53">
        <f>References!$B$20</f>
        <v>37</v>
      </c>
      <c r="H9" s="79">
        <f t="shared" si="1"/>
        <v>15263249.383199997</v>
      </c>
      <c r="I9" s="81">
        <f t="shared" si="2"/>
        <v>12321483.589080987</v>
      </c>
      <c r="J9" s="84">
        <f>(References!$C$49*I9)</f>
        <v>90316.474707963513</v>
      </c>
      <c r="K9" s="84">
        <f>J9/References!$G$52</f>
        <v>92678.814395628506</v>
      </c>
      <c r="L9" s="82">
        <f t="shared" si="3"/>
        <v>0.97354782513008287</v>
      </c>
      <c r="M9" s="52">
        <v>17.966591493295848</v>
      </c>
      <c r="N9" s="83">
        <f t="shared" si="6"/>
        <v>18.940139318425931</v>
      </c>
      <c r="O9" s="84">
        <f t="shared" si="4"/>
        <v>1710365.2798020013</v>
      </c>
      <c r="P9" s="84">
        <f t="shared" si="5"/>
        <v>1803044.09419763</v>
      </c>
      <c r="Q9" s="182">
        <f t="shared" si="7"/>
        <v>92678.814395628637</v>
      </c>
      <c r="S9" s="184">
        <f t="shared" si="8"/>
        <v>5.4186562069570066E-2</v>
      </c>
      <c r="U9" s="52"/>
    </row>
    <row r="10" spans="1:21" x14ac:dyDescent="0.2">
      <c r="A10" s="196"/>
      <c r="B10" s="78">
        <v>24</v>
      </c>
      <c r="C10" s="77" t="s">
        <v>121</v>
      </c>
      <c r="D10" s="79">
        <v>5478.4999499999994</v>
      </c>
      <c r="E10" s="80">
        <f>References!$B$7</f>
        <v>4.333333333333333</v>
      </c>
      <c r="F10" s="79">
        <f t="shared" si="0"/>
        <v>284881.99739999999</v>
      </c>
      <c r="G10" s="53">
        <f>References!$B$21</f>
        <v>47</v>
      </c>
      <c r="H10" s="79">
        <f t="shared" si="1"/>
        <v>13389453.877799999</v>
      </c>
      <c r="I10" s="81">
        <f t="shared" si="2"/>
        <v>10808834.480792664</v>
      </c>
      <c r="J10" s="84">
        <f>(References!$C$49*I10)</f>
        <v>79228.756744210114</v>
      </c>
      <c r="K10" s="84">
        <f>J10/References!$G$52</f>
        <v>81301.083383025441</v>
      </c>
      <c r="L10" s="82">
        <f t="shared" si="3"/>
        <v>1.2366688589490242</v>
      </c>
      <c r="M10" s="52">
        <v>27.813508113105534</v>
      </c>
      <c r="N10" s="83">
        <f t="shared" si="6"/>
        <v>29.050176972054558</v>
      </c>
      <c r="O10" s="84">
        <f t="shared" si="4"/>
        <v>1828515.6336836792</v>
      </c>
      <c r="P10" s="84">
        <f t="shared" si="5"/>
        <v>1909816.7170667045</v>
      </c>
      <c r="Q10" s="182">
        <f t="shared" si="7"/>
        <v>81301.083383025369</v>
      </c>
      <c r="S10" s="184">
        <f t="shared" si="8"/>
        <v>4.4462886663560131E-2</v>
      </c>
      <c r="U10" s="52"/>
    </row>
    <row r="11" spans="1:21" x14ac:dyDescent="0.2">
      <c r="A11" s="196"/>
      <c r="B11" s="78">
        <v>24</v>
      </c>
      <c r="C11" s="77" t="s">
        <v>122</v>
      </c>
      <c r="D11" s="79">
        <v>1993.1719499999999</v>
      </c>
      <c r="E11" s="80">
        <f>References!$B$7</f>
        <v>4.333333333333333</v>
      </c>
      <c r="F11" s="79">
        <f t="shared" si="0"/>
        <v>103644.94139999998</v>
      </c>
      <c r="G11" s="53">
        <f>References!$B$22</f>
        <v>68</v>
      </c>
      <c r="H11" s="79">
        <f t="shared" si="1"/>
        <v>7047856.0151999984</v>
      </c>
      <c r="I11" s="81">
        <f t="shared" si="2"/>
        <v>5689485.9049525773</v>
      </c>
      <c r="J11" s="84">
        <f>(References!$C$49*I11)</f>
        <v>41703.931683302333</v>
      </c>
      <c r="K11" s="84">
        <f>J11/References!$G$52</f>
        <v>42794.749867533879</v>
      </c>
      <c r="L11" s="82">
        <f t="shared" si="3"/>
        <v>1.7892230299688012</v>
      </c>
      <c r="M11" s="52">
        <v>37.971033014705881</v>
      </c>
      <c r="N11" s="83">
        <f t="shared" si="6"/>
        <v>39.760256044674684</v>
      </c>
      <c r="O11" s="84">
        <f t="shared" si="4"/>
        <v>908193.57500922843</v>
      </c>
      <c r="P11" s="84">
        <f t="shared" si="5"/>
        <v>950988.32487676223</v>
      </c>
      <c r="Q11" s="182">
        <f t="shared" si="7"/>
        <v>42794.749867533799</v>
      </c>
      <c r="S11" s="184">
        <f t="shared" si="8"/>
        <v>4.7120736201089031E-2</v>
      </c>
      <c r="U11" s="52"/>
    </row>
    <row r="12" spans="1:21" x14ac:dyDescent="0.2">
      <c r="A12" s="86"/>
      <c r="B12" s="78">
        <v>25</v>
      </c>
      <c r="C12" s="77" t="s">
        <v>123</v>
      </c>
      <c r="D12" s="79">
        <v>2420</v>
      </c>
      <c r="E12" s="80">
        <v>1</v>
      </c>
      <c r="F12" s="79">
        <f t="shared" ref="F12" si="9">D12*E12*12</f>
        <v>29040</v>
      </c>
      <c r="G12" s="53">
        <f>References!B24</f>
        <v>34</v>
      </c>
      <c r="H12" s="79">
        <f t="shared" ref="H12" si="10">G12*F12</f>
        <v>987360</v>
      </c>
      <c r="I12" s="81">
        <f t="shared" si="2"/>
        <v>797060.94888979732</v>
      </c>
      <c r="J12" s="84">
        <f>(References!$C$49*I12)</f>
        <v>5842.4567553622055</v>
      </c>
      <c r="K12" s="84">
        <f>J12/References!$G$52</f>
        <v>5995.2734758031511</v>
      </c>
      <c r="L12" s="82">
        <f t="shared" ref="L12" si="11">(K12/F12)*E12</f>
        <v>0.20644881115024624</v>
      </c>
      <c r="M12" s="52">
        <v>5.5958884247737561</v>
      </c>
      <c r="N12" s="83">
        <f t="shared" si="6"/>
        <v>5.8023372359240026</v>
      </c>
      <c r="O12" s="84">
        <f t="shared" si="4"/>
        <v>162504.5998554299</v>
      </c>
      <c r="P12" s="84">
        <f t="shared" si="5"/>
        <v>168499.87333123304</v>
      </c>
      <c r="Q12" s="182">
        <f t="shared" si="7"/>
        <v>5995.2734758031438</v>
      </c>
      <c r="S12" s="184">
        <f t="shared" si="8"/>
        <v>3.6892946298977325E-2</v>
      </c>
      <c r="U12" s="52"/>
    </row>
    <row r="13" spans="1:21" x14ac:dyDescent="0.2">
      <c r="A13" s="87"/>
      <c r="B13" s="88"/>
      <c r="C13" s="89" t="s">
        <v>2</v>
      </c>
      <c r="D13" s="90">
        <f>SUM(D2:D12)</f>
        <v>22603.2176</v>
      </c>
      <c r="E13" s="91"/>
      <c r="F13" s="92">
        <f>SUM(F2:F12)</f>
        <v>1070131.2371999999</v>
      </c>
      <c r="G13" s="93"/>
      <c r="H13" s="94">
        <f>SUM(H2:H12)</f>
        <v>43600219.795799993</v>
      </c>
      <c r="I13" s="95">
        <f>SUM(I2:I12)</f>
        <v>35196921.651924394</v>
      </c>
      <c r="J13" s="183"/>
      <c r="K13" s="183"/>
      <c r="L13" s="99">
        <f>+Q13/(D13-D12)/12</f>
        <v>1.0930763536361903</v>
      </c>
      <c r="M13" s="96"/>
      <c r="N13" s="96"/>
      <c r="O13" s="97">
        <f>SUM(O2:O12)</f>
        <v>5454981.0969443163</v>
      </c>
      <c r="P13" s="98">
        <f>SUM(P2:P12)</f>
        <v>5719722.6717305621</v>
      </c>
      <c r="Q13" s="98">
        <f>SUM(Q2:Q12)</f>
        <v>264741.57478624536</v>
      </c>
      <c r="S13" s="184">
        <f>+Q13/O13</f>
        <v>4.8532079228385233E-2</v>
      </c>
      <c r="U13" s="52"/>
    </row>
    <row r="14" spans="1:21" x14ac:dyDescent="0.2">
      <c r="A14" s="197" t="s">
        <v>17</v>
      </c>
      <c r="B14" s="78">
        <v>30</v>
      </c>
      <c r="C14" s="100" t="s">
        <v>124</v>
      </c>
      <c r="D14" s="101"/>
      <c r="E14" s="101"/>
      <c r="F14" s="54">
        <v>514.10840000000007</v>
      </c>
      <c r="G14" s="53">
        <f>References!B26</f>
        <v>29</v>
      </c>
      <c r="H14" s="102">
        <f>F14*G14</f>
        <v>14909.143600000003</v>
      </c>
      <c r="I14" s="81">
        <f t="shared" ref="I14:I27" si="12">$D$81*H14</f>
        <v>12035.626463448238</v>
      </c>
      <c r="J14" s="84">
        <f>References!$C$49*I14</f>
        <v>88.221141977075447</v>
      </c>
      <c r="K14" s="84">
        <f>J14/References!$G$52</f>
        <v>90.528675632008927</v>
      </c>
      <c r="L14" s="82">
        <f>K14/F14</f>
        <v>0.17608869186344536</v>
      </c>
      <c r="M14" s="52">
        <v>5.1585518917187914</v>
      </c>
      <c r="N14" s="83">
        <f>L14+M14</f>
        <v>5.334640583582237</v>
      </c>
      <c r="O14" s="84">
        <f t="shared" ref="O14:O27" si="13">F14*M14</f>
        <v>2652.0548593685216</v>
      </c>
      <c r="P14" s="84">
        <f t="shared" ref="P14:P27" si="14">F14*N14</f>
        <v>2742.5835350005304</v>
      </c>
      <c r="Q14" s="182">
        <f t="shared" si="7"/>
        <v>90.528675632008799</v>
      </c>
      <c r="S14" s="184">
        <f t="shared" si="8"/>
        <v>3.4135295245576014E-2</v>
      </c>
      <c r="U14" s="52"/>
    </row>
    <row r="15" spans="1:21" x14ac:dyDescent="0.2">
      <c r="A15" s="196"/>
      <c r="B15" s="78">
        <v>30</v>
      </c>
      <c r="C15" s="100" t="s">
        <v>138</v>
      </c>
      <c r="D15" s="101"/>
      <c r="E15" s="101"/>
      <c r="F15" s="54">
        <v>1696.5577200000002</v>
      </c>
      <c r="G15" s="53">
        <f>References!B20</f>
        <v>37</v>
      </c>
      <c r="H15" s="102">
        <f t="shared" ref="H15:H17" si="15">F15*G15</f>
        <v>62772.635640000008</v>
      </c>
      <c r="I15" s="81">
        <f t="shared" si="12"/>
        <v>50674.137627138953</v>
      </c>
      <c r="J15" s="84">
        <f>References!$C$49*I15</f>
        <v>371.441428806928</v>
      </c>
      <c r="K15" s="84">
        <f>J15/References!$G$52</f>
        <v>381.15694119545827</v>
      </c>
      <c r="L15" s="82">
        <f t="shared" ref="L15:L17" si="16">K15/F15</f>
        <v>0.22466488272232685</v>
      </c>
      <c r="M15" s="52">
        <v>5.5122903446067335</v>
      </c>
      <c r="N15" s="83">
        <f t="shared" ref="N15:N27" si="17">L15+M15</f>
        <v>5.7369552273290605</v>
      </c>
      <c r="O15" s="84">
        <f t="shared" si="13"/>
        <v>9351.9187390240149</v>
      </c>
      <c r="P15" s="84">
        <f t="shared" si="14"/>
        <v>9733.0756802194737</v>
      </c>
      <c r="Q15" s="182">
        <f t="shared" si="7"/>
        <v>381.15694119545878</v>
      </c>
      <c r="S15" s="184">
        <f t="shared" si="8"/>
        <v>4.0757084383651998E-2</v>
      </c>
      <c r="U15" s="52"/>
    </row>
    <row r="16" spans="1:21" x14ac:dyDescent="0.2">
      <c r="A16" s="196"/>
      <c r="B16" s="78">
        <v>30</v>
      </c>
      <c r="C16" s="100" t="s">
        <v>125</v>
      </c>
      <c r="D16" s="101"/>
      <c r="E16" s="101"/>
      <c r="F16" s="54">
        <v>2364.8986399999999</v>
      </c>
      <c r="G16" s="53">
        <f>References!B21</f>
        <v>47</v>
      </c>
      <c r="H16" s="102">
        <f>F16*G16</f>
        <v>111150.23607999999</v>
      </c>
      <c r="I16" s="81">
        <f t="shared" si="12"/>
        <v>89727.670393017528</v>
      </c>
      <c r="J16" s="84">
        <f>References!$C$49*I16</f>
        <v>657.70382398081756</v>
      </c>
      <c r="K16" s="84">
        <f>J16/References!$G$52</f>
        <v>674.90688522897676</v>
      </c>
      <c r="L16" s="82">
        <f>K16/F16</f>
        <v>0.28538512129592869</v>
      </c>
      <c r="M16" s="52">
        <v>9.0869634107166615</v>
      </c>
      <c r="N16" s="83">
        <f t="shared" si="17"/>
        <v>9.372348532012591</v>
      </c>
      <c r="O16" s="84">
        <f t="shared" si="13"/>
        <v>21489.747411733591</v>
      </c>
      <c r="P16" s="84">
        <f t="shared" si="14"/>
        <v>22164.654296962573</v>
      </c>
      <c r="Q16" s="182">
        <f t="shared" si="7"/>
        <v>674.90688522898199</v>
      </c>
      <c r="S16" s="184">
        <f t="shared" si="8"/>
        <v>3.1405994323622233E-2</v>
      </c>
      <c r="U16" s="52"/>
    </row>
    <row r="17" spans="1:21" x14ac:dyDescent="0.2">
      <c r="A17" s="196"/>
      <c r="B17" s="78">
        <v>30</v>
      </c>
      <c r="C17" s="100" t="s">
        <v>126</v>
      </c>
      <c r="D17" s="101"/>
      <c r="E17" s="101"/>
      <c r="F17" s="54">
        <v>4112.8671999999997</v>
      </c>
      <c r="G17" s="53">
        <f>References!B22</f>
        <v>68</v>
      </c>
      <c r="H17" s="102">
        <f t="shared" si="15"/>
        <v>279674.96959999995</v>
      </c>
      <c r="I17" s="81">
        <f t="shared" si="12"/>
        <v>225771.75159020134</v>
      </c>
      <c r="J17" s="84">
        <f>References!$C$49*I17</f>
        <v>1654.9069391561734</v>
      </c>
      <c r="K17" s="84">
        <f>J17/References!$G$52</f>
        <v>1698.1930877176842</v>
      </c>
      <c r="L17" s="82">
        <f t="shared" si="16"/>
        <v>0.41289762230049254</v>
      </c>
      <c r="M17" s="52">
        <v>11.881776849547512</v>
      </c>
      <c r="N17" s="83">
        <f t="shared" si="17"/>
        <v>12.294674471848005</v>
      </c>
      <c r="O17" s="84">
        <f t="shared" si="13"/>
        <v>48868.170282223291</v>
      </c>
      <c r="P17" s="84">
        <f t="shared" si="14"/>
        <v>50566.363369940977</v>
      </c>
      <c r="Q17" s="182">
        <f t="shared" si="7"/>
        <v>1698.1930877176856</v>
      </c>
      <c r="S17" s="184">
        <f t="shared" si="8"/>
        <v>3.4750494604366855E-2</v>
      </c>
      <c r="U17" s="52"/>
    </row>
    <row r="18" spans="1:21" x14ac:dyDescent="0.2">
      <c r="A18" s="196"/>
      <c r="B18" s="78" t="s">
        <v>172</v>
      </c>
      <c r="C18" s="100" t="s">
        <v>127</v>
      </c>
      <c r="D18" s="101"/>
      <c r="E18" s="101"/>
      <c r="F18" s="54">
        <v>4215.6888799999997</v>
      </c>
      <c r="G18" s="53">
        <f>References!B27</f>
        <v>175</v>
      </c>
      <c r="H18" s="102">
        <f t="shared" ref="H18:H26" si="18">F18*G18</f>
        <v>737745.554</v>
      </c>
      <c r="I18" s="81">
        <f t="shared" si="12"/>
        <v>595555.99913959368</v>
      </c>
      <c r="J18" s="84">
        <f>References!$C$49*I18</f>
        <v>4365.4254736932153</v>
      </c>
      <c r="K18" s="84">
        <f>J18/References!$G$52</f>
        <v>4479.6086045494067</v>
      </c>
      <c r="L18" s="82">
        <f t="shared" ref="L18:L26" si="19">K18/F18</f>
        <v>1.0626041750380324</v>
      </c>
      <c r="M18" s="52">
        <v>25.44677865692374</v>
      </c>
      <c r="N18" s="83">
        <f t="shared" si="17"/>
        <v>26.509382831961773</v>
      </c>
      <c r="O18" s="84">
        <f t="shared" si="13"/>
        <v>107275.70181581474</v>
      </c>
      <c r="P18" s="84">
        <f t="shared" si="14"/>
        <v>111755.31042036414</v>
      </c>
      <c r="Q18" s="182">
        <f t="shared" si="7"/>
        <v>4479.6086045494012</v>
      </c>
      <c r="S18" s="184">
        <f t="shared" si="8"/>
        <v>4.1757905366497594E-2</v>
      </c>
      <c r="U18" s="52"/>
    </row>
    <row r="19" spans="1:21" x14ac:dyDescent="0.2">
      <c r="A19" s="196"/>
      <c r="B19" s="78" t="s">
        <v>172</v>
      </c>
      <c r="C19" s="100" t="s">
        <v>128</v>
      </c>
      <c r="D19" s="101"/>
      <c r="E19" s="101"/>
      <c r="F19" s="54">
        <v>1542.3251999999998</v>
      </c>
      <c r="G19" s="53">
        <f>References!B28</f>
        <v>250</v>
      </c>
      <c r="H19" s="102">
        <f>F19*G19</f>
        <v>385581.29999999993</v>
      </c>
      <c r="I19" s="81">
        <f t="shared" si="12"/>
        <v>311266.20164090255</v>
      </c>
      <c r="J19" s="84">
        <f>References!$C$49*I19</f>
        <v>2281.5812580278125</v>
      </c>
      <c r="K19" s="84">
        <f>J19/References!$G$52</f>
        <v>2341.2588525519541</v>
      </c>
      <c r="L19" s="82">
        <f t="shared" si="19"/>
        <v>1.5180059643400461</v>
      </c>
      <c r="M19" s="52">
        <v>33.2668266527482</v>
      </c>
      <c r="N19" s="83">
        <f t="shared" si="17"/>
        <v>34.784832617088249</v>
      </c>
      <c r="O19" s="84">
        <f t="shared" si="13"/>
        <v>51308.26507056519</v>
      </c>
      <c r="P19" s="84">
        <f t="shared" si="14"/>
        <v>53649.523923117151</v>
      </c>
      <c r="Q19" s="182">
        <f t="shared" si="7"/>
        <v>2341.2588525519604</v>
      </c>
      <c r="S19" s="184">
        <f t="shared" si="8"/>
        <v>4.5631222364115764E-2</v>
      </c>
      <c r="U19" s="52"/>
    </row>
    <row r="20" spans="1:21" x14ac:dyDescent="0.2">
      <c r="A20" s="196"/>
      <c r="B20" s="78" t="s">
        <v>172</v>
      </c>
      <c r="C20" s="100" t="s">
        <v>129</v>
      </c>
      <c r="D20" s="101"/>
      <c r="E20" s="101"/>
      <c r="F20" s="54">
        <v>4421.3322399999988</v>
      </c>
      <c r="G20" s="53">
        <f>References!B29</f>
        <v>324</v>
      </c>
      <c r="H20" s="102">
        <f t="shared" si="18"/>
        <v>1432511.6457599995</v>
      </c>
      <c r="I20" s="81">
        <f t="shared" si="12"/>
        <v>1156416.1923362811</v>
      </c>
      <c r="J20" s="84">
        <f>References!$C$49*I20</f>
        <v>8476.5306898249273</v>
      </c>
      <c r="K20" s="84">
        <f>J20/References!$G$52</f>
        <v>8698.2448890010182</v>
      </c>
      <c r="L20" s="82">
        <f t="shared" si="19"/>
        <v>1.9673357297846996</v>
      </c>
      <c r="M20" s="52">
        <v>42.421407341961668</v>
      </c>
      <c r="N20" s="83">
        <f t="shared" si="17"/>
        <v>44.388743071746369</v>
      </c>
      <c r="O20" s="84">
        <f t="shared" si="13"/>
        <v>187559.13594718778</v>
      </c>
      <c r="P20" s="84">
        <f t="shared" si="14"/>
        <v>196257.38083618879</v>
      </c>
      <c r="Q20" s="182">
        <f t="shared" si="7"/>
        <v>8698.2448890010128</v>
      </c>
      <c r="S20" s="184">
        <f t="shared" si="8"/>
        <v>4.6376012797639588E-2</v>
      </c>
      <c r="U20" s="52"/>
    </row>
    <row r="21" spans="1:21" x14ac:dyDescent="0.2">
      <c r="A21" s="196"/>
      <c r="B21" s="78" t="s">
        <v>172</v>
      </c>
      <c r="C21" s="100" t="s">
        <v>130</v>
      </c>
      <c r="D21" s="101"/>
      <c r="E21" s="101"/>
      <c r="F21" s="54">
        <v>4678.3864400000002</v>
      </c>
      <c r="G21" s="53">
        <f>References!B30</f>
        <v>473</v>
      </c>
      <c r="H21" s="102">
        <f t="shared" si="18"/>
        <v>2212876.7861200003</v>
      </c>
      <c r="I21" s="81">
        <f t="shared" si="12"/>
        <v>1786377.4822972498</v>
      </c>
      <c r="J21" s="84">
        <f>References!$C$49*I21</f>
        <v>13094.146945238823</v>
      </c>
      <c r="K21" s="84">
        <f>J21/References!$G$52</f>
        <v>13436.640638719173</v>
      </c>
      <c r="L21" s="82">
        <f t="shared" si="19"/>
        <v>2.8720672845313677</v>
      </c>
      <c r="M21" s="52">
        <v>57.9460360269996</v>
      </c>
      <c r="N21" s="83">
        <f t="shared" si="17"/>
        <v>60.818103311530969</v>
      </c>
      <c r="O21" s="84">
        <f t="shared" si="13"/>
        <v>271093.94920046639</v>
      </c>
      <c r="P21" s="84">
        <f t="shared" si="14"/>
        <v>284530.58983918559</v>
      </c>
      <c r="Q21" s="182">
        <f t="shared" si="7"/>
        <v>13436.640638719196</v>
      </c>
      <c r="S21" s="184">
        <f t="shared" si="8"/>
        <v>4.9564516944578418E-2</v>
      </c>
      <c r="U21" s="103"/>
    </row>
    <row r="22" spans="1:21" x14ac:dyDescent="0.2">
      <c r="A22" s="196"/>
      <c r="B22" s="78" t="s">
        <v>172</v>
      </c>
      <c r="C22" s="100" t="s">
        <v>131</v>
      </c>
      <c r="D22" s="101"/>
      <c r="E22" s="101"/>
      <c r="F22" s="54">
        <v>9253.4766383999995</v>
      </c>
      <c r="G22" s="53">
        <f>References!B31</f>
        <v>613</v>
      </c>
      <c r="H22" s="102">
        <f t="shared" si="18"/>
        <v>5672381.1793391993</v>
      </c>
      <c r="I22" s="81">
        <f t="shared" si="12"/>
        <v>4579113.5201635975</v>
      </c>
      <c r="J22" s="84">
        <f>References!$C$49*I22</f>
        <v>33564.902102799118</v>
      </c>
      <c r="K22" s="84">
        <f>J22/References!$G$52</f>
        <v>34442.833848988514</v>
      </c>
      <c r="L22" s="82">
        <f t="shared" si="19"/>
        <v>3.7221506245617926</v>
      </c>
      <c r="M22" s="52">
        <v>70.321458952538592</v>
      </c>
      <c r="N22" s="83">
        <f t="shared" si="17"/>
        <v>74.043609577100383</v>
      </c>
      <c r="O22" s="84">
        <f t="shared" si="13"/>
        <v>650717.97759552032</v>
      </c>
      <c r="P22" s="84">
        <f t="shared" si="14"/>
        <v>685160.81144450884</v>
      </c>
      <c r="Q22" s="182">
        <f t="shared" si="7"/>
        <v>34442.833848988521</v>
      </c>
      <c r="S22" s="184">
        <f t="shared" si="8"/>
        <v>5.293050912202979E-2</v>
      </c>
      <c r="U22" s="103"/>
    </row>
    <row r="23" spans="1:21" x14ac:dyDescent="0.2">
      <c r="A23" s="196"/>
      <c r="B23" s="78" t="s">
        <v>172</v>
      </c>
      <c r="C23" s="100" t="s">
        <v>132</v>
      </c>
      <c r="D23" s="101"/>
      <c r="E23" s="101"/>
      <c r="F23" s="54">
        <v>5398.1382000000003</v>
      </c>
      <c r="G23" s="53">
        <f>References!B32</f>
        <v>840</v>
      </c>
      <c r="H23" s="102">
        <f t="shared" si="18"/>
        <v>4534436.0880000005</v>
      </c>
      <c r="I23" s="81">
        <f t="shared" si="12"/>
        <v>3660490.5312970155</v>
      </c>
      <c r="J23" s="84">
        <f>References!$C$49*I23</f>
        <v>26831.395594407084</v>
      </c>
      <c r="K23" s="84">
        <f>J23/References!$G$52</f>
        <v>27533.204106010988</v>
      </c>
      <c r="L23" s="82">
        <f t="shared" si="19"/>
        <v>5.1005000401825553</v>
      </c>
      <c r="M23" s="52">
        <v>91.702537553233967</v>
      </c>
      <c r="N23" s="83">
        <f t="shared" si="17"/>
        <v>96.803037593416519</v>
      </c>
      <c r="O23" s="84">
        <f t="shared" si="13"/>
        <v>495022.97100304684</v>
      </c>
      <c r="P23" s="84">
        <f t="shared" si="14"/>
        <v>522556.1751090578</v>
      </c>
      <c r="Q23" s="182">
        <f t="shared" si="7"/>
        <v>27533.204106010962</v>
      </c>
      <c r="S23" s="184">
        <f t="shared" si="8"/>
        <v>5.5620053449684237E-2</v>
      </c>
      <c r="U23" s="103"/>
    </row>
    <row r="24" spans="1:21" x14ac:dyDescent="0.2">
      <c r="A24" s="196"/>
      <c r="B24" s="78" t="s">
        <v>172</v>
      </c>
      <c r="C24" s="100" t="s">
        <v>133</v>
      </c>
      <c r="D24" s="101"/>
      <c r="E24" s="101"/>
      <c r="F24" s="54">
        <v>7146.1067600000006</v>
      </c>
      <c r="G24" s="53">
        <f>References!B33</f>
        <v>980</v>
      </c>
      <c r="H24" s="102">
        <f t="shared" si="18"/>
        <v>7003184.6248000003</v>
      </c>
      <c r="I24" s="81">
        <f t="shared" si="12"/>
        <v>5653424.265003168</v>
      </c>
      <c r="J24" s="84">
        <f>References!$C$49*I24</f>
        <v>41439.599862473158</v>
      </c>
      <c r="K24" s="84">
        <f>J24/References!$G$52</f>
        <v>42523.504119283636</v>
      </c>
      <c r="L24" s="82">
        <f t="shared" si="19"/>
        <v>5.9505833802129811</v>
      </c>
      <c r="M24" s="52">
        <v>111.77796047877295</v>
      </c>
      <c r="N24" s="83">
        <f t="shared" si="17"/>
        <v>117.72854385898593</v>
      </c>
      <c r="O24" s="84">
        <f t="shared" si="13"/>
        <v>798777.23899637233</v>
      </c>
      <c r="P24" s="84">
        <f t="shared" si="14"/>
        <v>841300.74311565596</v>
      </c>
      <c r="Q24" s="182">
        <f t="shared" si="7"/>
        <v>42523.504119283636</v>
      </c>
      <c r="S24" s="184">
        <f t="shared" si="8"/>
        <v>5.3235748395525695E-2</v>
      </c>
      <c r="U24" s="103"/>
    </row>
    <row r="25" spans="1:21" x14ac:dyDescent="0.2">
      <c r="A25" s="196"/>
      <c r="B25" s="78">
        <v>44</v>
      </c>
      <c r="C25" s="100" t="s">
        <v>134</v>
      </c>
      <c r="D25" s="101"/>
      <c r="E25" s="101"/>
      <c r="F25" s="54">
        <v>616.93007999999998</v>
      </c>
      <c r="G25" s="53">
        <f>References!B36</f>
        <v>892</v>
      </c>
      <c r="H25" s="102">
        <f t="shared" si="18"/>
        <v>550301.63136</v>
      </c>
      <c r="I25" s="81">
        <f t="shared" si="12"/>
        <v>444239.12298189622</v>
      </c>
      <c r="J25" s="84">
        <f>References!$C$49*I25</f>
        <v>3256.2727714572943</v>
      </c>
      <c r="K25" s="84">
        <f>J25/References!$G$52</f>
        <v>3341.4446343621494</v>
      </c>
      <c r="L25" s="82">
        <f t="shared" si="19"/>
        <v>5.4162452807652848</v>
      </c>
      <c r="M25" s="52">
        <v>111.2968374970056</v>
      </c>
      <c r="N25" s="83">
        <f t="shared" si="17"/>
        <v>116.71308277777088</v>
      </c>
      <c r="O25" s="84">
        <f t="shared" si="13"/>
        <v>68662.366860774666</v>
      </c>
      <c r="P25" s="84">
        <f t="shared" si="14"/>
        <v>72003.811495136804</v>
      </c>
      <c r="Q25" s="182">
        <f t="shared" si="7"/>
        <v>3341.4446343621385</v>
      </c>
      <c r="S25" s="184">
        <f t="shared" si="8"/>
        <v>4.8664862385788821E-2</v>
      </c>
      <c r="U25" s="103"/>
    </row>
    <row r="26" spans="1:21" x14ac:dyDescent="0.2">
      <c r="A26" s="196"/>
      <c r="B26" s="78">
        <v>44</v>
      </c>
      <c r="C26" s="100" t="s">
        <v>135</v>
      </c>
      <c r="D26" s="101"/>
      <c r="E26" s="101"/>
      <c r="F26" s="54">
        <v>308.46503999999999</v>
      </c>
      <c r="G26" s="53">
        <f>References!B37</f>
        <v>1301</v>
      </c>
      <c r="H26" s="102">
        <f t="shared" si="18"/>
        <v>401313.01704000001</v>
      </c>
      <c r="I26" s="81">
        <f t="shared" si="12"/>
        <v>323965.86266785144</v>
      </c>
      <c r="J26" s="84">
        <f>References!$C$49*I26</f>
        <v>2374.6697733553474</v>
      </c>
      <c r="K26" s="84">
        <f>J26/References!$G$52</f>
        <v>2436.782213736074</v>
      </c>
      <c r="L26" s="82">
        <f t="shared" si="19"/>
        <v>7.8997030384255993</v>
      </c>
      <c r="M26" s="52">
        <v>201.22296590090167</v>
      </c>
      <c r="N26" s="83">
        <f t="shared" si="17"/>
        <v>209.12266893932727</v>
      </c>
      <c r="O26" s="84">
        <f t="shared" si="13"/>
        <v>62070.250225540265</v>
      </c>
      <c r="P26" s="84">
        <f t="shared" si="14"/>
        <v>64507.032439276343</v>
      </c>
      <c r="Q26" s="182">
        <f t="shared" si="7"/>
        <v>2436.7822137360781</v>
      </c>
      <c r="S26" s="184">
        <f t="shared" si="8"/>
        <v>3.9258456424482224E-2</v>
      </c>
      <c r="U26" s="103"/>
    </row>
    <row r="27" spans="1:21" x14ac:dyDescent="0.2">
      <c r="A27" s="196"/>
      <c r="B27" s="78">
        <v>44</v>
      </c>
      <c r="C27" s="100" t="s">
        <v>136</v>
      </c>
      <c r="D27" s="101"/>
      <c r="E27" s="101"/>
      <c r="F27" s="54">
        <v>102.82168</v>
      </c>
      <c r="G27" s="53">
        <f>References!B40</f>
        <v>2310</v>
      </c>
      <c r="H27" s="102">
        <f t="shared" ref="H27" si="20">F27*G27</f>
        <v>237518.0808</v>
      </c>
      <c r="I27" s="81">
        <f t="shared" si="12"/>
        <v>191739.98021079603</v>
      </c>
      <c r="J27" s="84">
        <f>References!$C$49*I27</f>
        <v>1405.4540549451328</v>
      </c>
      <c r="K27" s="84">
        <f>J27/References!$G$52</f>
        <v>1442.2154531720041</v>
      </c>
      <c r="L27" s="82">
        <f t="shared" ref="L27" si="21">K27/F27</f>
        <v>14.026375110502027</v>
      </c>
      <c r="M27" s="52">
        <v>282.70947827139338</v>
      </c>
      <c r="N27" s="83">
        <f t="shared" si="17"/>
        <v>296.73585338189542</v>
      </c>
      <c r="O27" s="84">
        <f t="shared" si="13"/>
        <v>29068.663507788162</v>
      </c>
      <c r="P27" s="84">
        <f t="shared" si="14"/>
        <v>30510.87896096017</v>
      </c>
      <c r="Q27" s="182">
        <f t="shared" si="7"/>
        <v>1442.215453172008</v>
      </c>
      <c r="S27" s="184">
        <f t="shared" si="8"/>
        <v>4.9614095700877492E-2</v>
      </c>
      <c r="U27" s="103"/>
    </row>
    <row r="28" spans="1:21" x14ac:dyDescent="0.2">
      <c r="A28" s="196"/>
      <c r="B28" s="78"/>
      <c r="C28" s="100"/>
      <c r="D28" s="101"/>
      <c r="E28" s="101"/>
      <c r="F28" s="54"/>
      <c r="G28" s="53"/>
      <c r="H28" s="102"/>
      <c r="I28" s="81"/>
      <c r="J28" s="84"/>
      <c r="K28" s="82"/>
      <c r="L28" s="82"/>
      <c r="M28" s="103"/>
      <c r="N28" s="82"/>
      <c r="O28" s="84"/>
      <c r="P28" s="84"/>
      <c r="Q28" s="85"/>
    </row>
    <row r="29" spans="1:21" x14ac:dyDescent="0.2">
      <c r="A29" s="87"/>
      <c r="B29" s="104"/>
      <c r="C29" s="89" t="s">
        <v>2</v>
      </c>
      <c r="D29" s="90">
        <f>SUM(D14:D28)</f>
        <v>0</v>
      </c>
      <c r="E29" s="90"/>
      <c r="F29" s="90">
        <f>SUM(F14:F28)</f>
        <v>46372.103118400002</v>
      </c>
      <c r="G29" s="90"/>
      <c r="H29" s="90">
        <f>SUM(H14:H28)</f>
        <v>23636356.8921392</v>
      </c>
      <c r="I29" s="95">
        <f>SUM(I14:I28)</f>
        <v>19080798.343812156</v>
      </c>
      <c r="J29" s="98">
        <f>SUM(J14:J28)</f>
        <v>139862.25186014292</v>
      </c>
      <c r="K29" s="95">
        <f>SUM(K14:K28)</f>
        <v>143520.52295014905</v>
      </c>
      <c r="L29" s="99"/>
      <c r="M29" s="99"/>
      <c r="N29" s="99"/>
      <c r="O29" s="97">
        <f>SUM(O14:O28)</f>
        <v>2803918.4115154259</v>
      </c>
      <c r="P29" s="98">
        <f>SUM(P14:P28)</f>
        <v>2947438.9344655755</v>
      </c>
      <c r="Q29" s="99">
        <f>SUM(Q14:Q28)</f>
        <v>143520.52295014905</v>
      </c>
      <c r="S29" s="187">
        <f>+Q29/O29</f>
        <v>5.1185698685355441E-2</v>
      </c>
    </row>
    <row r="30" spans="1:21" x14ac:dyDescent="0.2">
      <c r="A30" s="105"/>
      <c r="B30" s="106"/>
      <c r="C30" s="107" t="s">
        <v>48</v>
      </c>
      <c r="D30" s="108">
        <f>D13+D29</f>
        <v>22603.2176</v>
      </c>
      <c r="E30" s="108"/>
      <c r="F30" s="108">
        <f>F13+F29</f>
        <v>1116503.3403183999</v>
      </c>
      <c r="G30" s="108"/>
      <c r="H30" s="108">
        <f>H13+H29</f>
        <v>67236576.687939197</v>
      </c>
      <c r="I30" s="108">
        <f>I13+I29</f>
        <v>54277719.995736554</v>
      </c>
      <c r="J30" s="82"/>
      <c r="K30" s="109"/>
      <c r="L30" s="109"/>
      <c r="M30" s="109"/>
      <c r="N30" s="109"/>
      <c r="O30" s="110">
        <f>O13+O29</f>
        <v>8258899.5084597422</v>
      </c>
      <c r="P30" s="110">
        <f>P13+P29</f>
        <v>8667161.6061961371</v>
      </c>
      <c r="Q30" s="109">
        <f>Q13+Q29</f>
        <v>408262.09773639438</v>
      </c>
      <c r="S30" s="187">
        <f>+Q30/O30</f>
        <v>4.9432990111842871E-2</v>
      </c>
    </row>
    <row r="31" spans="1:21" x14ac:dyDescent="0.2">
      <c r="A31" s="105"/>
      <c r="B31" s="106"/>
      <c r="C31" s="105"/>
      <c r="D31" s="111"/>
      <c r="E31" s="105"/>
      <c r="F31" s="105"/>
      <c r="G31" s="105"/>
      <c r="H31" s="105"/>
      <c r="I31" s="112"/>
      <c r="J31" s="113"/>
      <c r="K31" s="105"/>
      <c r="L31" s="105"/>
      <c r="M31" s="105"/>
      <c r="N31" s="105"/>
      <c r="O31" s="105"/>
      <c r="P31" s="114"/>
      <c r="Q31" s="105"/>
    </row>
    <row r="32" spans="1:21" x14ac:dyDescent="0.2">
      <c r="A32" s="105"/>
      <c r="B32" s="106"/>
      <c r="C32" s="105"/>
      <c r="D32" s="111"/>
      <c r="E32" s="105"/>
      <c r="F32" s="105"/>
      <c r="G32" s="105"/>
      <c r="H32" s="105"/>
      <c r="I32" s="112"/>
      <c r="J32" s="113"/>
      <c r="K32" s="105"/>
      <c r="L32" s="105"/>
      <c r="M32" s="105"/>
      <c r="N32" s="105"/>
      <c r="O32" s="105"/>
      <c r="P32" s="114"/>
      <c r="Q32" s="105"/>
    </row>
    <row r="33" spans="1:17" x14ac:dyDescent="0.2">
      <c r="A33" s="115"/>
      <c r="B33" s="116"/>
      <c r="C33" s="117" t="s">
        <v>49</v>
      </c>
      <c r="D33" s="118"/>
      <c r="E33" s="115"/>
      <c r="F33" s="115"/>
      <c r="G33" s="115"/>
      <c r="H33" s="115"/>
      <c r="I33" s="119"/>
      <c r="J33" s="120"/>
      <c r="K33" s="115"/>
      <c r="L33" s="115"/>
      <c r="M33" s="115"/>
      <c r="N33" s="115"/>
      <c r="O33" s="105"/>
      <c r="P33" s="114"/>
      <c r="Q33" s="105"/>
    </row>
    <row r="34" spans="1:17" x14ac:dyDescent="0.2">
      <c r="A34" s="198" t="s">
        <v>20</v>
      </c>
      <c r="B34" s="78">
        <v>24</v>
      </c>
      <c r="C34" s="121" t="s">
        <v>117</v>
      </c>
      <c r="D34" s="122">
        <v>1</v>
      </c>
      <c r="E34" s="101">
        <f>References!$B$7</f>
        <v>4.333333333333333</v>
      </c>
      <c r="F34" s="79">
        <f>D34*E34*12</f>
        <v>52</v>
      </c>
      <c r="G34" s="79">
        <f>References!B18</f>
        <v>117</v>
      </c>
      <c r="H34" s="79">
        <f t="shared" ref="H34:H36" si="22">G34*F34</f>
        <v>6084</v>
      </c>
      <c r="I34" s="81">
        <f t="shared" ref="I34:I40" si="23">$D$81*H34</f>
        <v>4911.39889507933</v>
      </c>
      <c r="J34" s="82">
        <f>(References!$C$49*I34)</f>
        <v>36.000553900931436</v>
      </c>
      <c r="K34" s="82">
        <f>J34/References!$G$52</f>
        <v>36.942193148179364</v>
      </c>
      <c r="L34" s="82">
        <f t="shared" ref="L34" si="24">(K34/F34)*E34</f>
        <v>3.0785160956816133</v>
      </c>
      <c r="M34" s="82">
        <v>57.77</v>
      </c>
      <c r="N34" s="83">
        <f>ROUND(L34+M34,2)</f>
        <v>60.85</v>
      </c>
      <c r="O34" s="105"/>
      <c r="P34" s="82"/>
      <c r="Q34" s="82"/>
    </row>
    <row r="35" spans="1:17" x14ac:dyDescent="0.2">
      <c r="A35" s="198"/>
      <c r="B35" s="123">
        <v>24</v>
      </c>
      <c r="C35" s="121" t="s">
        <v>118</v>
      </c>
      <c r="D35" s="122">
        <v>1</v>
      </c>
      <c r="E35" s="101">
        <f>References!$B$7</f>
        <v>4.333333333333333</v>
      </c>
      <c r="F35" s="79">
        <f t="shared" ref="F35:F36" si="25">D35*E35*12</f>
        <v>52</v>
      </c>
      <c r="G35" s="79">
        <f>References!B19</f>
        <v>157</v>
      </c>
      <c r="H35" s="79">
        <f t="shared" si="22"/>
        <v>8164</v>
      </c>
      <c r="I35" s="81">
        <f t="shared" si="23"/>
        <v>6590.5096284397841</v>
      </c>
      <c r="J35" s="82">
        <f>(References!$C$49*I35)</f>
        <v>48.308435576463545</v>
      </c>
      <c r="K35" s="82">
        <f>J35/References!$G$52</f>
        <v>49.572002771488542</v>
      </c>
      <c r="L35" s="82">
        <f t="shared" ref="L35:L36" si="26">(K35/F35)*E35</f>
        <v>4.1310002309573779</v>
      </c>
      <c r="M35" s="82">
        <v>69.16</v>
      </c>
      <c r="N35" s="83">
        <f t="shared" ref="N35:N36" si="27">ROUND(L35+M35,2)</f>
        <v>73.290000000000006</v>
      </c>
      <c r="O35" s="105"/>
      <c r="P35" s="114"/>
      <c r="Q35" s="105"/>
    </row>
    <row r="36" spans="1:17" x14ac:dyDescent="0.2">
      <c r="A36" s="198"/>
      <c r="B36" s="123">
        <v>24</v>
      </c>
      <c r="C36" s="100" t="s">
        <v>120</v>
      </c>
      <c r="D36" s="122">
        <v>1</v>
      </c>
      <c r="E36" s="101">
        <f>References!$B$9</f>
        <v>1</v>
      </c>
      <c r="F36" s="79">
        <f t="shared" si="25"/>
        <v>12</v>
      </c>
      <c r="G36" s="79">
        <f>References!B20</f>
        <v>37</v>
      </c>
      <c r="H36" s="79">
        <f t="shared" si="22"/>
        <v>444</v>
      </c>
      <c r="I36" s="81">
        <f t="shared" si="23"/>
        <v>358.42556039040477</v>
      </c>
      <c r="J36" s="82">
        <f>(References!$C$49*I36)</f>
        <v>2.627259357661663</v>
      </c>
      <c r="K36" s="82">
        <f>J36/References!$G$52</f>
        <v>2.6959785926679221</v>
      </c>
      <c r="L36" s="82">
        <f t="shared" si="26"/>
        <v>0.22466488272232685</v>
      </c>
      <c r="M36" s="82">
        <v>8.33</v>
      </c>
      <c r="N36" s="83">
        <f t="shared" si="27"/>
        <v>8.5500000000000007</v>
      </c>
      <c r="O36" s="105"/>
      <c r="P36" s="114"/>
      <c r="Q36" s="105"/>
    </row>
    <row r="37" spans="1:17" x14ac:dyDescent="0.2">
      <c r="A37" s="198"/>
      <c r="B37" s="123">
        <v>34</v>
      </c>
      <c r="C37" s="100" t="s">
        <v>153</v>
      </c>
      <c r="D37" s="122">
        <v>1</v>
      </c>
      <c r="E37" s="101">
        <f>References!$B$7</f>
        <v>4.333333333333333</v>
      </c>
      <c r="F37" s="79">
        <f t="shared" ref="F37:F40" si="28">D37*E37*12</f>
        <v>52</v>
      </c>
      <c r="G37" s="79">
        <f>References!B21</f>
        <v>47</v>
      </c>
      <c r="H37" s="79">
        <f t="shared" ref="H37:H40" si="29">G37*F37</f>
        <v>2444</v>
      </c>
      <c r="I37" s="81">
        <f t="shared" si="23"/>
        <v>1972.9551116985342</v>
      </c>
      <c r="J37" s="82">
        <f>(References!$C$49*I37)</f>
        <v>14.461760968750236</v>
      </c>
      <c r="K37" s="82">
        <f>J37/References!$G$52</f>
        <v>14.840026307388293</v>
      </c>
      <c r="L37" s="82">
        <f t="shared" ref="L37:L40" si="30">(K37/F37)*E37</f>
        <v>1.2366688589490242</v>
      </c>
      <c r="M37" s="82">
        <v>27.81</v>
      </c>
      <c r="N37" s="83">
        <f t="shared" ref="N37:N40" si="31">ROUND(L37+M37,2)</f>
        <v>29.05</v>
      </c>
      <c r="O37" s="124"/>
      <c r="P37" s="114"/>
      <c r="Q37" s="105"/>
    </row>
    <row r="38" spans="1:17" x14ac:dyDescent="0.2">
      <c r="A38" s="198"/>
      <c r="B38" s="123">
        <v>34</v>
      </c>
      <c r="C38" s="100" t="s">
        <v>154</v>
      </c>
      <c r="D38" s="122">
        <v>1</v>
      </c>
      <c r="E38" s="101">
        <f>References!$B$7</f>
        <v>4.333333333333333</v>
      </c>
      <c r="F38" s="79">
        <f t="shared" si="28"/>
        <v>52</v>
      </c>
      <c r="G38" s="79">
        <f>References!B22</f>
        <v>68</v>
      </c>
      <c r="H38" s="79">
        <f t="shared" si="29"/>
        <v>3536</v>
      </c>
      <c r="I38" s="81">
        <f t="shared" si="23"/>
        <v>2854.4882467127727</v>
      </c>
      <c r="J38" s="82">
        <f>(References!$C$49*I38)</f>
        <v>20.923398848404592</v>
      </c>
      <c r="K38" s="82">
        <f>J38/References!$G$52</f>
        <v>21.47067635962561</v>
      </c>
      <c r="L38" s="82">
        <f t="shared" si="30"/>
        <v>1.7892230299688006</v>
      </c>
      <c r="M38" s="82">
        <v>38.979999999999997</v>
      </c>
      <c r="N38" s="83">
        <f t="shared" si="31"/>
        <v>40.770000000000003</v>
      </c>
      <c r="O38" s="124"/>
      <c r="P38" s="114"/>
      <c r="Q38" s="105"/>
    </row>
    <row r="39" spans="1:17" x14ac:dyDescent="0.2">
      <c r="A39" s="198"/>
      <c r="B39" s="123">
        <v>34</v>
      </c>
      <c r="C39" s="100" t="s">
        <v>155</v>
      </c>
      <c r="D39" s="122">
        <v>1</v>
      </c>
      <c r="E39" s="101">
        <f>References!$B$9</f>
        <v>1</v>
      </c>
      <c r="F39" s="79">
        <f t="shared" si="28"/>
        <v>12</v>
      </c>
      <c r="G39" s="79">
        <f>References!$B$42</f>
        <v>125</v>
      </c>
      <c r="H39" s="79">
        <f t="shared" si="29"/>
        <v>1500</v>
      </c>
      <c r="I39" s="81">
        <f t="shared" si="23"/>
        <v>1210.8971634810971</v>
      </c>
      <c r="J39" s="82">
        <f>(References!$C$49*I39)</f>
        <v>8.8758762083164289</v>
      </c>
      <c r="K39" s="82">
        <f>J39/References!$G$52</f>
        <v>9.1080357860402774</v>
      </c>
      <c r="L39" s="82">
        <f t="shared" si="30"/>
        <v>0.75900298217002315</v>
      </c>
      <c r="M39" s="82">
        <v>24.74</v>
      </c>
      <c r="N39" s="83">
        <f t="shared" si="31"/>
        <v>25.5</v>
      </c>
      <c r="O39" s="124"/>
      <c r="P39" s="114"/>
      <c r="Q39" s="105"/>
    </row>
    <row r="40" spans="1:17" x14ac:dyDescent="0.2">
      <c r="A40" s="198"/>
      <c r="B40" s="123">
        <v>34</v>
      </c>
      <c r="C40" s="100" t="s">
        <v>156</v>
      </c>
      <c r="D40" s="122">
        <v>1</v>
      </c>
      <c r="E40" s="101">
        <f>References!$B$9</f>
        <v>1</v>
      </c>
      <c r="F40" s="79">
        <f t="shared" si="28"/>
        <v>12</v>
      </c>
      <c r="G40" s="79">
        <f>References!$B$42</f>
        <v>125</v>
      </c>
      <c r="H40" s="79">
        <f t="shared" si="29"/>
        <v>1500</v>
      </c>
      <c r="I40" s="81">
        <f t="shared" si="23"/>
        <v>1210.8971634810971</v>
      </c>
      <c r="J40" s="82">
        <f>(References!$C$49*I40)</f>
        <v>8.8758762083164289</v>
      </c>
      <c r="K40" s="82">
        <f>J40/References!$G$52</f>
        <v>9.1080357860402774</v>
      </c>
      <c r="L40" s="82">
        <f t="shared" si="30"/>
        <v>0.75900298217002315</v>
      </c>
      <c r="M40" s="82">
        <v>23.55</v>
      </c>
      <c r="N40" s="83">
        <f t="shared" si="31"/>
        <v>24.31</v>
      </c>
      <c r="O40" s="124"/>
      <c r="P40" s="114"/>
      <c r="Q40" s="105"/>
    </row>
    <row r="41" spans="1:17" x14ac:dyDescent="0.2">
      <c r="A41" s="198"/>
      <c r="B41" s="125"/>
      <c r="C41" s="126"/>
      <c r="D41" s="127"/>
      <c r="E41" s="128"/>
      <c r="F41" s="129"/>
      <c r="G41" s="129"/>
      <c r="H41" s="129"/>
      <c r="I41" s="129"/>
      <c r="J41" s="130"/>
      <c r="K41" s="130"/>
      <c r="L41" s="130"/>
      <c r="M41" s="130"/>
      <c r="N41" s="130"/>
      <c r="O41" s="124"/>
      <c r="P41" s="114"/>
      <c r="Q41" s="105"/>
    </row>
    <row r="42" spans="1:17" ht="15" customHeight="1" x14ac:dyDescent="0.2">
      <c r="A42" s="192" t="s">
        <v>173</v>
      </c>
      <c r="B42" s="131">
        <v>30</v>
      </c>
      <c r="C42" s="132" t="s">
        <v>142</v>
      </c>
      <c r="D42" s="132"/>
      <c r="E42" s="132"/>
      <c r="F42" s="133">
        <v>12</v>
      </c>
      <c r="G42" s="134">
        <f>References!B26</f>
        <v>29</v>
      </c>
      <c r="H42" s="133">
        <f>F42*G42</f>
        <v>348</v>
      </c>
      <c r="I42" s="135">
        <f t="shared" ref="I42:I69" si="32">$D$81*H42</f>
        <v>280.92814192761455</v>
      </c>
      <c r="J42" s="136">
        <f>References!$C$49*I42</f>
        <v>2.0592032803294118</v>
      </c>
      <c r="K42" s="136">
        <f>J42/References!$G$52</f>
        <v>2.1130643023613445</v>
      </c>
      <c r="L42" s="136">
        <f>K42/F42</f>
        <v>0.17608869186344536</v>
      </c>
      <c r="M42" s="136">
        <v>8.7200000000000006</v>
      </c>
      <c r="N42" s="137">
        <f>ROUND(L42+M42,2)</f>
        <v>8.9</v>
      </c>
      <c r="O42" s="124"/>
      <c r="P42" s="114"/>
      <c r="Q42" s="105"/>
    </row>
    <row r="43" spans="1:17" x14ac:dyDescent="0.2">
      <c r="A43" s="193"/>
      <c r="B43" s="123" t="s">
        <v>174</v>
      </c>
      <c r="C43" s="105" t="s">
        <v>143</v>
      </c>
      <c r="D43" s="105"/>
      <c r="E43" s="105"/>
      <c r="F43" s="102">
        <v>12</v>
      </c>
      <c r="G43" s="138">
        <f>References!B20</f>
        <v>37</v>
      </c>
      <c r="H43" s="102">
        <f t="shared" ref="H43:H45" si="33">F43*G43</f>
        <v>444</v>
      </c>
      <c r="I43" s="81">
        <f t="shared" si="32"/>
        <v>358.42556039040477</v>
      </c>
      <c r="J43" s="82">
        <f>References!$C$49*I43</f>
        <v>2.627259357661663</v>
      </c>
      <c r="K43" s="82">
        <f>J43/References!$G$52</f>
        <v>2.6959785926679221</v>
      </c>
      <c r="L43" s="82">
        <f t="shared" ref="L43:L45" si="34">K43/F43</f>
        <v>0.22466488272232685</v>
      </c>
      <c r="M43" s="82">
        <v>9.15</v>
      </c>
      <c r="N43" s="83">
        <f t="shared" ref="N43:N45" si="35">ROUND(L43+M43,2)</f>
        <v>9.3699999999999992</v>
      </c>
      <c r="O43" s="124"/>
      <c r="P43" s="114"/>
      <c r="Q43" s="105"/>
    </row>
    <row r="44" spans="1:17" x14ac:dyDescent="0.2">
      <c r="A44" s="193"/>
      <c r="B44" s="123" t="s">
        <v>174</v>
      </c>
      <c r="C44" s="139" t="s">
        <v>144</v>
      </c>
      <c r="D44" s="122"/>
      <c r="E44" s="140"/>
      <c r="F44" s="102">
        <v>12</v>
      </c>
      <c r="G44" s="138">
        <f>References!B21</f>
        <v>47</v>
      </c>
      <c r="H44" s="102">
        <f t="shared" si="33"/>
        <v>564</v>
      </c>
      <c r="I44" s="81">
        <f t="shared" si="32"/>
        <v>455.29733346889253</v>
      </c>
      <c r="J44" s="82">
        <f>References!$C$49*I44</f>
        <v>3.3373294543269774</v>
      </c>
      <c r="K44" s="82">
        <f>J44/References!$G$52</f>
        <v>3.4246214555511441</v>
      </c>
      <c r="L44" s="82">
        <f t="shared" si="34"/>
        <v>0.28538512129592869</v>
      </c>
      <c r="M44" s="82">
        <v>12.72</v>
      </c>
      <c r="N44" s="83">
        <f t="shared" si="35"/>
        <v>13.01</v>
      </c>
      <c r="O44" s="124"/>
      <c r="P44" s="114"/>
      <c r="Q44" s="105"/>
    </row>
    <row r="45" spans="1:17" x14ac:dyDescent="0.2">
      <c r="A45" s="193"/>
      <c r="B45" s="123" t="s">
        <v>174</v>
      </c>
      <c r="C45" s="141" t="s">
        <v>145</v>
      </c>
      <c r="D45" s="122"/>
      <c r="E45" s="140"/>
      <c r="F45" s="102">
        <v>12</v>
      </c>
      <c r="G45" s="138">
        <f>References!B22</f>
        <v>68</v>
      </c>
      <c r="H45" s="102">
        <f t="shared" si="33"/>
        <v>816</v>
      </c>
      <c r="I45" s="81">
        <f t="shared" si="32"/>
        <v>658.72805693371686</v>
      </c>
      <c r="J45" s="82">
        <f>References!$C$49*I45</f>
        <v>4.8284766573241376</v>
      </c>
      <c r="K45" s="82">
        <f>J45/References!$G$52</f>
        <v>4.9547714676059114</v>
      </c>
      <c r="L45" s="82">
        <f t="shared" si="34"/>
        <v>0.41289762230049259</v>
      </c>
      <c r="M45" s="82">
        <v>15.51</v>
      </c>
      <c r="N45" s="83">
        <f t="shared" si="35"/>
        <v>15.92</v>
      </c>
      <c r="O45" s="124"/>
      <c r="P45" s="114"/>
      <c r="Q45" s="105"/>
    </row>
    <row r="46" spans="1:17" x14ac:dyDescent="0.2">
      <c r="A46" s="193"/>
      <c r="B46" s="123" t="s">
        <v>172</v>
      </c>
      <c r="C46" s="141" t="s">
        <v>157</v>
      </c>
      <c r="D46" s="105"/>
      <c r="E46" s="105"/>
      <c r="F46" s="102">
        <v>12</v>
      </c>
      <c r="G46" s="122">
        <f>References!B27</f>
        <v>175</v>
      </c>
      <c r="H46" s="102">
        <f t="shared" ref="H46:H53" si="36">F46*G46</f>
        <v>2100</v>
      </c>
      <c r="I46" s="81">
        <f t="shared" si="32"/>
        <v>1695.256028873536</v>
      </c>
      <c r="J46" s="82">
        <f>References!$C$49*I46</f>
        <v>12.426226691643</v>
      </c>
      <c r="K46" s="82">
        <f>J46/References!$G$52</f>
        <v>12.751250100456387</v>
      </c>
      <c r="L46" s="82">
        <f t="shared" ref="L46:L53" si="37">K46/F46</f>
        <v>1.0626041750380322</v>
      </c>
      <c r="M46" s="82">
        <v>29.09</v>
      </c>
      <c r="N46" s="83">
        <f t="shared" ref="N46:N58" si="38">ROUND(L46+M46,2)</f>
        <v>30.15</v>
      </c>
      <c r="O46" s="124"/>
      <c r="P46" s="114"/>
      <c r="Q46" s="105"/>
    </row>
    <row r="47" spans="1:17" x14ac:dyDescent="0.2">
      <c r="A47" s="193"/>
      <c r="B47" s="123" t="s">
        <v>172</v>
      </c>
      <c r="C47" s="141" t="s">
        <v>162</v>
      </c>
      <c r="D47" s="105"/>
      <c r="E47" s="105"/>
      <c r="F47" s="102">
        <v>12</v>
      </c>
      <c r="G47" s="122">
        <f>References!B28</f>
        <v>250</v>
      </c>
      <c r="H47" s="102">
        <f t="shared" si="36"/>
        <v>3000</v>
      </c>
      <c r="I47" s="81">
        <f t="shared" si="32"/>
        <v>2421.7943269621942</v>
      </c>
      <c r="J47" s="82">
        <f>References!$C$49*I47</f>
        <v>17.751752416632858</v>
      </c>
      <c r="K47" s="82">
        <f>J47/References!$G$52</f>
        <v>18.216071572080555</v>
      </c>
      <c r="L47" s="82">
        <f t="shared" si="37"/>
        <v>1.5180059643400463</v>
      </c>
      <c r="M47" s="82">
        <v>36.909999999999997</v>
      </c>
      <c r="N47" s="83">
        <f t="shared" si="38"/>
        <v>38.43</v>
      </c>
      <c r="O47" s="124"/>
      <c r="P47" s="114"/>
      <c r="Q47" s="105"/>
    </row>
    <row r="48" spans="1:17" x14ac:dyDescent="0.2">
      <c r="A48" s="193"/>
      <c r="B48" s="123" t="s">
        <v>172</v>
      </c>
      <c r="C48" s="141" t="s">
        <v>158</v>
      </c>
      <c r="D48" s="105"/>
      <c r="E48" s="105"/>
      <c r="F48" s="102">
        <v>12</v>
      </c>
      <c r="G48" s="122">
        <f>References!B29</f>
        <v>324</v>
      </c>
      <c r="H48" s="102">
        <f t="shared" si="36"/>
        <v>3888</v>
      </c>
      <c r="I48" s="81">
        <f t="shared" si="32"/>
        <v>3138.6454477430038</v>
      </c>
      <c r="J48" s="82">
        <f>References!$C$49*I48</f>
        <v>23.006271131956186</v>
      </c>
      <c r="K48" s="82">
        <f>J48/References!$G$52</f>
        <v>23.608028757416402</v>
      </c>
      <c r="L48" s="82">
        <f t="shared" si="37"/>
        <v>1.9673357297847003</v>
      </c>
      <c r="M48" s="82">
        <v>46.05</v>
      </c>
      <c r="N48" s="83">
        <f t="shared" si="38"/>
        <v>48.02</v>
      </c>
      <c r="O48" s="124"/>
      <c r="P48" s="114"/>
      <c r="Q48" s="105"/>
    </row>
    <row r="49" spans="1:17" x14ac:dyDescent="0.2">
      <c r="A49" s="193"/>
      <c r="B49" s="123" t="s">
        <v>172</v>
      </c>
      <c r="C49" s="141" t="s">
        <v>159</v>
      </c>
      <c r="D49" s="105"/>
      <c r="E49" s="105"/>
      <c r="F49" s="102">
        <v>12</v>
      </c>
      <c r="G49" s="122">
        <f>References!B30</f>
        <v>473</v>
      </c>
      <c r="H49" s="102">
        <f t="shared" si="36"/>
        <v>5676</v>
      </c>
      <c r="I49" s="81">
        <f t="shared" si="32"/>
        <v>4582.0348666124719</v>
      </c>
      <c r="J49" s="82">
        <f>References!$C$49*I49</f>
        <v>33.58631557226937</v>
      </c>
      <c r="K49" s="82">
        <f>J49/References!$G$52</f>
        <v>34.464807414376409</v>
      </c>
      <c r="L49" s="82">
        <f t="shared" si="37"/>
        <v>2.8720672845313673</v>
      </c>
      <c r="M49" s="82">
        <v>61.59</v>
      </c>
      <c r="N49" s="83">
        <f t="shared" si="38"/>
        <v>64.459999999999994</v>
      </c>
      <c r="O49" s="124"/>
      <c r="P49" s="114"/>
      <c r="Q49" s="105"/>
    </row>
    <row r="50" spans="1:17" x14ac:dyDescent="0.2">
      <c r="A50" s="193"/>
      <c r="B50" s="123" t="s">
        <v>172</v>
      </c>
      <c r="C50" s="141" t="s">
        <v>160</v>
      </c>
      <c r="D50" s="105"/>
      <c r="E50" s="105"/>
      <c r="F50" s="102">
        <v>12</v>
      </c>
      <c r="G50" s="122">
        <f>References!B31</f>
        <v>613</v>
      </c>
      <c r="H50" s="102">
        <f t="shared" si="36"/>
        <v>7356</v>
      </c>
      <c r="I50" s="81">
        <f t="shared" si="32"/>
        <v>5938.2396897113003</v>
      </c>
      <c r="J50" s="82">
        <f>References!$C$49*I50</f>
        <v>43.527296925583769</v>
      </c>
      <c r="K50" s="82">
        <f>J50/References!$G$52</f>
        <v>44.665807494741522</v>
      </c>
      <c r="L50" s="82">
        <f t="shared" si="37"/>
        <v>3.7221506245617935</v>
      </c>
      <c r="M50" s="82">
        <v>73.95</v>
      </c>
      <c r="N50" s="83">
        <f t="shared" si="38"/>
        <v>77.67</v>
      </c>
      <c r="O50" s="124"/>
      <c r="P50" s="114"/>
      <c r="Q50" s="105"/>
    </row>
    <row r="51" spans="1:17" x14ac:dyDescent="0.2">
      <c r="A51" s="193"/>
      <c r="B51" s="123" t="s">
        <v>172</v>
      </c>
      <c r="C51" s="141" t="s">
        <v>161</v>
      </c>
      <c r="D51" s="105"/>
      <c r="E51" s="105"/>
      <c r="F51" s="102">
        <v>12</v>
      </c>
      <c r="G51" s="122">
        <f>References!B32</f>
        <v>840</v>
      </c>
      <c r="H51" s="102">
        <f t="shared" si="36"/>
        <v>10080</v>
      </c>
      <c r="I51" s="81">
        <f t="shared" si="32"/>
        <v>8137.2289385929726</v>
      </c>
      <c r="J51" s="82">
        <f>References!$C$49*I51</f>
        <v>59.645888119886401</v>
      </c>
      <c r="K51" s="82">
        <f>J51/References!$G$52</f>
        <v>61.20600048219066</v>
      </c>
      <c r="L51" s="82">
        <f t="shared" si="37"/>
        <v>5.1005000401825553</v>
      </c>
      <c r="M51" s="82">
        <v>95.34</v>
      </c>
      <c r="N51" s="83">
        <f t="shared" si="38"/>
        <v>100.44</v>
      </c>
      <c r="O51" s="124"/>
      <c r="P51" s="114"/>
      <c r="Q51" s="105"/>
    </row>
    <row r="52" spans="1:17" x14ac:dyDescent="0.2">
      <c r="A52" s="193"/>
      <c r="B52" s="123" t="s">
        <v>172</v>
      </c>
      <c r="C52" s="141" t="s">
        <v>163</v>
      </c>
      <c r="D52" s="105"/>
      <c r="E52" s="105"/>
      <c r="F52" s="102">
        <v>12</v>
      </c>
      <c r="G52" s="122">
        <f>References!B33</f>
        <v>980</v>
      </c>
      <c r="H52" s="102">
        <f t="shared" si="36"/>
        <v>11760</v>
      </c>
      <c r="I52" s="81">
        <f t="shared" si="32"/>
        <v>9493.4337616918019</v>
      </c>
      <c r="J52" s="82">
        <f>References!$C$49*I52</f>
        <v>69.586869473200807</v>
      </c>
      <c r="K52" s="82">
        <f>J52/References!$G$52</f>
        <v>71.40700056255578</v>
      </c>
      <c r="L52" s="82">
        <f t="shared" si="37"/>
        <v>5.9505833802129819</v>
      </c>
      <c r="M52" s="82">
        <v>115.41</v>
      </c>
      <c r="N52" s="83">
        <f t="shared" si="38"/>
        <v>121.36</v>
      </c>
      <c r="O52" s="124"/>
      <c r="P52" s="114"/>
      <c r="Q52" s="105"/>
    </row>
    <row r="53" spans="1:17" x14ac:dyDescent="0.2">
      <c r="A53" s="193"/>
      <c r="B53" s="123" t="s">
        <v>172</v>
      </c>
      <c r="C53" s="121" t="s">
        <v>146</v>
      </c>
      <c r="D53" s="122"/>
      <c r="E53" s="140"/>
      <c r="F53" s="102">
        <v>12</v>
      </c>
      <c r="G53" s="138">
        <f>References!B27</f>
        <v>175</v>
      </c>
      <c r="H53" s="102">
        <f t="shared" si="36"/>
        <v>2100</v>
      </c>
      <c r="I53" s="81">
        <f t="shared" si="32"/>
        <v>1695.256028873536</v>
      </c>
      <c r="J53" s="82">
        <f>References!$C$49*I53</f>
        <v>12.426226691643</v>
      </c>
      <c r="K53" s="82">
        <f>J53/References!$G$52</f>
        <v>12.751250100456387</v>
      </c>
      <c r="L53" s="82">
        <f t="shared" si="37"/>
        <v>1.0626041750380322</v>
      </c>
      <c r="M53" s="82">
        <v>39.99</v>
      </c>
      <c r="N53" s="83">
        <f t="shared" si="38"/>
        <v>41.05</v>
      </c>
      <c r="O53" s="124"/>
      <c r="P53" s="114"/>
      <c r="Q53" s="105"/>
    </row>
    <row r="54" spans="1:17" x14ac:dyDescent="0.2">
      <c r="A54" s="193"/>
      <c r="B54" s="123" t="s">
        <v>172</v>
      </c>
      <c r="C54" s="121" t="s">
        <v>147</v>
      </c>
      <c r="D54" s="122"/>
      <c r="E54" s="140"/>
      <c r="F54" s="102">
        <v>12</v>
      </c>
      <c r="G54" s="138">
        <f>References!B28</f>
        <v>250</v>
      </c>
      <c r="H54" s="102">
        <f t="shared" ref="H54:H56" si="39">F54*G54</f>
        <v>3000</v>
      </c>
      <c r="I54" s="81">
        <f t="shared" si="32"/>
        <v>2421.7943269621942</v>
      </c>
      <c r="J54" s="82">
        <f>References!$C$49*I54</f>
        <v>17.751752416632858</v>
      </c>
      <c r="K54" s="82">
        <f>J54/References!$G$52</f>
        <v>18.216071572080555</v>
      </c>
      <c r="L54" s="82">
        <f t="shared" ref="L54:L56" si="40">K54/F54</f>
        <v>1.5180059643400463</v>
      </c>
      <c r="M54" s="82">
        <v>47.81</v>
      </c>
      <c r="N54" s="83">
        <f t="shared" si="38"/>
        <v>49.33</v>
      </c>
      <c r="O54" s="124"/>
      <c r="P54" s="114"/>
      <c r="Q54" s="105"/>
    </row>
    <row r="55" spans="1:17" x14ac:dyDescent="0.2">
      <c r="A55" s="194"/>
      <c r="B55" s="142" t="s">
        <v>172</v>
      </c>
      <c r="C55" s="121" t="s">
        <v>148</v>
      </c>
      <c r="D55" s="122"/>
      <c r="E55" s="140"/>
      <c r="F55" s="102">
        <v>12</v>
      </c>
      <c r="G55" s="138">
        <f>References!B29</f>
        <v>324</v>
      </c>
      <c r="H55" s="102">
        <f t="shared" si="39"/>
        <v>3888</v>
      </c>
      <c r="I55" s="81">
        <f t="shared" si="32"/>
        <v>3138.6454477430038</v>
      </c>
      <c r="J55" s="82">
        <f>References!$C$49*I55</f>
        <v>23.006271131956186</v>
      </c>
      <c r="K55" s="82">
        <f>J55/References!$G$52</f>
        <v>23.608028757416402</v>
      </c>
      <c r="L55" s="82">
        <f t="shared" si="40"/>
        <v>1.9673357297847003</v>
      </c>
      <c r="M55" s="82">
        <v>56.96</v>
      </c>
      <c r="N55" s="83">
        <f t="shared" si="38"/>
        <v>58.93</v>
      </c>
      <c r="O55" s="124"/>
      <c r="P55" s="114"/>
      <c r="Q55" s="105"/>
    </row>
    <row r="56" spans="1:17" x14ac:dyDescent="0.2">
      <c r="A56" s="194"/>
      <c r="B56" s="142" t="s">
        <v>172</v>
      </c>
      <c r="C56" s="121" t="s">
        <v>149</v>
      </c>
      <c r="D56" s="122"/>
      <c r="E56" s="140"/>
      <c r="F56" s="102">
        <v>12</v>
      </c>
      <c r="G56" s="138">
        <f>References!B30</f>
        <v>473</v>
      </c>
      <c r="H56" s="102">
        <f t="shared" si="39"/>
        <v>5676</v>
      </c>
      <c r="I56" s="81">
        <f t="shared" si="32"/>
        <v>4582.0348666124719</v>
      </c>
      <c r="J56" s="82">
        <f>References!$C$49*I56</f>
        <v>33.58631557226937</v>
      </c>
      <c r="K56" s="82">
        <f>J56/References!$G$52</f>
        <v>34.464807414376409</v>
      </c>
      <c r="L56" s="82">
        <f t="shared" si="40"/>
        <v>2.8720672845313673</v>
      </c>
      <c r="M56" s="82">
        <v>72.489999999999995</v>
      </c>
      <c r="N56" s="83">
        <f t="shared" si="38"/>
        <v>75.36</v>
      </c>
      <c r="O56" s="124"/>
      <c r="P56" s="114"/>
      <c r="Q56" s="105"/>
    </row>
    <row r="57" spans="1:17" x14ac:dyDescent="0.2">
      <c r="A57" s="194"/>
      <c r="B57" s="142" t="s">
        <v>172</v>
      </c>
      <c r="C57" s="121" t="s">
        <v>150</v>
      </c>
      <c r="D57" s="105"/>
      <c r="E57" s="105"/>
      <c r="F57" s="102">
        <v>12</v>
      </c>
      <c r="G57" s="138">
        <f>References!B31</f>
        <v>613</v>
      </c>
      <c r="H57" s="102">
        <f t="shared" ref="H57:H69" si="41">F57*G57</f>
        <v>7356</v>
      </c>
      <c r="I57" s="81">
        <f t="shared" si="32"/>
        <v>5938.2396897113003</v>
      </c>
      <c r="J57" s="82">
        <f>References!$C$49*I57</f>
        <v>43.527296925583769</v>
      </c>
      <c r="K57" s="82">
        <f>J57/References!$G$52</f>
        <v>44.665807494741522</v>
      </c>
      <c r="L57" s="82">
        <f t="shared" ref="L57:L69" si="42">K57/F57</f>
        <v>3.7221506245617935</v>
      </c>
      <c r="M57" s="82">
        <v>84.85</v>
      </c>
      <c r="N57" s="83">
        <f t="shared" si="38"/>
        <v>88.57</v>
      </c>
      <c r="O57" s="124"/>
      <c r="P57" s="114"/>
      <c r="Q57" s="105"/>
    </row>
    <row r="58" spans="1:17" x14ac:dyDescent="0.2">
      <c r="A58" s="194"/>
      <c r="B58" s="142" t="s">
        <v>172</v>
      </c>
      <c r="C58" s="121" t="s">
        <v>151</v>
      </c>
      <c r="D58" s="105"/>
      <c r="E58" s="105"/>
      <c r="F58" s="102">
        <v>12</v>
      </c>
      <c r="G58" s="138">
        <f>References!B32</f>
        <v>840</v>
      </c>
      <c r="H58" s="102">
        <f t="shared" si="41"/>
        <v>10080</v>
      </c>
      <c r="I58" s="81">
        <f t="shared" si="32"/>
        <v>8137.2289385929726</v>
      </c>
      <c r="J58" s="82">
        <f>References!$C$49*I58</f>
        <v>59.645888119886401</v>
      </c>
      <c r="K58" s="82">
        <f>J58/References!$G$52</f>
        <v>61.20600048219066</v>
      </c>
      <c r="L58" s="82">
        <f t="shared" si="42"/>
        <v>5.1005000401825553</v>
      </c>
      <c r="M58" s="82">
        <v>106.24</v>
      </c>
      <c r="N58" s="83">
        <f t="shared" si="38"/>
        <v>111.34</v>
      </c>
      <c r="O58" s="124"/>
      <c r="P58" s="114"/>
      <c r="Q58" s="105"/>
    </row>
    <row r="59" spans="1:17" x14ac:dyDescent="0.2">
      <c r="A59" s="194"/>
      <c r="B59" s="142" t="s">
        <v>172</v>
      </c>
      <c r="C59" s="121" t="s">
        <v>152</v>
      </c>
      <c r="D59" s="122"/>
      <c r="E59" s="140"/>
      <c r="F59" s="102">
        <v>12</v>
      </c>
      <c r="G59" s="138">
        <f>References!B33</f>
        <v>980</v>
      </c>
      <c r="H59" s="102">
        <f t="shared" si="41"/>
        <v>11760</v>
      </c>
      <c r="I59" s="81">
        <f t="shared" si="32"/>
        <v>9493.4337616918019</v>
      </c>
      <c r="J59" s="82">
        <f>References!$C$49*I59</f>
        <v>69.586869473200807</v>
      </c>
      <c r="K59" s="82">
        <f>J59/References!$G$52</f>
        <v>71.40700056255578</v>
      </c>
      <c r="L59" s="82">
        <f t="shared" si="42"/>
        <v>5.9505833802129819</v>
      </c>
      <c r="M59" s="82">
        <v>126.31</v>
      </c>
      <c r="N59" s="83">
        <f t="shared" ref="N59:N69" si="43">ROUND(L59+M59,2)</f>
        <v>132.26</v>
      </c>
      <c r="O59" s="124"/>
      <c r="P59" s="114"/>
      <c r="Q59" s="105"/>
    </row>
    <row r="60" spans="1:17" x14ac:dyDescent="0.2">
      <c r="A60" s="194"/>
      <c r="B60" s="142">
        <v>43</v>
      </c>
      <c r="C60" s="143" t="s">
        <v>141</v>
      </c>
      <c r="D60" s="122"/>
      <c r="E60" s="140"/>
      <c r="F60" s="102">
        <v>12</v>
      </c>
      <c r="G60" s="122">
        <f>References!B13</f>
        <v>20</v>
      </c>
      <c r="H60" s="102">
        <f t="shared" si="41"/>
        <v>240</v>
      </c>
      <c r="I60" s="81">
        <f t="shared" si="32"/>
        <v>193.74354615697553</v>
      </c>
      <c r="J60" s="82">
        <f>References!$C$49*I60</f>
        <v>1.4201401933306286</v>
      </c>
      <c r="K60" s="82">
        <f>J60/References!$G$52</f>
        <v>1.4572857257664442</v>
      </c>
      <c r="L60" s="82">
        <f t="shared" si="42"/>
        <v>0.12144047714720368</v>
      </c>
      <c r="M60" s="82">
        <v>4.71</v>
      </c>
      <c r="N60" s="83">
        <f t="shared" si="43"/>
        <v>4.83</v>
      </c>
      <c r="O60" s="124"/>
      <c r="P60" s="114"/>
      <c r="Q60" s="105"/>
    </row>
    <row r="61" spans="1:17" x14ac:dyDescent="0.2">
      <c r="A61" s="194"/>
      <c r="B61" s="144">
        <v>43</v>
      </c>
      <c r="C61" s="145" t="s">
        <v>164</v>
      </c>
      <c r="D61" s="146"/>
      <c r="E61" s="147"/>
      <c r="F61" s="148">
        <v>12</v>
      </c>
      <c r="G61" s="146">
        <f>References!B13</f>
        <v>20</v>
      </c>
      <c r="H61" s="148">
        <f t="shared" si="41"/>
        <v>240</v>
      </c>
      <c r="I61" s="149">
        <f t="shared" si="32"/>
        <v>193.74354615697553</v>
      </c>
      <c r="J61" s="150">
        <f>References!$C$49*I61</f>
        <v>1.4201401933306286</v>
      </c>
      <c r="K61" s="150">
        <f>J61/References!$G$52</f>
        <v>1.4572857257664442</v>
      </c>
      <c r="L61" s="150">
        <f t="shared" si="42"/>
        <v>0.12144047714720368</v>
      </c>
      <c r="M61" s="150">
        <v>21.81</v>
      </c>
      <c r="N61" s="83">
        <f t="shared" si="43"/>
        <v>21.93</v>
      </c>
      <c r="O61" s="124"/>
      <c r="P61" s="114"/>
      <c r="Q61" s="105"/>
    </row>
    <row r="62" spans="1:17" x14ac:dyDescent="0.2">
      <c r="A62" s="194"/>
      <c r="B62" s="144">
        <v>43</v>
      </c>
      <c r="C62" s="151" t="s">
        <v>165</v>
      </c>
      <c r="D62" s="151"/>
      <c r="E62" s="151"/>
      <c r="F62" s="148">
        <v>12</v>
      </c>
      <c r="G62" s="146">
        <f>References!B26</f>
        <v>29</v>
      </c>
      <c r="H62" s="148">
        <f t="shared" si="41"/>
        <v>348</v>
      </c>
      <c r="I62" s="149">
        <f t="shared" si="32"/>
        <v>280.92814192761455</v>
      </c>
      <c r="J62" s="150">
        <f>References!$C$49*I62</f>
        <v>2.0592032803294118</v>
      </c>
      <c r="K62" s="150">
        <f>J62/References!$G$52</f>
        <v>2.1130643023613445</v>
      </c>
      <c r="L62" s="150">
        <f t="shared" si="42"/>
        <v>0.17608869186344536</v>
      </c>
      <c r="M62" s="150">
        <v>24.54</v>
      </c>
      <c r="N62" s="83">
        <f t="shared" si="43"/>
        <v>24.72</v>
      </c>
      <c r="O62" s="124"/>
      <c r="P62" s="114"/>
      <c r="Q62" s="105"/>
    </row>
    <row r="63" spans="1:17" x14ac:dyDescent="0.2">
      <c r="A63" s="194"/>
      <c r="B63" s="152" t="s">
        <v>171</v>
      </c>
      <c r="C63" s="121" t="s">
        <v>137</v>
      </c>
      <c r="D63" s="101"/>
      <c r="E63" s="101"/>
      <c r="F63" s="102">
        <v>12</v>
      </c>
      <c r="G63" s="138">
        <f>References!B38</f>
        <v>1686</v>
      </c>
      <c r="H63" s="102">
        <f t="shared" si="41"/>
        <v>20232</v>
      </c>
      <c r="I63" s="81">
        <f t="shared" si="32"/>
        <v>16332.580941033038</v>
      </c>
      <c r="J63" s="82">
        <f>References!$C$49*I63</f>
        <v>119.717818297772</v>
      </c>
      <c r="K63" s="82">
        <f>J63/References!$G$52</f>
        <v>122.84918668211127</v>
      </c>
      <c r="L63" s="82">
        <f t="shared" si="42"/>
        <v>10.237432223509272</v>
      </c>
      <c r="M63" s="82">
        <v>237.32</v>
      </c>
      <c r="N63" s="83">
        <f t="shared" si="43"/>
        <v>247.56</v>
      </c>
      <c r="O63" s="124"/>
      <c r="P63" s="114"/>
      <c r="Q63" s="105"/>
    </row>
    <row r="64" spans="1:17" x14ac:dyDescent="0.2">
      <c r="A64" s="193"/>
      <c r="B64" s="106">
        <v>44</v>
      </c>
      <c r="C64" s="121" t="s">
        <v>139</v>
      </c>
      <c r="D64" s="101"/>
      <c r="E64" s="101"/>
      <c r="F64" s="102">
        <v>12</v>
      </c>
      <c r="G64" s="138">
        <f>References!B41</f>
        <v>2800</v>
      </c>
      <c r="H64" s="102">
        <f t="shared" si="41"/>
        <v>33600</v>
      </c>
      <c r="I64" s="81">
        <f t="shared" si="32"/>
        <v>27124.096461976576</v>
      </c>
      <c r="J64" s="82">
        <f>References!$C$49*I64</f>
        <v>198.81962706628801</v>
      </c>
      <c r="K64" s="82">
        <f>J64/References!$G$52</f>
        <v>204.02000160730219</v>
      </c>
      <c r="L64" s="82">
        <f t="shared" si="42"/>
        <v>17.001666800608515</v>
      </c>
      <c r="M64" s="82">
        <v>373.03</v>
      </c>
      <c r="N64" s="83">
        <f t="shared" si="43"/>
        <v>390.03</v>
      </c>
      <c r="O64" s="124"/>
      <c r="P64" s="114"/>
      <c r="Q64" s="105"/>
    </row>
    <row r="65" spans="1:17" x14ac:dyDescent="0.2">
      <c r="A65" s="193"/>
      <c r="B65" s="106">
        <v>44</v>
      </c>
      <c r="C65" s="121" t="s">
        <v>166</v>
      </c>
      <c r="D65" s="105"/>
      <c r="E65" s="105"/>
      <c r="F65" s="102">
        <v>12</v>
      </c>
      <c r="G65" s="122">
        <f>+References!B36</f>
        <v>892</v>
      </c>
      <c r="H65" s="102">
        <f t="shared" si="41"/>
        <v>10704</v>
      </c>
      <c r="I65" s="81">
        <f t="shared" si="32"/>
        <v>8640.962158601109</v>
      </c>
      <c r="J65" s="82">
        <f>References!$C$49*I65</f>
        <v>63.338252622546037</v>
      </c>
      <c r="K65" s="82">
        <f>J65/References!$G$52</f>
        <v>64.994943369183417</v>
      </c>
      <c r="L65" s="82">
        <f t="shared" si="42"/>
        <v>5.4162452807652848</v>
      </c>
      <c r="M65" s="82">
        <v>115.54</v>
      </c>
      <c r="N65" s="83">
        <f t="shared" si="43"/>
        <v>120.96</v>
      </c>
      <c r="O65" s="124"/>
      <c r="P65" s="114"/>
      <c r="Q65" s="105"/>
    </row>
    <row r="66" spans="1:17" x14ac:dyDescent="0.2">
      <c r="A66" s="193"/>
      <c r="B66" s="106">
        <v>44</v>
      </c>
      <c r="C66" s="121" t="s">
        <v>167</v>
      </c>
      <c r="D66" s="105"/>
      <c r="E66" s="105"/>
      <c r="F66" s="102">
        <v>12</v>
      </c>
      <c r="G66" s="122">
        <f>+References!B37</f>
        <v>1301</v>
      </c>
      <c r="H66" s="102">
        <f t="shared" si="41"/>
        <v>15612</v>
      </c>
      <c r="I66" s="81">
        <f t="shared" si="32"/>
        <v>12603.01767751126</v>
      </c>
      <c r="J66" s="82">
        <f>References!$C$49*I66</f>
        <v>92.380119576157398</v>
      </c>
      <c r="K66" s="82">
        <f>J66/References!$G$52</f>
        <v>94.796436461107206</v>
      </c>
      <c r="L66" s="82">
        <f t="shared" si="42"/>
        <v>7.8997030384256002</v>
      </c>
      <c r="M66" s="82">
        <v>205.16</v>
      </c>
      <c r="N66" s="83">
        <f t="shared" si="43"/>
        <v>213.06</v>
      </c>
      <c r="O66" s="124"/>
      <c r="P66" s="114"/>
      <c r="Q66" s="105"/>
    </row>
    <row r="67" spans="1:17" x14ac:dyDescent="0.2">
      <c r="A67" s="193"/>
      <c r="B67" s="106">
        <v>44</v>
      </c>
      <c r="C67" s="141" t="s">
        <v>169</v>
      </c>
      <c r="D67" s="105"/>
      <c r="E67" s="105"/>
      <c r="F67" s="102">
        <v>12</v>
      </c>
      <c r="G67" s="122">
        <f>+References!B38</f>
        <v>1686</v>
      </c>
      <c r="H67" s="102">
        <f t="shared" si="41"/>
        <v>20232</v>
      </c>
      <c r="I67" s="81">
        <f t="shared" si="32"/>
        <v>16332.580941033038</v>
      </c>
      <c r="J67" s="82">
        <f>References!$C$49*I67</f>
        <v>119.717818297772</v>
      </c>
      <c r="K67" s="82">
        <f>J67/References!$G$52</f>
        <v>122.84918668211127</v>
      </c>
      <c r="L67" s="82">
        <f t="shared" si="42"/>
        <v>10.237432223509272</v>
      </c>
      <c r="M67" s="82">
        <v>241.27</v>
      </c>
      <c r="N67" s="83">
        <f t="shared" si="43"/>
        <v>251.51</v>
      </c>
      <c r="O67" s="124"/>
      <c r="P67" s="114"/>
      <c r="Q67" s="105"/>
    </row>
    <row r="68" spans="1:17" x14ac:dyDescent="0.2">
      <c r="A68" s="193"/>
      <c r="B68" s="106">
        <v>44</v>
      </c>
      <c r="C68" s="121" t="s">
        <v>168</v>
      </c>
      <c r="D68" s="105"/>
      <c r="E68" s="105"/>
      <c r="F68" s="102">
        <v>12</v>
      </c>
      <c r="G68" s="153">
        <f>+References!B40</f>
        <v>2310</v>
      </c>
      <c r="H68" s="102">
        <f t="shared" si="41"/>
        <v>27720</v>
      </c>
      <c r="I68" s="81">
        <f t="shared" si="32"/>
        <v>22377.379581130674</v>
      </c>
      <c r="J68" s="82">
        <f>References!$C$49*I68</f>
        <v>164.0261923296876</v>
      </c>
      <c r="K68" s="82">
        <f>J68/References!$G$52</f>
        <v>168.31650132602431</v>
      </c>
      <c r="L68" s="82">
        <f t="shared" si="42"/>
        <v>14.026375110502025</v>
      </c>
      <c r="M68" s="82">
        <v>286.64999999999998</v>
      </c>
      <c r="N68" s="83">
        <f t="shared" si="43"/>
        <v>300.68</v>
      </c>
      <c r="O68" s="124"/>
      <c r="P68" s="114"/>
      <c r="Q68" s="105"/>
    </row>
    <row r="69" spans="1:17" x14ac:dyDescent="0.2">
      <c r="A69" s="193"/>
      <c r="B69" s="106">
        <v>44</v>
      </c>
      <c r="C69" s="121" t="s">
        <v>170</v>
      </c>
      <c r="D69" s="105"/>
      <c r="E69" s="105"/>
      <c r="F69" s="102">
        <v>12</v>
      </c>
      <c r="G69" s="153">
        <f>+References!B41</f>
        <v>2800</v>
      </c>
      <c r="H69" s="102">
        <f t="shared" si="41"/>
        <v>33600</v>
      </c>
      <c r="I69" s="81">
        <f t="shared" si="32"/>
        <v>27124.096461976576</v>
      </c>
      <c r="J69" s="82">
        <f>References!$C$49*I69</f>
        <v>198.81962706628801</v>
      </c>
      <c r="K69" s="82">
        <f>J69/References!$G$52</f>
        <v>204.02000160730219</v>
      </c>
      <c r="L69" s="82">
        <f t="shared" si="42"/>
        <v>17.001666800608515</v>
      </c>
      <c r="M69" s="82">
        <v>376.97</v>
      </c>
      <c r="N69" s="83">
        <f t="shared" si="43"/>
        <v>393.97</v>
      </c>
      <c r="O69" s="124"/>
      <c r="P69" s="114"/>
      <c r="Q69" s="105"/>
    </row>
    <row r="70" spans="1:17" x14ac:dyDescent="0.2">
      <c r="A70" s="195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24"/>
      <c r="P70" s="114"/>
      <c r="Q70" s="105"/>
    </row>
    <row r="71" spans="1:17" x14ac:dyDescent="0.2">
      <c r="C71" s="100"/>
      <c r="H71" s="102"/>
      <c r="I71" s="81"/>
      <c r="J71" s="82"/>
      <c r="K71" s="82"/>
      <c r="L71" s="82"/>
      <c r="N71" s="82"/>
      <c r="O71" s="124"/>
      <c r="P71" s="114"/>
      <c r="Q71" s="105"/>
    </row>
    <row r="72" spans="1:17" x14ac:dyDescent="0.2">
      <c r="C72" s="100"/>
      <c r="H72" s="102"/>
      <c r="I72" s="81"/>
      <c r="J72" s="82"/>
      <c r="K72" s="82"/>
      <c r="L72" s="82"/>
      <c r="N72" s="82"/>
      <c r="O72" s="124"/>
      <c r="P72" s="114"/>
      <c r="Q72" s="105"/>
    </row>
    <row r="73" spans="1:17" x14ac:dyDescent="0.2">
      <c r="H73" s="102"/>
      <c r="I73" s="81"/>
      <c r="J73" s="82"/>
      <c r="K73" s="82"/>
      <c r="L73" s="82"/>
      <c r="N73" s="82"/>
      <c r="O73" s="124"/>
      <c r="P73" s="114"/>
      <c r="Q73" s="105"/>
    </row>
    <row r="74" spans="1:17" x14ac:dyDescent="0.2">
      <c r="A74" s="121"/>
      <c r="B74" s="123"/>
      <c r="C74" s="121"/>
      <c r="D74" s="156"/>
      <c r="E74" s="101"/>
      <c r="F74" s="79"/>
      <c r="G74" s="79"/>
      <c r="H74" s="79"/>
      <c r="I74" s="81"/>
      <c r="J74" s="82"/>
      <c r="K74" s="82"/>
      <c r="L74" s="82"/>
      <c r="M74" s="103"/>
      <c r="N74" s="82"/>
      <c r="O74" s="105"/>
      <c r="P74" s="114"/>
      <c r="Q74" s="105"/>
    </row>
    <row r="75" spans="1:17" x14ac:dyDescent="0.2">
      <c r="A75" s="157"/>
      <c r="B75" s="106"/>
      <c r="C75" s="158"/>
      <c r="D75" s="111"/>
      <c r="E75" s="105"/>
      <c r="F75" s="105"/>
      <c r="G75" s="105"/>
      <c r="H75" s="105"/>
      <c r="I75" s="112"/>
      <c r="J75" s="105"/>
      <c r="K75" s="105"/>
      <c r="L75" s="105"/>
      <c r="M75" s="105"/>
      <c r="N75" s="105"/>
      <c r="O75" s="105"/>
      <c r="P75" s="159"/>
      <c r="Q75" s="105"/>
    </row>
    <row r="76" spans="1:17" x14ac:dyDescent="0.2">
      <c r="A76" s="157"/>
      <c r="C76" s="191" t="s">
        <v>50</v>
      </c>
      <c r="D76" s="191"/>
      <c r="E76" s="160"/>
      <c r="F76" s="160"/>
      <c r="G76" s="105"/>
      <c r="H76" s="161"/>
      <c r="I76" s="112"/>
      <c r="J76" s="105"/>
      <c r="K76" s="105"/>
      <c r="L76" s="105"/>
      <c r="M76" s="105"/>
      <c r="N76" s="105"/>
      <c r="O76" s="105"/>
      <c r="P76" s="105"/>
      <c r="Q76" s="105"/>
    </row>
    <row r="77" spans="1:17" x14ac:dyDescent="0.2">
      <c r="A77" s="157"/>
      <c r="C77" s="105"/>
      <c r="D77" s="162" t="s">
        <v>2</v>
      </c>
      <c r="E77" s="163"/>
      <c r="F77" s="163"/>
      <c r="G77" s="105"/>
      <c r="H77" s="164" t="s">
        <v>51</v>
      </c>
      <c r="I77" s="112"/>
      <c r="J77" s="165"/>
      <c r="K77" s="105"/>
      <c r="L77" s="105"/>
      <c r="M77" s="105"/>
      <c r="N77" s="105"/>
      <c r="O77" s="111"/>
      <c r="P77" s="105"/>
      <c r="Q77" s="105"/>
    </row>
    <row r="78" spans="1:17" x14ac:dyDescent="0.2">
      <c r="A78" s="157"/>
      <c r="C78" s="105" t="s">
        <v>52</v>
      </c>
      <c r="D78" s="166">
        <f>'Revenue &amp; Expense Adj.'!D21</f>
        <v>27138.859997868276</v>
      </c>
      <c r="E78" s="112"/>
      <c r="F78" s="112"/>
      <c r="G78" s="167"/>
      <c r="H78" s="168" t="s">
        <v>53</v>
      </c>
      <c r="I78" s="169"/>
      <c r="J78" s="165"/>
      <c r="K78" s="105"/>
      <c r="L78" s="105"/>
      <c r="M78" s="105"/>
      <c r="N78" s="105"/>
      <c r="O78" s="111"/>
      <c r="P78" s="105"/>
      <c r="Q78" s="105"/>
    </row>
    <row r="79" spans="1:17" x14ac:dyDescent="0.2">
      <c r="A79" s="157"/>
      <c r="C79" s="105" t="s">
        <v>54</v>
      </c>
      <c r="D79" s="122">
        <f>D78*2000</f>
        <v>54277719.995736554</v>
      </c>
      <c r="E79" s="153"/>
      <c r="F79" s="153"/>
      <c r="G79" s="153"/>
      <c r="H79" s="170"/>
      <c r="I79" s="112"/>
      <c r="J79" s="165"/>
      <c r="K79" s="105"/>
      <c r="L79" s="105"/>
      <c r="M79" s="105"/>
      <c r="N79" s="105"/>
      <c r="O79" s="105"/>
      <c r="P79" s="105"/>
      <c r="Q79" s="105"/>
    </row>
    <row r="80" spans="1:17" x14ac:dyDescent="0.2">
      <c r="A80" s="157"/>
      <c r="C80" s="105" t="s">
        <v>55</v>
      </c>
      <c r="D80" s="122">
        <f>F30</f>
        <v>1116503.3403183999</v>
      </c>
      <c r="E80" s="112"/>
      <c r="F80" s="112"/>
      <c r="G80" s="112"/>
      <c r="H80" s="105"/>
      <c r="I80" s="79"/>
      <c r="J80" s="165"/>
      <c r="K80" s="105"/>
      <c r="L80" s="105"/>
      <c r="M80" s="105"/>
      <c r="N80" s="105"/>
      <c r="O80" s="111"/>
      <c r="P80" s="105"/>
      <c r="Q80" s="105"/>
    </row>
    <row r="81" spans="1:17" x14ac:dyDescent="0.2">
      <c r="A81" s="105"/>
      <c r="C81" s="171" t="s">
        <v>56</v>
      </c>
      <c r="D81" s="172">
        <f>D79/$H$30</f>
        <v>0.80726477565406474</v>
      </c>
      <c r="E81" s="173"/>
      <c r="F81" s="173"/>
      <c r="G81" s="173"/>
      <c r="H81" s="174"/>
      <c r="I81" s="112"/>
      <c r="J81" s="165"/>
      <c r="K81" s="105"/>
      <c r="L81" s="105"/>
      <c r="M81" s="175"/>
      <c r="N81" s="175"/>
      <c r="O81" s="176"/>
      <c r="P81" s="105"/>
      <c r="Q81" s="105"/>
    </row>
    <row r="82" spans="1:17" x14ac:dyDescent="0.2">
      <c r="A82" s="105"/>
      <c r="B82" s="106"/>
      <c r="C82" s="105"/>
      <c r="D82" s="111"/>
      <c r="E82" s="165"/>
      <c r="F82" s="105"/>
      <c r="G82" s="177"/>
      <c r="H82" s="178"/>
      <c r="I82" s="112"/>
      <c r="J82" s="165"/>
      <c r="K82" s="105"/>
      <c r="L82" s="105"/>
      <c r="M82" s="155"/>
      <c r="N82" s="179"/>
      <c r="O82" s="159"/>
      <c r="P82" s="105"/>
      <c r="Q82" s="105"/>
    </row>
    <row r="83" spans="1:17" x14ac:dyDescent="0.2">
      <c r="A83" s="105"/>
      <c r="B83" s="106"/>
      <c r="C83" s="105"/>
      <c r="D83" s="180"/>
      <c r="E83" s="181"/>
      <c r="F83" s="105"/>
      <c r="G83" s="177"/>
      <c r="H83" s="178"/>
      <c r="I83" s="112"/>
      <c r="J83" s="165"/>
      <c r="K83" s="105"/>
      <c r="L83" s="105"/>
      <c r="M83" s="155"/>
      <c r="N83" s="179"/>
      <c r="O83" s="159"/>
      <c r="P83" s="105"/>
      <c r="Q83" s="105"/>
    </row>
    <row r="84" spans="1:17" x14ac:dyDescent="0.2">
      <c r="A84" s="105"/>
      <c r="B84" s="106"/>
      <c r="C84" s="105"/>
      <c r="D84" s="180"/>
      <c r="E84" s="181"/>
      <c r="F84" s="105"/>
      <c r="G84" s="177"/>
      <c r="H84" s="178"/>
      <c r="I84" s="112"/>
      <c r="J84" s="165"/>
      <c r="K84" s="105"/>
      <c r="L84" s="105"/>
      <c r="M84" s="155"/>
      <c r="N84" s="179"/>
      <c r="O84" s="159"/>
      <c r="P84" s="105"/>
      <c r="Q84" s="105"/>
    </row>
    <row r="85" spans="1:17" x14ac:dyDescent="0.2">
      <c r="A85" s="105"/>
      <c r="B85" s="106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</row>
  </sheetData>
  <mergeCells count="5">
    <mergeCell ref="C76:D76"/>
    <mergeCell ref="A42:A70"/>
    <mergeCell ref="A2:A11"/>
    <mergeCell ref="A14:A28"/>
    <mergeCell ref="A34:A41"/>
  </mergeCells>
  <pageMargins left="0.45" right="0.45" top="0.75" bottom="0.75" header="0.3" footer="0.3"/>
  <pageSetup scale="70" fitToHeight="2" orientation="landscape" r:id="rId1"/>
  <ignoredErrors>
    <ignoredError sqref="I13 E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B5D06C7E98B304CAFD386CFFE524836" ma:contentTypeVersion="28" ma:contentTypeDescription="" ma:contentTypeScope="" ma:versionID="1dbcea6e66360fc98bcad6484a1729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2022-11-15T08:00:00+00:00</OpenedDate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DocketNumber xmlns="dc463f71-b30c-4ab2-9473-d307f9d35888">220845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F9F2B7-6449-464F-806E-4DC20B6A9A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DBF470-EE4E-4870-989D-6D7AC0B270DF}"/>
</file>

<file path=customXml/itemProps3.xml><?xml version="1.0" encoding="utf-8"?>
<ds:datastoreItem xmlns:ds="http://schemas.openxmlformats.org/officeDocument/2006/customXml" ds:itemID="{487CDB07-8BE8-46A3-80D7-DD1946055F26}"/>
</file>

<file path=customXml/itemProps4.xml><?xml version="1.0" encoding="utf-8"?>
<ds:datastoreItem xmlns:ds="http://schemas.openxmlformats.org/officeDocument/2006/customXml" ds:itemID="{25DC83E9-4461-4096-A408-5FE17308A922}">
  <ds:schemaRefs>
    <ds:schemaRef ds:uri="http://purl.org/dc/elements/1.1/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Revenue &amp; Expense Adj.</vt:lpstr>
      <vt:lpstr>References</vt:lpstr>
      <vt:lpstr>Priceout</vt:lpstr>
      <vt:lpstr>Priceout!Print_Area</vt:lpstr>
      <vt:lpstr>'Revenue &amp; Expense Adj.'!Print_Area</vt:lpstr>
      <vt:lpstr>Priceout!Print_Titles</vt:lpstr>
    </vt:vector>
  </TitlesOfParts>
  <Manager/>
  <Company>Waste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Weinstein, Mike</dc:creator>
  <cp:keywords/>
  <dc:description/>
  <cp:lastModifiedBy>Administrator</cp:lastModifiedBy>
  <cp:lastPrinted>2018-11-01T17:30:21Z</cp:lastPrinted>
  <dcterms:created xsi:type="dcterms:W3CDTF">2016-09-23T15:16:40Z</dcterms:created>
  <dcterms:modified xsi:type="dcterms:W3CDTF">2022-11-14T22:24:59Z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0x0101006E56B4D1795A2E4DB2F0B01679ED314A006B5D06C7E98B304CAFD386CFFE524836</vt:lpwstr>
  </property>
  <property fmtid="{D5CDD505-2E9C-101B-9397-08002B2CF9AE}" pid="3" name="_docset_NoMedatataSyncRequired">
    <vt:lpwstr>False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IsEFSEC">
    <vt:bool>false</vt:bool>
  </property>
</Properties>
</file>