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8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00 Western Region Office\WUTC\WUTC-Clark County 2009\Dump Fee\DF 1-1-23\"/>
    </mc:Choice>
  </mc:AlternateContent>
  <bookViews>
    <workbookView xWindow="-120" yWindow="-120" windowWidth="29040" windowHeight="15840"/>
  </bookViews>
  <sheets>
    <sheet name="References" sheetId="1" r:id="rId1"/>
    <sheet name="Regulated DF Calc" sheetId="2" r:id="rId2"/>
    <sheet name="Proposed Rates" sheetId="3" r:id="rId3"/>
    <sheet name="Disposal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D">#REF!</definedName>
    <definedName name="\S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[2]Hidden!$P$11</definedName>
    <definedName name="__LYA10">[2]Hidden!$G$11</definedName>
    <definedName name="__LYA11">[2]Hidden!$F$11</definedName>
    <definedName name="__LYA12">[1]Hidden!$O$11</definedName>
    <definedName name="__LYA2">[2]Hidden!$O$11</definedName>
    <definedName name="__LYA3">[2]Hidden!$N$11</definedName>
    <definedName name="__LYA4">[2]Hidden!$M$11</definedName>
    <definedName name="__LYA5">[2]Hidden!$L$11</definedName>
    <definedName name="__LYA6">[2]Hidden!$K$11</definedName>
    <definedName name="__LYA7">[2]Hidden!$J$11</definedName>
    <definedName name="__LYA8">[2]Hidden!$I$11</definedName>
    <definedName name="__LYA9">[2]Hidden!$H$11</definedName>
    <definedName name="_123Graph_g" hidden="1">'[3]#REF'!$F$9:$F$83</definedName>
    <definedName name="_132" hidden="1">[4]XXXXXX!$B$10:$B$10</definedName>
    <definedName name="_132Graph_h" localSheetId="2" hidden="1">#REF!</definedName>
    <definedName name="_132Graph_h" hidden="1">#REF!</definedName>
    <definedName name="_ACT1" localSheetId="2">[5]Hidden!#REF!</definedName>
    <definedName name="_ACT1">[6]Hidden!#REF!</definedName>
    <definedName name="_ACT2" localSheetId="2">[5]Hidden!#REF!</definedName>
    <definedName name="_ACT2">[6]Hidden!#REF!</definedName>
    <definedName name="_ACT3" localSheetId="2">[5]Hidden!#REF!</definedName>
    <definedName name="_ACT3">[6]Hidden!#REF!</definedName>
    <definedName name="_COS1" localSheetId="2">#REF!</definedName>
    <definedName name="_COS1">#REF!</definedName>
    <definedName name="_COS2" localSheetId="2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Key2" hidden="1">'[3]#REF'!$D$12</definedName>
    <definedName name="_key5" hidden="1">[4]XXXXXX!$H$10</definedName>
    <definedName name="_LYA1">[2]Hidden!$P$11</definedName>
    <definedName name="_LYA10">[2]Hidden!$G$11</definedName>
    <definedName name="_LYA11">[2]Hidden!$F$11</definedName>
    <definedName name="_LYA12">[1]Hidden!$O$11</definedName>
    <definedName name="_LYA2">[2]Hidden!$O$11</definedName>
    <definedName name="_LYA3">[2]Hidden!$N$11</definedName>
    <definedName name="_LYA4">[2]Hidden!$M$11</definedName>
    <definedName name="_LYA5">[2]Hidden!$L$11</definedName>
    <definedName name="_LYA6">[2]Hidden!$K$11</definedName>
    <definedName name="_LYA7">[2]Hidden!$J$11</definedName>
    <definedName name="_LYA8">[2]Hidden!$I$11</definedName>
    <definedName name="_LYA9">[2]Hidden!$H$11</definedName>
    <definedName name="_max" localSheetId="2" hidden="1">#REF!</definedName>
    <definedName name="_max" hidden="1">#REF!</definedName>
    <definedName name="_Mon" localSheetId="2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2" hidden="1">#REF!</definedName>
    <definedName name="_Sort" hidden="1">#REF!</definedName>
    <definedName name="_Sort1" hidden="1">'[3]#REF'!$A$10:$Z$281</definedName>
    <definedName name="_sort3" hidden="1">[4]XXXXXX!$G$10:$J$11</definedName>
    <definedName name="Accounts">#REF!</definedName>
    <definedName name="ACCT" localSheetId="3">[1]Hidden!$D$11</definedName>
    <definedName name="ACCT" localSheetId="2">[5]Hidden!#REF!</definedName>
    <definedName name="ACCT">[6]Hidden!#REF!</definedName>
    <definedName name="ACCT.ConsolSum">[1]Hidden!$Q$11</definedName>
    <definedName name="ACT_CUR" localSheetId="2">[5]Hidden!#REF!</definedName>
    <definedName name="ACT_CUR">[6]Hidden!#REF!</definedName>
    <definedName name="ACT_YTD" localSheetId="2">[5]Hidden!#REF!</definedName>
    <definedName name="ACT_YTD">[6]Hidden!#REF!</definedName>
    <definedName name="AmountCount" localSheetId="2">#REF!</definedName>
    <definedName name="AmountCount">#REF!</definedName>
    <definedName name="AmountCount1">#REF!</definedName>
    <definedName name="AmountFrom">#REF!</definedName>
    <definedName name="AmountTo">#REF!</definedName>
    <definedName name="AmountTotal" localSheetId="2">#REF!</definedName>
    <definedName name="AmountTotal">#REF!</definedName>
    <definedName name="AmountTotal1">#REF!</definedName>
    <definedName name="BookRev" localSheetId="2">'[7]Pacific Regulated - Price Out'!$F$50</definedName>
    <definedName name="BookRev">'[8]Pacific Regulated - Price Out'!$F$50</definedName>
    <definedName name="BookRev_com" localSheetId="2">'[7]Pacific Regulated - Price Out'!$F$214</definedName>
    <definedName name="BookRev_com">'[8]Pacific Regulated - Price Out'!$F$214</definedName>
    <definedName name="BookRev_mfr" localSheetId="2">'[7]Pacific Regulated - Price Out'!$F$222</definedName>
    <definedName name="BookRev_mfr">'[8]Pacific Regulated - Price Out'!$F$222</definedName>
    <definedName name="BookRev_ro" localSheetId="2">'[7]Pacific Regulated - Price Out'!$F$282</definedName>
    <definedName name="BookRev_ro">'[8]Pacific Regulated - Price Out'!$F$282</definedName>
    <definedName name="BookRev_rr" localSheetId="2">'[7]Pacific Regulated - Price Out'!$F$59</definedName>
    <definedName name="BookRev_rr">'[8]Pacific Regulated - Price Out'!$F$59</definedName>
    <definedName name="BookRev_yw" localSheetId="2">'[7]Pacific Regulated - Price Out'!$F$70</definedName>
    <definedName name="BookRev_yw">'[8]Pacific Regulated - Price Out'!$F$70</definedName>
    <definedName name="BREMAIR_COST_of_SERVICE_STUDY" localSheetId="2">#REF!</definedName>
    <definedName name="BREMAIR_COST_of_SERVICE_STUDY">#REF!</definedName>
    <definedName name="BUD_CUR" localSheetId="2">[5]Hidden!#REF!</definedName>
    <definedName name="BUD_CUR">[6]Hidden!#REF!</definedName>
    <definedName name="BUD_YTD" localSheetId="2">[5]Hidden!#REF!</definedName>
    <definedName name="BUD_YTD">[6]Hidden!#REF!</definedName>
    <definedName name="CalRecyTons" localSheetId="2">'[9]Recycl Tons, Commodity Value'!$L$23</definedName>
    <definedName name="CalRecyTons">'[10]Recycl Tons, Commodity Value'!$L$23</definedName>
    <definedName name="CanCartTons">[11]CanCartTonsAllocate!$E$3</definedName>
    <definedName name="CheckTotals" localSheetId="2">#REF!</definedName>
    <definedName name="CheckTotals">#REF!</definedName>
    <definedName name="CoCanTons">[12]Cust_Count1!$M$28</definedName>
    <definedName name="CoComYd">'[12]Gross Yardage Worksheet'!$L$16</definedName>
    <definedName name="colgroup">[1]Orientation!$G$6</definedName>
    <definedName name="colsegment">[1]Orientation!$F$6</definedName>
    <definedName name="CommlStaffPriceOut" localSheetId="2">'[13]Price Out-Reg EASTSIDE-Resi'!#REF!</definedName>
    <definedName name="CommlStaffPriceOut">'[13]Price Out-Reg EASTSIDE-Resi'!#REF!</definedName>
    <definedName name="CoMultiYd">'[12]Gross Yardage Worksheet'!$L$31</definedName>
    <definedName name="ContainerTons">[11]ContainerTonsAllocation!$E$2</definedName>
    <definedName name="CRCTable" localSheetId="2">#REF!</definedName>
    <definedName name="CRCTable">#REF!</definedName>
    <definedName name="CRCTableOLD" localSheetId="2">#REF!</definedName>
    <definedName name="CRCTableOLD">#REF!</definedName>
    <definedName name="CriteriaType">[14]ControlPanel!$Z$2:$Z$5</definedName>
    <definedName name="CtyCanTons">[12]Cust_Count1!$N$28</definedName>
    <definedName name="CtyComYd">'[12]Gross Yardage Worksheet'!$L$49</definedName>
    <definedName name="CtyMultiYd">'[12]Gross Yardage Worksheet'!$L$64</definedName>
    <definedName name="CurrentMonth">'[15]38000 Other Rev'!$H$8</definedName>
    <definedName name="Cutomers" localSheetId="2">#REF!</definedName>
    <definedName name="Cutomers">#REF!</definedName>
    <definedName name="_xlnm.Database" localSheetId="3">#REF!</definedName>
    <definedName name="_xlnm.Database" localSheetId="2">#REF!</definedName>
    <definedName name="_xlnm.Database">#REF!</definedName>
    <definedName name="Database1" localSheetId="2">#REF!</definedName>
    <definedName name="Database1">#REF!</definedName>
    <definedName name="DateFrom" localSheetId="3">'[16]41201 JE Query'!$I$12</definedName>
    <definedName name="DateFrom">'[15]38000 Other Rev'!$G$12</definedName>
    <definedName name="DateTo" localSheetId="3">'[16]41201 JE Query'!$I$13</definedName>
    <definedName name="DateTo">'[15]38000 Other Rev'!$G$13</definedName>
    <definedName name="DBxStaffPriceOut" localSheetId="2">'[13]Price Out-Reg EASTSIDE-Resi'!#REF!</definedName>
    <definedName name="DBxStaffPriceOut">'[13]Price Out-Reg EASTSIDE-Resi'!#REF!</definedName>
    <definedName name="DEPT" localSheetId="2">[5]Hidden!#REF!</definedName>
    <definedName name="DEPT">[6]Hidden!#REF!</definedName>
    <definedName name="Dist" localSheetId="2">[17]Data!$E$3</definedName>
    <definedName name="Dist">[18]Data!$E$3</definedName>
    <definedName name="District" localSheetId="2">'[19]Vashon BS'!#REF!</definedName>
    <definedName name="District">'[20]Vashon BS'!#REF!</definedName>
    <definedName name="DistrictNum" localSheetId="2">#REF!</definedName>
    <definedName name="DistrictNum">#REF!</definedName>
    <definedName name="Districts">#REF!</definedName>
    <definedName name="dOG" localSheetId="2">#REF!</definedName>
    <definedName name="dOG">#REF!</definedName>
    <definedName name="drlFilter">[1]Settings!$D$27</definedName>
    <definedName name="End" localSheetId="2">#REF!</definedName>
    <definedName name="End">#REF!</definedName>
    <definedName name="EntrieShownLimit" localSheetId="3">'[16]41201 JE Query'!$D$6</definedName>
    <definedName name="EntrieShownLimit">'[15]38000 Other Rev'!$D$6</definedName>
    <definedName name="ExcludeIC" localSheetId="2">'[21]2009 BS'!#REF!</definedName>
    <definedName name="ExcludeIC">'[20]Vashon BS'!#REF!</definedName>
    <definedName name="EXT" localSheetId="2">#REF!</definedName>
    <definedName name="EXT">#REF!</definedName>
    <definedName name="FBTable" localSheetId="2">#REF!</definedName>
    <definedName name="FBTable">#REF!</definedName>
    <definedName name="FBTableOld" localSheetId="2">#REF!</definedName>
    <definedName name="FBTableOld">#REF!</definedName>
    <definedName name="filter">[1]Settings!$B$14:$H$25</definedName>
    <definedName name="FromMonth">#REF!</definedName>
    <definedName name="FundsApprPend" localSheetId="2">[17]Data!#REF!</definedName>
    <definedName name="FundsApprPend">[18]Data!#REF!</definedName>
    <definedName name="FundsBudUnbud" localSheetId="2">[17]Data!#REF!</definedName>
    <definedName name="FundsBudUnbud">[18]Data!#REF!</definedName>
    <definedName name="GLMappingStart" localSheetId="2">#REF!</definedName>
    <definedName name="GLMappingStart">#REF!</definedName>
    <definedName name="GLMappingStart1">#REF!</definedName>
    <definedName name="GRETABLE">[22]Gresham!$E$12:$AI$261</definedName>
    <definedName name="Import_Range" localSheetId="2">[17]Data!#REF!</definedName>
    <definedName name="Import_Range">[18]Data!#REF!</definedName>
    <definedName name="IncomeStmnt" localSheetId="2">#REF!</definedName>
    <definedName name="IncomeStmnt">#REF!</definedName>
    <definedName name="INPUT" localSheetId="2">#REF!</definedName>
    <definedName name="INPUT">#REF!</definedName>
    <definedName name="Insurance" localSheetId="2">#REF!</definedName>
    <definedName name="Insurance">#REF!</definedName>
    <definedName name="Interject_LastPulledValues_BalanceRange" localSheetId="3">#REF!</definedName>
    <definedName name="Interject_LastPulledValues_BalanceRange">#REF!</definedName>
    <definedName name="Interject_LastPulledValues_DescriptionRange" localSheetId="3">#REF!</definedName>
    <definedName name="Interject_LastPulledValues_DescriptionRange">#REF!</definedName>
    <definedName name="Interject_LastPulledValues_LastChangeGUID" localSheetId="3">#REF!</definedName>
    <definedName name="Interject_LastPulledValues_LastChangeGUID">#REF!</definedName>
    <definedName name="Interject_LastPulledValues_PreviousLastChangeGUID" localSheetId="3">#REF!</definedName>
    <definedName name="Interject_LastPulledValues_PreviousLastChangeGUID">#REF!</definedName>
    <definedName name="Invoice_Start" localSheetId="2">[17]Invoice_Drill!#REF!</definedName>
    <definedName name="Invoice_Start">[18]Invoice_Drill!#REF!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2">#REF!</definedName>
    <definedName name="JEDetail">#REF!</definedName>
    <definedName name="JEDetail1">#REF!</definedName>
    <definedName name="JEType" localSheetId="2">#REF!</definedName>
    <definedName name="JEType">#REF!</definedName>
    <definedName name="JEType1">#REF!</definedName>
    <definedName name="Juris1CanCount">[11]Cust_Count1!$C$60</definedName>
    <definedName name="Juris1CanTons">[11]Cust_Count1!$C$30</definedName>
    <definedName name="Juris1ComYd">'[11]Gross Yardage Worksheet'!$L$16</definedName>
    <definedName name="Juris1CustCnt">[11]Cust_Count2!$E$39</definedName>
    <definedName name="Juris1MultiYd">'[11]Gross Yardage Worksheet'!$X$16</definedName>
    <definedName name="Juris1SeasonalYds">'[11]Gross Yardage Worksheet'!$R$18</definedName>
    <definedName name="Juris1XtraYds">[11]Cust_Count2!$E$28</definedName>
    <definedName name="Juris2CanCount">[11]Cust_Count1!$D$60</definedName>
    <definedName name="Juris2CanTons">[11]Cust_Count1!$D$30</definedName>
    <definedName name="Juris2ComYd">'[11]Gross Yardage Worksheet'!$L$33</definedName>
    <definedName name="Juris2CustCnt">[11]Cust_Count2!$F$39</definedName>
    <definedName name="Juris2MultiYd">'[11]Gross Yardage Worksheet'!$X$33</definedName>
    <definedName name="Juris2SeasonalYds">'[11]Gross Yardage Worksheet'!$R$35</definedName>
    <definedName name="Juris2XtraYds">[11]Cust_Count2!$F$28</definedName>
    <definedName name="Juris3CanCount">[11]Cust_Count1!$E$60</definedName>
    <definedName name="Juris3CanTons">[11]Cust_Count1!$E$30</definedName>
    <definedName name="Juris3ComYd">'[11]Gross Yardage Worksheet'!$L$51</definedName>
    <definedName name="Juris3CustCnt">[11]Cust_Count2!$G$39</definedName>
    <definedName name="Juris3MultiYd">'[11]Gross Yardage Worksheet'!$X$51</definedName>
    <definedName name="Juris3SeasonalYds">'[11]Gross Yardage Worksheet'!$R$53</definedName>
    <definedName name="Juris3XtraYds">[11]Cust_Count2!$G$28</definedName>
    <definedName name="Juris4CanCount">[11]Cust_Count1!$F$60</definedName>
    <definedName name="Juris4CanTons">[11]Cust_Count1!$F$30</definedName>
    <definedName name="Juris4ComYd">'[11]Gross Yardage Worksheet'!$L$68</definedName>
    <definedName name="Juris4CustCnt">[11]Cust_Count2!$H$39</definedName>
    <definedName name="Juris4MultiYd">'[11]Gross Yardage Worksheet'!$X$68</definedName>
    <definedName name="Juris4SeasonalYds">'[11]Gross Yardage Worksheet'!$R$70</definedName>
    <definedName name="Juris4XtraYds">[11]Cust_Count2!$H$28</definedName>
    <definedName name="Juris5CanCount">[11]Cust_Count1!$G$60</definedName>
    <definedName name="Juris5CanTons">[11]Cust_Count1!$G$30</definedName>
    <definedName name="Juris5ComYD">'[11]Gross Yardage Worksheet'!$L$85</definedName>
    <definedName name="Juris5CustCnt">[11]Cust_Count2!$I$39</definedName>
    <definedName name="Juris5MultiYd">'[11]Gross Yardage Worksheet'!$X$85</definedName>
    <definedName name="Juris5SeasonalYds">'[11]Gross Yardage Worksheet'!$R$87</definedName>
    <definedName name="Juris5XtraYds">[11]Cust_Count2!$I$28</definedName>
    <definedName name="Jurisdiction_1">'[11]Title Inputs'!$C$5</definedName>
    <definedName name="Jurisdiction_2">'[11]Title Inputs'!$C$6</definedName>
    <definedName name="Jurisdiction_3">'[11]Title Inputs'!$C$7</definedName>
    <definedName name="Jurisdiction_4">'[11]Title Inputs'!$C$8</definedName>
    <definedName name="Jurisdiction_5">'[11]Title Inputs'!$C$9</definedName>
    <definedName name="lblBillAreaStatus" localSheetId="2">#REF!</definedName>
    <definedName name="lblBillAreaStatus">#REF!</definedName>
    <definedName name="lblBillCycleStatus" localSheetId="2">#REF!</definedName>
    <definedName name="lblBillCycleStatus">#REF!</definedName>
    <definedName name="lblCategoryStatus" localSheetId="2">#REF!</definedName>
    <definedName name="lblCategoryStatus">#REF!</definedName>
    <definedName name="lblCompanyStatus" localSheetId="2">#REF!</definedName>
    <definedName name="lblCompanyStatus">#REF!</definedName>
    <definedName name="lblDatabaseStatus" localSheetId="2">#REF!</definedName>
    <definedName name="lblDatabaseStatus">#REF!</definedName>
    <definedName name="lblPullStatus" localSheetId="2">#REF!</definedName>
    <definedName name="lblPullStatus">#REF!</definedName>
    <definedName name="lllllllllllllllllllll" localSheetId="2">#REF!</definedName>
    <definedName name="lllllllllllllllllllll">#REF!</definedName>
    <definedName name="LOB">[23]DropDownRanges!$B$4:$B$37</definedName>
    <definedName name="MainDataEnd" localSheetId="2">#REF!</definedName>
    <definedName name="MainDataEnd">#REF!</definedName>
    <definedName name="MainDataStart" localSheetId="2">#REF!</definedName>
    <definedName name="MainDataStart">#REF!</definedName>
    <definedName name="MapKeyStart" localSheetId="2">#REF!</definedName>
    <definedName name="MapKeyStart">#REF!</definedName>
    <definedName name="master_def" localSheetId="2">#REF!</definedName>
    <definedName name="master_def">#REF!</definedName>
    <definedName name="MATRIX" localSheetId="2">#REF!</definedName>
    <definedName name="MATRIX">#REF!</definedName>
    <definedName name="MemoAttachment" localSheetId="2">#REF!</definedName>
    <definedName name="MemoAttachment">#REF!</definedName>
    <definedName name="MetaSet">[1]Orientation!$C$22</definedName>
    <definedName name="MFStaffPriceOut" localSheetId="2">'[13]Price Out-Reg EASTSIDE-Resi'!#REF!</definedName>
    <definedName name="MFStaffPriceOut">'[13]Price Out-Reg EASTSIDE-Resi'!#REF!</definedName>
    <definedName name="MILTON">#REF!</definedName>
    <definedName name="MonthList" localSheetId="2">'[17]Lookup Tables'!$A$1:$A$13</definedName>
    <definedName name="MonthList">'[18]Lookup Tables'!$A$1:$A$13</definedName>
    <definedName name="NewLob">[23]DropDownRanges!$B$4:$B$37</definedName>
    <definedName name="NewOnlyOrg">#N/A</definedName>
    <definedName name="NewSource">[23]DropDownRanges!$D$4:$D$7</definedName>
    <definedName name="nn" localSheetId="2">#REF!</definedName>
    <definedName name="nn">#REF!</definedName>
    <definedName name="NOTES" localSheetId="2">#REF!</definedName>
    <definedName name="NOTES">#REF!</definedName>
    <definedName name="NR" localSheetId="2">#REF!</definedName>
    <definedName name="NR">#REF!</definedName>
    <definedName name="OfficerSalary">#N/A</definedName>
    <definedName name="OffsetAcctBil">[24]JEexport!$L$10</definedName>
    <definedName name="OffsetAcctPmt">[24]JEexport!$L$9</definedName>
    <definedName name="Org11_13">#N/A</definedName>
    <definedName name="Org7_10">#N/A</definedName>
    <definedName name="OthCanTons">[12]Cust_Count1!$O$28</definedName>
    <definedName name="OthComYd">'[12]Gross Yardage Worksheet'!$L$82</definedName>
    <definedName name="OthMultiYd">'[12]Gross Yardage Worksheet'!$L$98</definedName>
    <definedName name="p" localSheetId="2">#REF!</definedName>
    <definedName name="p">#REF!</definedName>
    <definedName name="PAGE_1" localSheetId="2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2">#REF!</definedName>
    <definedName name="Page16">#REF!</definedName>
    <definedName name="Page17" localSheetId="2">#REF!</definedName>
    <definedName name="Page17">#REF!</definedName>
    <definedName name="Page18" localSheetId="2">#REF!</definedName>
    <definedName name="Page18">#REF!</definedName>
    <definedName name="Page20">#REF!</definedName>
    <definedName name="page7">#REF!</definedName>
    <definedName name="Page7a" localSheetId="2">#REF!</definedName>
    <definedName name="Page7a">#REF!</definedName>
    <definedName name="pBatchID" localSheetId="2">#REF!</definedName>
    <definedName name="pBatchID">#REF!</definedName>
    <definedName name="pBillArea" localSheetId="2">#REF!</definedName>
    <definedName name="pBillArea">#REF!</definedName>
    <definedName name="pBillCycle" localSheetId="2">#REF!</definedName>
    <definedName name="pBillCycle">#REF!</definedName>
    <definedName name="pCategory" localSheetId="2">#REF!</definedName>
    <definedName name="pCategory">#REF!</definedName>
    <definedName name="pCompany" localSheetId="2">#REF!</definedName>
    <definedName name="pCompany">#REF!</definedName>
    <definedName name="pCustomerNumber" localSheetId="2">#REF!</definedName>
    <definedName name="pCustomerNumber">#REF!</definedName>
    <definedName name="pDatabase" localSheetId="2">#REF!</definedName>
    <definedName name="pDatabase">#REF!</definedName>
    <definedName name="pEndPostDate" localSheetId="2">#REF!</definedName>
    <definedName name="pEndPostDate">#REF!</definedName>
    <definedName name="Period" localSheetId="2">#REF!</definedName>
    <definedName name="Period">#REF!</definedName>
    <definedName name="pMonth" localSheetId="2">#REF!</definedName>
    <definedName name="pMonth">#REF!</definedName>
    <definedName name="pOnlyShowLastTranx" localSheetId="2">#REF!</definedName>
    <definedName name="pOnlyShowLastTranx">#REF!</definedName>
    <definedName name="Posting">#REF!</definedName>
    <definedName name="primtbl">[1]Orientation!$C$23</definedName>
    <definedName name="_xlnm.Print_Area" localSheetId="3">#REF!</definedName>
    <definedName name="_xlnm.Print_Area" localSheetId="2">'Proposed Rates'!$A$1:$J$181</definedName>
    <definedName name="_xlnm.Print_Area" localSheetId="0">References!$A$1:$J$94</definedName>
    <definedName name="_xlnm.Print_Area" localSheetId="1">'Regulated DF Calc'!$A$1:$T$132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Area2" localSheetId="2">#REF!</definedName>
    <definedName name="Print_Area2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_xlnm.Print_Titles" localSheetId="2">'Proposed Rates'!$5:$7</definedName>
    <definedName name="_xlnm.Print_Titles" localSheetId="1">'Regulated DF Calc'!$A:$B,'Regulated DF Calc'!$5:$6</definedName>
    <definedName name="Print1" localSheetId="2">#REF!</definedName>
    <definedName name="Print1">#REF!</definedName>
    <definedName name="Print2" localSheetId="2">#REF!</definedName>
    <definedName name="Print2">#REF!</definedName>
    <definedName name="Print5" localSheetId="2">#REF!</definedName>
    <definedName name="Print5">#REF!</definedName>
    <definedName name="ProRev" localSheetId="2">'[7]Pacific Regulated - Price Out'!$M$49</definedName>
    <definedName name="ProRev">'[8]Pacific Regulated - Price Out'!$M$49</definedName>
    <definedName name="ProRev_com" localSheetId="2">'[7]Pacific Regulated - Price Out'!$M$213</definedName>
    <definedName name="ProRev_com">'[8]Pacific Regulated - Price Out'!$M$213</definedName>
    <definedName name="ProRev_mfr" localSheetId="2">'[7]Pacific Regulated - Price Out'!$M$221</definedName>
    <definedName name="ProRev_mfr">'[8]Pacific Regulated - Price Out'!$M$221</definedName>
    <definedName name="ProRev_ro" localSheetId="2">'[7]Pacific Regulated - Price Out'!$M$281</definedName>
    <definedName name="ProRev_ro">'[8]Pacific Regulated - Price Out'!$M$281</definedName>
    <definedName name="ProRev_rr" localSheetId="2">'[7]Pacific Regulated - Price Out'!$M$58</definedName>
    <definedName name="ProRev_rr">'[8]Pacific Regulated - Price Out'!$M$58</definedName>
    <definedName name="ProRev_yw" localSheetId="2">'[7]Pacific Regulated - Price Out'!$M$69</definedName>
    <definedName name="ProRev_yw">'[8]Pacific Regulated - Price Out'!$M$69</definedName>
    <definedName name="pServer" localSheetId="2">#REF!</definedName>
    <definedName name="pServer">#REF!</definedName>
    <definedName name="pServiceCode" localSheetId="2">#REF!</definedName>
    <definedName name="pServiceCode">#REF!</definedName>
    <definedName name="pShowAllUnposted" localSheetId="2">#REF!</definedName>
    <definedName name="pShowAllUnposted">#REF!</definedName>
    <definedName name="pShowCustomerDetail" localSheetId="2">#REF!</definedName>
    <definedName name="pShowCustomerDetail">#REF!</definedName>
    <definedName name="pSortOption" localSheetId="2">#REF!</definedName>
    <definedName name="pSortOption">#REF!</definedName>
    <definedName name="pStartPostDate" localSheetId="2">#REF!</definedName>
    <definedName name="pStartPostDate">#REF!</definedName>
    <definedName name="pTransType" localSheetId="2">#REF!</definedName>
    <definedName name="pTransType">#REF!</definedName>
    <definedName name="RCW_81.04.080">#N/A</definedName>
    <definedName name="RecyDisposal">#N/A</definedName>
    <definedName name="Reg_Cust_Billed_Percent" localSheetId="2">'[25]Consolidated IS 2009 2010'!$AK$20</definedName>
    <definedName name="Reg_Cust_Billed_Percent">'[26]Consolidated IS 2009 2010'!$AK$20</definedName>
    <definedName name="Reg_Cust_Percent" localSheetId="2">'[25]Consolidated IS 2009 2010'!$AC$20</definedName>
    <definedName name="Reg_Cust_Percent">'[26]Consolidated IS 2009 2010'!$AC$20</definedName>
    <definedName name="Reg_Drive_Percent" localSheetId="2">'[25]Consolidated IS 2009 2010'!$AC$40</definedName>
    <definedName name="Reg_Drive_Percent">'[26]Consolidated IS 2009 2010'!$AC$40</definedName>
    <definedName name="Reg_Haul_Rev_Percent" localSheetId="2">'[25]Consolidated IS 2009 2010'!$Z$18</definedName>
    <definedName name="Reg_Haul_Rev_Percent">'[26]Consolidated IS 2009 2010'!$Z$18</definedName>
    <definedName name="Reg_Lab_Percent" localSheetId="2">'[25]Consolidated IS 2009 2010'!$AC$39</definedName>
    <definedName name="Reg_Lab_Percent">'[26]Consolidated IS 2009 2010'!$AC$39</definedName>
    <definedName name="Reg_Steel_Cont_Percent" localSheetId="2">'[25]Consolidated IS 2009 2010'!$AE$120</definedName>
    <definedName name="Reg_Steel_Cont_Percent">'[26]Consolidated IS 2009 2010'!$AE$120</definedName>
    <definedName name="RegulatedIS" localSheetId="2">'[25]2009 IS'!$A$12:$Q$655</definedName>
    <definedName name="RegulatedIS">'[26]2009 IS'!$A$12:$Q$655</definedName>
    <definedName name="RelatedSalary">#N/A</definedName>
    <definedName name="report_type">[1]Orientation!$C$24</definedName>
    <definedName name="Reporting_Jurisdiction">'[11]Title Inputs'!$C$4</definedName>
    <definedName name="ReportNames">[27]ControlPanel!$S$2:$S$16</definedName>
    <definedName name="ReportVersion">[1]Settings!$D$5</definedName>
    <definedName name="ReslStaffPriceOut" localSheetId="2">'[13]Price Out-Reg EASTSIDE-Resi'!#REF!</definedName>
    <definedName name="ReslStaffPriceOut">'[13]Price Out-Reg EASTSIDE-Resi'!#REF!</definedName>
    <definedName name="RetainedEarnings" localSheetId="2">#REF!</definedName>
    <definedName name="RetainedEarnings">#REF!</definedName>
    <definedName name="RevCust" localSheetId="2">[28]RevenuesCust!#REF!</definedName>
    <definedName name="RevCust">[29]RevenuesCust!#REF!</definedName>
    <definedName name="RevCustomer" localSheetId="2">#REF!</definedName>
    <definedName name="RevCustomer">#REF!</definedName>
    <definedName name="rngBodyText">[2]Delivery!$B$15</definedName>
    <definedName name="RngBottomRight">[2]Delivery!$B$23</definedName>
    <definedName name="rngColDelChars">[2]Delivery!$B$26</definedName>
    <definedName name="rngColumnDelete">[2]Delivery!$B$26</definedName>
    <definedName name="rngCreateLog">[1]Delivery!$B$12</definedName>
    <definedName name="rngDeleteColumns">[2]Delivery!$A$29:$A$38</definedName>
    <definedName name="rngDeleteRows">[2]Delivery!$B$29:$B$38</definedName>
    <definedName name="rngEmail">[2]Delivery!$B$9</definedName>
    <definedName name="rngFileDir">[2]Delivery!$B$6</definedName>
    <definedName name="rngFileFormat">[2]Delivery!$B$4</definedName>
    <definedName name="rngFileName">[2]Delivery!$B$5</definedName>
    <definedName name="rngFilePassword">[1]Delivery!$B$6</definedName>
    <definedName name="rngPassword">[2]Delivery!$B$21</definedName>
    <definedName name="rngPasswordProtect">[2]Delivery!$B$20</definedName>
    <definedName name="rngPrint">[2]Delivery!$B$11</definedName>
    <definedName name="rngRetainFormulas">[2]Delivery!$B$19</definedName>
    <definedName name="rngSaveFile">[2]Delivery!$B$10</definedName>
    <definedName name="rngSourceTab">[1]Delivery!$E$8</definedName>
    <definedName name="rngSubjectLine">[2]Delivery!$B$14</definedName>
    <definedName name="rngTabName">[2]Delivery!$B$18</definedName>
    <definedName name="rngTopLeft">[2]Delivery!$B$22</definedName>
    <definedName name="rowgroup">[1]Orientation!$C$17</definedName>
    <definedName name="rowsegment">[1]Orientation!$B$17</definedName>
    <definedName name="RptEmailAddress">[2]Delivery!$D$4:$D$1005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2">#REF!</definedName>
    <definedName name="sortcol">#REF!</definedName>
    <definedName name="Source">[23]DropDownRanges!$D$4:$D$7</definedName>
    <definedName name="SPWS_WBID">"115966228744984"</definedName>
    <definedName name="sSRCDate" localSheetId="2">'[30]Feb''12 FAR Data'!#REF!</definedName>
    <definedName name="sSRCDate">'[31]Feb''12 FAR Data'!#REF!</definedName>
    <definedName name="SubSystems">#REF!</definedName>
    <definedName name="Supplemental_filter">[1]Settings!$C$31</definedName>
    <definedName name="SWDisposal">#N/A</definedName>
    <definedName name="System" localSheetId="2">[32]BS_Close!$V$8</definedName>
    <definedName name="System">[32]BS_Close!$V$8</definedName>
    <definedName name="Systems">#REF!</definedName>
    <definedName name="TemplateEnd" localSheetId="2">#REF!</definedName>
    <definedName name="TemplateEnd">#REF!</definedName>
    <definedName name="TemplateStart" localSheetId="2">#REF!</definedName>
    <definedName name="TemplateStart">#REF!</definedName>
    <definedName name="TheTable" localSheetId="2">#REF!</definedName>
    <definedName name="TheTable">#REF!</definedName>
    <definedName name="TheTableOLD" localSheetId="2">#REF!</definedName>
    <definedName name="TheTableOLD">#REF!</definedName>
    <definedName name="timeseries">[1]Orientation!$B$6:$C$13</definedName>
    <definedName name="ToMonth">#REF!</definedName>
    <definedName name="Tons" localSheetId="2">#REF!</definedName>
    <definedName name="Tons">#REF!</definedName>
    <definedName name="Total_Comm" localSheetId="2">'[9]Tariff Rate Sheet'!$L$214</definedName>
    <definedName name="Total_Comm">'[10]Tariff Rate Sheet'!$L$214</definedName>
    <definedName name="Total_DB" localSheetId="2">'[9]Tariff Rate Sheet'!$L$278</definedName>
    <definedName name="Total_DB">'[10]Tariff Rate Sheet'!$L$278</definedName>
    <definedName name="Total_Resi" localSheetId="2">'[9]Tariff Rate Sheet'!$L$107</definedName>
    <definedName name="Total_Resi">'[10]Tariff Rate Sheet'!$L$107</definedName>
    <definedName name="TotalYards">'[12]Gross Yardage Worksheet'!$N$101</definedName>
    <definedName name="TOTCONT">'[22]Sorted Master'!$K$9</definedName>
    <definedName name="TOTCRECCONT">'[22]Sorted Master'!$Z$9</definedName>
    <definedName name="TOTCRECTH">'[22]Sorted Master'!$Z$8</definedName>
    <definedName name="TOTDEBTH">'[22]Sorted Master'!$AD$8</definedName>
    <definedName name="Transactions" localSheetId="2">#REF!</definedName>
    <definedName name="Transactions">#REF!</definedName>
    <definedName name="UnregulatedIS" localSheetId="2">'[25]2010 IS'!$A$12:$Q$654</definedName>
    <definedName name="UnregulatedIS">'[26]2010 IS'!$A$12:$Q$654</definedName>
    <definedName name="ValidFormats">[2]Delivery!$AA$4:$AA$10</definedName>
    <definedName name="VendorCode">#REF!</definedName>
    <definedName name="Version" localSheetId="2">[17]Data!#REF!</definedName>
    <definedName name="Version">[18]Data!#REF!</definedName>
    <definedName name="wrn.PrintReview.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2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2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2">#REF!</definedName>
    <definedName name="WTable">#REF!</definedName>
    <definedName name="WTableOld" localSheetId="2">#REF!</definedName>
    <definedName name="WTableOld">#REF!</definedName>
    <definedName name="ww" localSheetId="2">#REF!</definedName>
    <definedName name="ww">#REF!</definedName>
    <definedName name="xperiod">[1]Orientation!$G$15</definedName>
    <definedName name="xtabin" localSheetId="2">[5]Hidden!#REF!</definedName>
    <definedName name="xtabin">[6]Hidden!#REF!</definedName>
    <definedName name="xx" localSheetId="2">#REF!</definedName>
    <definedName name="xx">#REF!</definedName>
    <definedName name="xxx" localSheetId="2">#REF!</definedName>
    <definedName name="xxx">#REF!</definedName>
    <definedName name="xxxx" localSheetId="2">#REF!</definedName>
    <definedName name="xxxx">#REF!</definedName>
    <definedName name="Year_of_Review">'[11]Title Inputs'!$C$3</definedName>
    <definedName name="YearMonth" localSheetId="2">'[19]Vashon BS'!#REF!</definedName>
    <definedName name="YearMonth">'[20]Vashon BS'!#REF!</definedName>
    <definedName name="YWMedWasteDisp">#N/A</definedName>
    <definedName name="yy" localSheetId="2">#REF!</definedName>
    <definedName name="y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9" i="3" l="1"/>
  <c r="G54" i="2" l="1"/>
  <c r="G61" i="2"/>
  <c r="I29" i="2"/>
  <c r="M36" i="3" l="1"/>
  <c r="I28" i="2"/>
  <c r="I15" i="2" l="1"/>
  <c r="O100" i="2"/>
  <c r="G100" i="2"/>
  <c r="I100" i="2"/>
  <c r="O96" i="2"/>
  <c r="G96" i="2"/>
  <c r="I96" i="2"/>
  <c r="I74" i="2"/>
  <c r="G74" i="2"/>
  <c r="O74" i="2"/>
  <c r="I68" i="2"/>
  <c r="G68" i="2"/>
  <c r="O68" i="2"/>
  <c r="I54" i="2"/>
  <c r="O54" i="2"/>
  <c r="U104" i="2"/>
  <c r="O50" i="2"/>
  <c r="I50" i="2"/>
  <c r="G50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H50" i="2" s="1"/>
  <c r="J50" i="2" s="1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H74" i="2" s="1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H96" i="2" s="1"/>
  <c r="J96" i="2" s="1"/>
  <c r="E97" i="2"/>
  <c r="E98" i="2"/>
  <c r="E99" i="2"/>
  <c r="E100" i="2"/>
  <c r="E101" i="2"/>
  <c r="E102" i="2"/>
  <c r="E103" i="2"/>
  <c r="E36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10" i="2"/>
  <c r="R50" i="2" l="1"/>
  <c r="H68" i="2"/>
  <c r="J68" i="2" s="1"/>
  <c r="H54" i="2"/>
  <c r="J54" i="2" s="1"/>
  <c r="H100" i="2"/>
  <c r="J100" i="2" s="1"/>
  <c r="R100" i="2"/>
  <c r="R96" i="2"/>
  <c r="J74" i="2"/>
  <c r="R74" i="2"/>
  <c r="R68" i="2"/>
  <c r="R54" i="2"/>
  <c r="P114" i="2"/>
  <c r="D42" i="8" l="1"/>
  <c r="D41" i="8"/>
  <c r="D43" i="8" s="1"/>
  <c r="E27" i="8"/>
  <c r="D27" i="8"/>
  <c r="E24" i="8"/>
  <c r="D24" i="8"/>
  <c r="I23" i="8"/>
  <c r="E23" i="8"/>
  <c r="D23" i="8"/>
  <c r="F23" i="8" s="1"/>
  <c r="E22" i="8"/>
  <c r="D22" i="8"/>
  <c r="E21" i="8"/>
  <c r="D21" i="8"/>
  <c r="D33" i="8" s="1"/>
  <c r="H112" i="2" s="1"/>
  <c r="E17" i="8"/>
  <c r="D17" i="8"/>
  <c r="E14" i="8"/>
  <c r="F14" i="8" s="1"/>
  <c r="D14" i="8"/>
  <c r="E13" i="8"/>
  <c r="E34" i="8" s="1"/>
  <c r="I15" i="8" s="1"/>
  <c r="D13" i="8"/>
  <c r="D34" i="8" s="1"/>
  <c r="E12" i="8"/>
  <c r="E15" i="8" s="1"/>
  <c r="I24" i="8" s="1"/>
  <c r="D12" i="8"/>
  <c r="D15" i="8" s="1"/>
  <c r="I11" i="8"/>
  <c r="E25" i="8" l="1"/>
  <c r="F24" i="8"/>
  <c r="F22" i="8"/>
  <c r="E33" i="8"/>
  <c r="I14" i="8" s="1"/>
  <c r="D18" i="8"/>
  <c r="E28" i="8"/>
  <c r="E18" i="8"/>
  <c r="I25" i="8"/>
  <c r="F21" i="8"/>
  <c r="D32" i="8"/>
  <c r="D35" i="8" s="1"/>
  <c r="F12" i="8"/>
  <c r="D25" i="8"/>
  <c r="D28" i="8" s="1"/>
  <c r="E32" i="8"/>
  <c r="E35" i="8" l="1"/>
  <c r="I13" i="8"/>
  <c r="I16" i="8" s="1"/>
  <c r="I17" i="8" s="1"/>
  <c r="I18" i="8" s="1"/>
  <c r="O29" i="2" l="1"/>
  <c r="G29" i="2"/>
  <c r="O26" i="2"/>
  <c r="G26" i="2"/>
  <c r="I26" i="2"/>
  <c r="O23" i="2"/>
  <c r="O15" i="2"/>
  <c r="R15" i="2" l="1"/>
  <c r="H29" i="2"/>
  <c r="J29" i="2" s="1"/>
  <c r="R29" i="2"/>
  <c r="H26" i="2"/>
  <c r="J26" i="2" s="1"/>
  <c r="R26" i="2"/>
  <c r="R23" i="2"/>
  <c r="H15" i="2"/>
  <c r="J15" i="2" s="1"/>
  <c r="E31" i="2" l="1"/>
  <c r="U30" i="2"/>
  <c r="U31" i="2"/>
  <c r="U32" i="2"/>
  <c r="U33" i="2"/>
  <c r="U34" i="2"/>
  <c r="U35" i="2"/>
  <c r="F73" i="1"/>
  <c r="D56" i="3" l="1"/>
  <c r="D57" i="3" s="1"/>
  <c r="D58" i="3" s="1"/>
  <c r="D59" i="3" s="1"/>
  <c r="D60" i="3" s="1"/>
  <c r="D61" i="3" s="1"/>
  <c r="B56" i="3"/>
  <c r="B57" i="3" s="1"/>
  <c r="B58" i="3" s="1"/>
  <c r="B59" i="3" s="1"/>
  <c r="B60" i="3" s="1"/>
  <c r="B61" i="3" s="1"/>
  <c r="D50" i="3"/>
  <c r="D51" i="3" s="1"/>
  <c r="B51" i="3"/>
  <c r="B50" i="3"/>
  <c r="A2" i="3" l="1"/>
  <c r="F74" i="1" l="1"/>
  <c r="F76" i="1" s="1"/>
  <c r="F78" i="1" s="1"/>
  <c r="C85" i="1" l="1"/>
  <c r="B85" i="1"/>
  <c r="G83" i="1" l="1"/>
  <c r="G85" i="1" s="1"/>
  <c r="G90" i="1" s="1"/>
  <c r="E68" i="1" s="1"/>
  <c r="C88" i="1"/>
  <c r="C91" i="1" s="1"/>
  <c r="C67" i="1" s="1"/>
  <c r="C69" i="1" s="1"/>
  <c r="C70" i="1" s="1"/>
  <c r="H83" i="1"/>
  <c r="H85" i="1" s="1"/>
  <c r="H90" i="1" s="1"/>
  <c r="C68" i="1" s="1"/>
  <c r="B88" i="1"/>
  <c r="B91" i="1" s="1"/>
  <c r="E67" i="1" s="1"/>
  <c r="E69" i="1" s="1"/>
  <c r="D67" i="1" l="1"/>
  <c r="J78" i="3"/>
  <c r="J77" i="3"/>
  <c r="J76" i="3"/>
  <c r="J75" i="3"/>
  <c r="J74" i="3"/>
  <c r="J73" i="3"/>
  <c r="J72" i="3"/>
  <c r="J71" i="3"/>
  <c r="J70" i="3"/>
  <c r="O102" i="2" l="1"/>
  <c r="I91" i="2" l="1"/>
  <c r="O91" i="2"/>
  <c r="I21" i="2"/>
  <c r="R91" i="2" l="1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1" i="2"/>
  <c r="O52" i="2"/>
  <c r="O53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9" i="2"/>
  <c r="O70" i="2"/>
  <c r="O71" i="2"/>
  <c r="O72" i="2"/>
  <c r="O73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2" i="2"/>
  <c r="O93" i="2"/>
  <c r="O94" i="2"/>
  <c r="O95" i="2"/>
  <c r="O97" i="2"/>
  <c r="O98" i="2"/>
  <c r="O99" i="2"/>
  <c r="O101" i="2"/>
  <c r="O103" i="2"/>
  <c r="O10" i="2"/>
  <c r="R10" i="2" s="1"/>
  <c r="O11" i="2"/>
  <c r="O12" i="2"/>
  <c r="O13" i="2"/>
  <c r="O14" i="2"/>
  <c r="O16" i="2"/>
  <c r="O17" i="2"/>
  <c r="O18" i="2"/>
  <c r="O19" i="2"/>
  <c r="O20" i="2"/>
  <c r="O21" i="2"/>
  <c r="O22" i="2"/>
  <c r="O24" i="2"/>
  <c r="O25" i="2"/>
  <c r="O27" i="2"/>
  <c r="O28" i="2"/>
  <c r="C55" i="1" l="1"/>
  <c r="C56" i="1"/>
  <c r="C50" i="1"/>
  <c r="I76" i="2" l="1"/>
  <c r="C12" i="1" l="1"/>
  <c r="G23" i="2" s="1"/>
  <c r="H23" i="2" s="1"/>
  <c r="J23" i="2" s="1"/>
  <c r="C13" i="1"/>
  <c r="G10" i="2" s="1"/>
  <c r="H10" i="2" s="1"/>
  <c r="C11" i="1" l="1"/>
  <c r="G91" i="2"/>
  <c r="H91" i="2" s="1"/>
  <c r="J91" i="2" s="1"/>
  <c r="C8" i="1"/>
  <c r="C9" i="1"/>
  <c r="C10" i="1"/>
  <c r="G45" i="2" l="1"/>
  <c r="G44" i="2"/>
  <c r="D8" i="1"/>
  <c r="E8" i="1"/>
  <c r="I13" i="1"/>
  <c r="I12" i="1"/>
  <c r="I11" i="1"/>
  <c r="I10" i="1"/>
  <c r="I9" i="1"/>
  <c r="I8" i="1"/>
  <c r="H13" i="1"/>
  <c r="H12" i="1"/>
  <c r="H11" i="1"/>
  <c r="H10" i="1"/>
  <c r="H9" i="1"/>
  <c r="H8" i="1"/>
  <c r="G13" i="1"/>
  <c r="G12" i="1"/>
  <c r="G11" i="1"/>
  <c r="G10" i="1"/>
  <c r="G9" i="1"/>
  <c r="G8" i="1"/>
  <c r="F13" i="1"/>
  <c r="F12" i="1"/>
  <c r="F11" i="1"/>
  <c r="F10" i="1"/>
  <c r="F9" i="1"/>
  <c r="F8" i="1"/>
  <c r="E13" i="1"/>
  <c r="E12" i="1"/>
  <c r="E11" i="1"/>
  <c r="E10" i="1"/>
  <c r="E9" i="1"/>
  <c r="D13" i="1"/>
  <c r="D12" i="1"/>
  <c r="D11" i="1"/>
  <c r="D10" i="1"/>
  <c r="D9" i="1"/>
  <c r="H71" i="3" l="1"/>
  <c r="H75" i="3"/>
  <c r="H72" i="3"/>
  <c r="H76" i="3"/>
  <c r="H73" i="3"/>
  <c r="H77" i="3"/>
  <c r="H70" i="3"/>
  <c r="H74" i="3"/>
  <c r="H78" i="3"/>
  <c r="F68" i="1" l="1"/>
  <c r="F67" i="1"/>
  <c r="I103" i="2"/>
  <c r="G103" i="2"/>
  <c r="I102" i="2"/>
  <c r="G102" i="2"/>
  <c r="I101" i="2"/>
  <c r="G101" i="2"/>
  <c r="I99" i="2"/>
  <c r="I98" i="2"/>
  <c r="I97" i="2"/>
  <c r="I95" i="2"/>
  <c r="I94" i="2"/>
  <c r="I93" i="2"/>
  <c r="I92" i="2"/>
  <c r="I90" i="2"/>
  <c r="G90" i="2"/>
  <c r="I89" i="2"/>
  <c r="G89" i="2"/>
  <c r="I88" i="2"/>
  <c r="G88" i="2"/>
  <c r="I87" i="2"/>
  <c r="G87" i="2"/>
  <c r="I86" i="2"/>
  <c r="G86" i="2"/>
  <c r="I85" i="2"/>
  <c r="G85" i="2"/>
  <c r="I84" i="2"/>
  <c r="G84" i="2"/>
  <c r="I83" i="2"/>
  <c r="G83" i="2"/>
  <c r="G82" i="2"/>
  <c r="I81" i="2"/>
  <c r="G81" i="2"/>
  <c r="I80" i="2"/>
  <c r="G80" i="2"/>
  <c r="I79" i="2"/>
  <c r="G79" i="2"/>
  <c r="I78" i="2"/>
  <c r="G78" i="2"/>
  <c r="I75" i="2"/>
  <c r="I73" i="2"/>
  <c r="I72" i="2"/>
  <c r="I71" i="2"/>
  <c r="I70" i="2"/>
  <c r="I69" i="2"/>
  <c r="I67" i="2"/>
  <c r="I66" i="2"/>
  <c r="I65" i="2"/>
  <c r="I62" i="2"/>
  <c r="I61" i="2"/>
  <c r="I60" i="2"/>
  <c r="I59" i="2"/>
  <c r="I58" i="2"/>
  <c r="I57" i="2"/>
  <c r="I56" i="2"/>
  <c r="I55" i="2"/>
  <c r="I53" i="2"/>
  <c r="I52" i="2"/>
  <c r="I51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G28" i="2"/>
  <c r="I27" i="2"/>
  <c r="G27" i="2"/>
  <c r="I25" i="2"/>
  <c r="G25" i="2"/>
  <c r="I24" i="2"/>
  <c r="G24" i="2"/>
  <c r="I20" i="2"/>
  <c r="I19" i="2"/>
  <c r="I18" i="2"/>
  <c r="I17" i="2"/>
  <c r="I16" i="2"/>
  <c r="I14" i="2"/>
  <c r="I13" i="2"/>
  <c r="I12" i="2"/>
  <c r="I11" i="2"/>
  <c r="I10" i="2"/>
  <c r="D68" i="1"/>
  <c r="C62" i="1"/>
  <c r="C61" i="1"/>
  <c r="C59" i="1"/>
  <c r="C58" i="1"/>
  <c r="C57" i="1"/>
  <c r="C53" i="1"/>
  <c r="C52" i="1"/>
  <c r="C51" i="1"/>
  <c r="C48" i="1"/>
  <c r="C47" i="1"/>
  <c r="C46" i="1"/>
  <c r="C42" i="1"/>
  <c r="C31" i="1"/>
  <c r="C29" i="1"/>
  <c r="C26" i="1"/>
  <c r="C14" i="1"/>
  <c r="P115" i="2" l="1"/>
  <c r="E70" i="1"/>
  <c r="Q115" i="2" s="1"/>
  <c r="J10" i="2"/>
  <c r="R103" i="2"/>
  <c r="F69" i="3"/>
  <c r="C73" i="1"/>
  <c r="C74" i="1" s="1"/>
  <c r="F68" i="3"/>
  <c r="G14" i="1"/>
  <c r="G57" i="2"/>
  <c r="R11" i="2"/>
  <c r="R16" i="2"/>
  <c r="R20" i="2"/>
  <c r="R14" i="2"/>
  <c r="R19" i="2"/>
  <c r="R13" i="2"/>
  <c r="R18" i="2"/>
  <c r="R22" i="2"/>
  <c r="F69" i="1"/>
  <c r="I14" i="1"/>
  <c r="R12" i="2"/>
  <c r="R17" i="2"/>
  <c r="R21" i="2"/>
  <c r="D14" i="1"/>
  <c r="D69" i="1"/>
  <c r="H14" i="1"/>
  <c r="E14" i="1"/>
  <c r="G13" i="2"/>
  <c r="F14" i="1"/>
  <c r="I22" i="2"/>
  <c r="G73" i="2"/>
  <c r="G59" i="2"/>
  <c r="G75" i="2"/>
  <c r="G69" i="2"/>
  <c r="G64" i="2"/>
  <c r="G62" i="2"/>
  <c r="G60" i="2"/>
  <c r="G99" i="2"/>
  <c r="G98" i="2"/>
  <c r="G77" i="2"/>
  <c r="G76" i="2"/>
  <c r="G70" i="2"/>
  <c r="G65" i="2"/>
  <c r="G63" i="2"/>
  <c r="I63" i="2"/>
  <c r="G37" i="2"/>
  <c r="G39" i="2"/>
  <c r="G41" i="2"/>
  <c r="G43" i="2"/>
  <c r="G47" i="2"/>
  <c r="G49" i="2"/>
  <c r="G52" i="2"/>
  <c r="G55" i="2"/>
  <c r="G71" i="2"/>
  <c r="G66" i="2"/>
  <c r="I77" i="2"/>
  <c r="I82" i="2"/>
  <c r="G11" i="2"/>
  <c r="G12" i="2"/>
  <c r="G14" i="2"/>
  <c r="H14" i="2" s="1"/>
  <c r="G16" i="2"/>
  <c r="G17" i="2"/>
  <c r="G18" i="2"/>
  <c r="G19" i="2"/>
  <c r="G20" i="2"/>
  <c r="G21" i="2"/>
  <c r="G22" i="2"/>
  <c r="G72" i="2"/>
  <c r="G67" i="2"/>
  <c r="G58" i="2"/>
  <c r="G36" i="2"/>
  <c r="R36" i="2" s="1"/>
  <c r="G38" i="2"/>
  <c r="G40" i="2"/>
  <c r="G42" i="2"/>
  <c r="G46" i="2"/>
  <c r="G48" i="2"/>
  <c r="G51" i="2"/>
  <c r="G53" i="2"/>
  <c r="G56" i="2"/>
  <c r="I64" i="2"/>
  <c r="H103" i="2"/>
  <c r="J103" i="2" s="1"/>
  <c r="M55" i="3" l="1"/>
  <c r="I31" i="2"/>
  <c r="H68" i="3"/>
  <c r="J68" i="3"/>
  <c r="H69" i="3"/>
  <c r="J69" i="3"/>
  <c r="R75" i="2"/>
  <c r="H25" i="2"/>
  <c r="J25" i="2" s="1"/>
  <c r="R25" i="2"/>
  <c r="H78" i="2"/>
  <c r="J78" i="2" s="1"/>
  <c r="R78" i="2"/>
  <c r="H27" i="2"/>
  <c r="J27" i="2" s="1"/>
  <c r="R27" i="2"/>
  <c r="H86" i="2"/>
  <c r="J86" i="2" s="1"/>
  <c r="R86" i="2"/>
  <c r="H102" i="2"/>
  <c r="J102" i="2" s="1"/>
  <c r="R102" i="2"/>
  <c r="H24" i="2"/>
  <c r="J24" i="2" s="1"/>
  <c r="R24" i="2"/>
  <c r="H90" i="2"/>
  <c r="J90" i="2" s="1"/>
  <c r="R90" i="2"/>
  <c r="H85" i="2"/>
  <c r="J85" i="2" s="1"/>
  <c r="R85" i="2"/>
  <c r="H101" i="2"/>
  <c r="J101" i="2" s="1"/>
  <c r="R101" i="2"/>
  <c r="H80" i="2"/>
  <c r="J80" i="2" s="1"/>
  <c r="R80" i="2"/>
  <c r="H82" i="2"/>
  <c r="J82" i="2" s="1"/>
  <c r="R82" i="2"/>
  <c r="H87" i="2"/>
  <c r="J87" i="2" s="1"/>
  <c r="R87" i="2"/>
  <c r="H89" i="2"/>
  <c r="J89" i="2" s="1"/>
  <c r="R89" i="2"/>
  <c r="H84" i="2"/>
  <c r="J84" i="2" s="1"/>
  <c r="R84" i="2"/>
  <c r="H79" i="2"/>
  <c r="J79" i="2" s="1"/>
  <c r="R79" i="2"/>
  <c r="H28" i="2"/>
  <c r="J28" i="2" s="1"/>
  <c r="R28" i="2"/>
  <c r="H83" i="2"/>
  <c r="J83" i="2" s="1"/>
  <c r="R83" i="2"/>
  <c r="H81" i="2"/>
  <c r="J81" i="2" s="1"/>
  <c r="R81" i="2"/>
  <c r="H88" i="2"/>
  <c r="J88" i="2" s="1"/>
  <c r="R88" i="2"/>
  <c r="R55" i="2"/>
  <c r="R69" i="2"/>
  <c r="R37" i="2"/>
  <c r="R38" i="2"/>
  <c r="R64" i="2"/>
  <c r="R41" i="2"/>
  <c r="R47" i="2"/>
  <c r="R62" i="2"/>
  <c r="H36" i="2"/>
  <c r="G97" i="2"/>
  <c r="G95" i="2"/>
  <c r="G94" i="2"/>
  <c r="G93" i="2"/>
  <c r="G92" i="2"/>
  <c r="H75" i="2"/>
  <c r="J75" i="2" s="1"/>
  <c r="H18" i="2"/>
  <c r="J18" i="2" s="1"/>
  <c r="H12" i="2"/>
  <c r="J12" i="2" s="1"/>
  <c r="J14" i="2"/>
  <c r="H17" i="2"/>
  <c r="J17" i="2" s="1"/>
  <c r="H22" i="2"/>
  <c r="J22" i="2" s="1"/>
  <c r="H20" i="2"/>
  <c r="J20" i="2" s="1"/>
  <c r="H19" i="2"/>
  <c r="J19" i="2" s="1"/>
  <c r="H21" i="2"/>
  <c r="J21" i="2" s="1"/>
  <c r="H13" i="2"/>
  <c r="J13" i="2" s="1"/>
  <c r="H16" i="2"/>
  <c r="J16" i="2" s="1"/>
  <c r="H11" i="2"/>
  <c r="J11" i="2" s="1"/>
  <c r="J31" i="2" l="1"/>
  <c r="F55" i="3"/>
  <c r="F61" i="3"/>
  <c r="F60" i="3"/>
  <c r="F59" i="3"/>
  <c r="F58" i="3"/>
  <c r="F56" i="3"/>
  <c r="F57" i="3"/>
  <c r="R31" i="2"/>
  <c r="H63" i="2"/>
  <c r="J63" i="2" s="1"/>
  <c r="R63" i="2"/>
  <c r="H43" i="2"/>
  <c r="J43" i="2" s="1"/>
  <c r="R43" i="2"/>
  <c r="H66" i="2"/>
  <c r="J66" i="2" s="1"/>
  <c r="R66" i="2"/>
  <c r="H56" i="2"/>
  <c r="J56" i="2" s="1"/>
  <c r="R56" i="2"/>
  <c r="H73" i="2"/>
  <c r="J73" i="2" s="1"/>
  <c r="R73" i="2"/>
  <c r="H57" i="2"/>
  <c r="J57" i="2" s="1"/>
  <c r="R57" i="2"/>
  <c r="H61" i="2"/>
  <c r="J61" i="2" s="1"/>
  <c r="R61" i="2"/>
  <c r="H46" i="2"/>
  <c r="J46" i="2" s="1"/>
  <c r="R46" i="2"/>
  <c r="H70" i="2"/>
  <c r="J70" i="2" s="1"/>
  <c r="R70" i="2"/>
  <c r="H58" i="2"/>
  <c r="J58" i="2" s="1"/>
  <c r="R58" i="2"/>
  <c r="H39" i="2"/>
  <c r="J39" i="2" s="1"/>
  <c r="R39" i="2"/>
  <c r="H71" i="2"/>
  <c r="J71" i="2" s="1"/>
  <c r="R71" i="2"/>
  <c r="H45" i="2"/>
  <c r="J45" i="2" s="1"/>
  <c r="R45" i="2"/>
  <c r="H51" i="2"/>
  <c r="J51" i="2" s="1"/>
  <c r="R51" i="2"/>
  <c r="H40" i="2"/>
  <c r="J40" i="2" s="1"/>
  <c r="R40" i="2"/>
  <c r="H72" i="2"/>
  <c r="J72" i="2" s="1"/>
  <c r="R72" i="2"/>
  <c r="H48" i="2"/>
  <c r="J48" i="2" s="1"/>
  <c r="R48" i="2"/>
  <c r="H77" i="2"/>
  <c r="J77" i="2" s="1"/>
  <c r="R77" i="2"/>
  <c r="H53" i="2"/>
  <c r="J53" i="2" s="1"/>
  <c r="R53" i="2"/>
  <c r="H42" i="2"/>
  <c r="J42" i="2" s="1"/>
  <c r="R42" i="2"/>
  <c r="H67" i="2"/>
  <c r="J67" i="2" s="1"/>
  <c r="R67" i="2"/>
  <c r="H99" i="2"/>
  <c r="J99" i="2" s="1"/>
  <c r="R99" i="2"/>
  <c r="H98" i="2"/>
  <c r="J98" i="2" s="1"/>
  <c r="R98" i="2"/>
  <c r="H65" i="2"/>
  <c r="J65" i="2" s="1"/>
  <c r="R65" i="2"/>
  <c r="H44" i="2"/>
  <c r="J44" i="2" s="1"/>
  <c r="R44" i="2"/>
  <c r="H59" i="2"/>
  <c r="J59" i="2" s="1"/>
  <c r="R59" i="2"/>
  <c r="H49" i="2"/>
  <c r="J49" i="2" s="1"/>
  <c r="R49" i="2"/>
  <c r="H76" i="2"/>
  <c r="J76" i="2" s="1"/>
  <c r="R76" i="2"/>
  <c r="H60" i="2"/>
  <c r="J60" i="2" s="1"/>
  <c r="R60" i="2"/>
  <c r="H52" i="2"/>
  <c r="J52" i="2" s="1"/>
  <c r="R52" i="2"/>
  <c r="H37" i="2"/>
  <c r="J37" i="2" s="1"/>
  <c r="H31" i="2"/>
  <c r="H38" i="2"/>
  <c r="J38" i="2" s="1"/>
  <c r="H62" i="2"/>
  <c r="J62" i="2" s="1"/>
  <c r="H47" i="2"/>
  <c r="J47" i="2" s="1"/>
  <c r="H41" i="2"/>
  <c r="J41" i="2" s="1"/>
  <c r="H64" i="2"/>
  <c r="J64" i="2" s="1"/>
  <c r="H55" i="2"/>
  <c r="J55" i="2" s="1"/>
  <c r="H69" i="2"/>
  <c r="J69" i="2" s="1"/>
  <c r="J36" i="2"/>
  <c r="H95" i="2" l="1"/>
  <c r="J95" i="2" s="1"/>
  <c r="R95" i="2"/>
  <c r="H92" i="2"/>
  <c r="J92" i="2" s="1"/>
  <c r="R92" i="2"/>
  <c r="H93" i="2"/>
  <c r="J93" i="2" s="1"/>
  <c r="R93" i="2"/>
  <c r="H97" i="2"/>
  <c r="J97" i="2" s="1"/>
  <c r="R97" i="2"/>
  <c r="H94" i="2"/>
  <c r="J94" i="2" s="1"/>
  <c r="R94" i="2"/>
  <c r="E105" i="2"/>
  <c r="E107" i="2" s="1"/>
  <c r="H117" i="2"/>
  <c r="J105" i="2" l="1"/>
  <c r="J107" i="2" s="1"/>
  <c r="H105" i="2"/>
  <c r="H107" i="2" s="1"/>
  <c r="R105" i="2"/>
  <c r="R107" i="2" s="1"/>
  <c r="H118" i="2" l="1"/>
  <c r="H119" i="2" s="1"/>
  <c r="C75" i="1" l="1"/>
  <c r="C76" i="1" s="1"/>
  <c r="H113" i="2" l="1"/>
  <c r="H114" i="2" s="1"/>
  <c r="V91" i="2" l="1"/>
  <c r="F33" i="3"/>
  <c r="F32" i="3"/>
  <c r="V36" i="2"/>
  <c r="V65" i="2"/>
  <c r="V95" i="2"/>
  <c r="V90" i="2"/>
  <c r="V66" i="2"/>
  <c r="V44" i="2"/>
  <c r="V39" i="2"/>
  <c r="V71" i="2"/>
  <c r="V52" i="2"/>
  <c r="V15" i="2"/>
  <c r="V16" i="2"/>
  <c r="V14" i="2"/>
  <c r="V37" i="2"/>
  <c r="V69" i="2"/>
  <c r="V99" i="2"/>
  <c r="V38" i="2"/>
  <c r="V70" i="2"/>
  <c r="V56" i="2"/>
  <c r="V43" i="2"/>
  <c r="V75" i="2"/>
  <c r="V68" i="2"/>
  <c r="V19" i="2"/>
  <c r="V24" i="2"/>
  <c r="V22" i="2"/>
  <c r="V58" i="2"/>
  <c r="V18" i="2"/>
  <c r="V41" i="2"/>
  <c r="V73" i="2"/>
  <c r="V103" i="2"/>
  <c r="V42" i="2"/>
  <c r="V74" i="2"/>
  <c r="V80" i="2"/>
  <c r="V47" i="2"/>
  <c r="V79" i="2"/>
  <c r="V86" i="2"/>
  <c r="V23" i="2"/>
  <c r="V26" i="2"/>
  <c r="V48" i="2"/>
  <c r="V25" i="2"/>
  <c r="V45" i="2"/>
  <c r="V77" i="2"/>
  <c r="V102" i="2"/>
  <c r="V46" i="2"/>
  <c r="V78" i="2"/>
  <c r="V98" i="2"/>
  <c r="V51" i="2"/>
  <c r="V82" i="2"/>
  <c r="V40" i="2"/>
  <c r="V27" i="2"/>
  <c r="V13" i="2"/>
  <c r="V92" i="2"/>
  <c r="V76" i="2"/>
  <c r="V93" i="2"/>
  <c r="V49" i="2"/>
  <c r="V81" i="2"/>
  <c r="V96" i="2"/>
  <c r="V50" i="2"/>
  <c r="V84" i="2"/>
  <c r="V101" i="2"/>
  <c r="V55" i="2"/>
  <c r="V85" i="2"/>
  <c r="V60" i="2"/>
  <c r="V20" i="2"/>
  <c r="V17" i="2"/>
  <c r="V57" i="2"/>
  <c r="V63" i="2"/>
  <c r="V53" i="2"/>
  <c r="V104" i="2"/>
  <c r="W104" i="2" s="1"/>
  <c r="V54" i="2"/>
  <c r="V88" i="2"/>
  <c r="V64" i="2"/>
  <c r="V59" i="2"/>
  <c r="V89" i="2"/>
  <c r="V83" i="2"/>
  <c r="V28" i="2"/>
  <c r="V21" i="2"/>
  <c r="V87" i="2"/>
  <c r="V61" i="2"/>
  <c r="V72" i="2"/>
  <c r="V62" i="2"/>
  <c r="V100" i="2"/>
  <c r="V94" i="2"/>
  <c r="V67" i="2"/>
  <c r="V97" i="2"/>
  <c r="V11" i="2"/>
  <c r="V12" i="2"/>
  <c r="V29" i="2"/>
  <c r="V10" i="2"/>
  <c r="K96" i="2"/>
  <c r="L96" i="2" s="1"/>
  <c r="M96" i="2" s="1"/>
  <c r="N96" i="2" s="1"/>
  <c r="K100" i="2"/>
  <c r="L100" i="2" s="1"/>
  <c r="M100" i="2" s="1"/>
  <c r="N100" i="2" s="1"/>
  <c r="K74" i="2"/>
  <c r="L74" i="2" s="1"/>
  <c r="M74" i="2" s="1"/>
  <c r="N74" i="2" s="1"/>
  <c r="K68" i="2"/>
  <c r="L68" i="2" s="1"/>
  <c r="M68" i="2" s="1"/>
  <c r="N68" i="2" s="1"/>
  <c r="K54" i="2"/>
  <c r="L54" i="2" s="1"/>
  <c r="M54" i="2" s="1"/>
  <c r="N54" i="2" s="1"/>
  <c r="K10" i="2"/>
  <c r="K50" i="2"/>
  <c r="L50" i="2" s="1"/>
  <c r="M50" i="2" s="1"/>
  <c r="N50" i="2" s="1"/>
  <c r="W50" i="2" s="1"/>
  <c r="K29" i="2"/>
  <c r="L29" i="2" s="1"/>
  <c r="K26" i="2"/>
  <c r="L26" i="2" s="1"/>
  <c r="M26" i="2" s="1"/>
  <c r="N26" i="2" s="1"/>
  <c r="K15" i="2"/>
  <c r="L15" i="2" s="1"/>
  <c r="M15" i="2" s="1"/>
  <c r="N15" i="2" s="1"/>
  <c r="K23" i="2"/>
  <c r="L23" i="2" s="1"/>
  <c r="K37" i="2"/>
  <c r="L37" i="2" s="1"/>
  <c r="M37" i="2" s="1"/>
  <c r="N37" i="2" s="1"/>
  <c r="K89" i="2"/>
  <c r="L89" i="2" s="1"/>
  <c r="M89" i="2" s="1"/>
  <c r="N89" i="2" s="1"/>
  <c r="K41" i="2"/>
  <c r="L41" i="2" s="1"/>
  <c r="M41" i="2" s="1"/>
  <c r="N41" i="2" s="1"/>
  <c r="K53" i="2"/>
  <c r="L53" i="2" s="1"/>
  <c r="M53" i="2" s="1"/>
  <c r="N53" i="2" s="1"/>
  <c r="K47" i="2"/>
  <c r="L47" i="2" s="1"/>
  <c r="M47" i="2" s="1"/>
  <c r="N47" i="2" s="1"/>
  <c r="K71" i="2"/>
  <c r="L71" i="2" s="1"/>
  <c r="M71" i="2" s="1"/>
  <c r="N71" i="2" s="1"/>
  <c r="K48" i="2"/>
  <c r="L48" i="2" s="1"/>
  <c r="M48" i="2" s="1"/>
  <c r="N48" i="2" s="1"/>
  <c r="K99" i="2"/>
  <c r="L99" i="2" s="1"/>
  <c r="M99" i="2" s="1"/>
  <c r="N99" i="2" s="1"/>
  <c r="K88" i="2"/>
  <c r="L88" i="2" s="1"/>
  <c r="M88" i="2" s="1"/>
  <c r="N88" i="2" s="1"/>
  <c r="K76" i="2"/>
  <c r="L76" i="2" s="1"/>
  <c r="M76" i="2" s="1"/>
  <c r="N76" i="2" s="1"/>
  <c r="K65" i="2"/>
  <c r="L65" i="2" s="1"/>
  <c r="M65" i="2" s="1"/>
  <c r="N65" i="2" s="1"/>
  <c r="K82" i="2"/>
  <c r="L82" i="2" s="1"/>
  <c r="M82" i="2" s="1"/>
  <c r="N82" i="2" s="1"/>
  <c r="K51" i="2"/>
  <c r="L51" i="2" s="1"/>
  <c r="M51" i="2" s="1"/>
  <c r="N51" i="2" s="1"/>
  <c r="M159" i="3"/>
  <c r="F159" i="3" s="1"/>
  <c r="K98" i="2"/>
  <c r="L98" i="2" s="1"/>
  <c r="M98" i="2" s="1"/>
  <c r="N98" i="2" s="1"/>
  <c r="K45" i="2"/>
  <c r="L45" i="2" s="1"/>
  <c r="M45" i="2" s="1"/>
  <c r="N45" i="2" s="1"/>
  <c r="K46" i="2"/>
  <c r="L46" i="2" s="1"/>
  <c r="M46" i="2" s="1"/>
  <c r="N46" i="2" s="1"/>
  <c r="K93" i="2"/>
  <c r="L93" i="2" s="1"/>
  <c r="M93" i="2" s="1"/>
  <c r="N93" i="2" s="1"/>
  <c r="W93" i="2" s="1"/>
  <c r="K24" i="2"/>
  <c r="L24" i="2" s="1"/>
  <c r="M24" i="2" s="1"/>
  <c r="N24" i="2" s="1"/>
  <c r="K22" i="2"/>
  <c r="L22" i="2" s="1"/>
  <c r="M22" i="2" s="1"/>
  <c r="N22" i="2" s="1"/>
  <c r="K36" i="2"/>
  <c r="K78" i="2"/>
  <c r="L78" i="2" s="1"/>
  <c r="M78" i="2" s="1"/>
  <c r="N78" i="2" s="1"/>
  <c r="K77" i="2"/>
  <c r="L77" i="2" s="1"/>
  <c r="M77" i="2" s="1"/>
  <c r="N77" i="2" s="1"/>
  <c r="K102" i="2"/>
  <c r="L102" i="2" s="1"/>
  <c r="M102" i="2" s="1"/>
  <c r="N102" i="2" s="1"/>
  <c r="K59" i="2"/>
  <c r="L59" i="2" s="1"/>
  <c r="M59" i="2" s="1"/>
  <c r="N59" i="2" s="1"/>
  <c r="K28" i="2"/>
  <c r="L28" i="2" s="1"/>
  <c r="M28" i="2" s="1"/>
  <c r="N28" i="2" s="1"/>
  <c r="K43" i="2"/>
  <c r="L43" i="2" s="1"/>
  <c r="M43" i="2" s="1"/>
  <c r="N43" i="2" s="1"/>
  <c r="K97" i="2"/>
  <c r="L97" i="2" s="1"/>
  <c r="M97" i="2" s="1"/>
  <c r="N97" i="2" s="1"/>
  <c r="K44" i="2"/>
  <c r="L44" i="2" s="1"/>
  <c r="M44" i="2" s="1"/>
  <c r="N44" i="2" s="1"/>
  <c r="K75" i="2"/>
  <c r="L75" i="2" s="1"/>
  <c r="M75" i="2" s="1"/>
  <c r="N75" i="2" s="1"/>
  <c r="K21" i="2"/>
  <c r="L21" i="2" s="1"/>
  <c r="M21" i="2" s="1"/>
  <c r="N21" i="2" s="1"/>
  <c r="K92" i="2"/>
  <c r="L92" i="2" s="1"/>
  <c r="M92" i="2" s="1"/>
  <c r="N92" i="2" s="1"/>
  <c r="K83" i="2"/>
  <c r="L83" i="2" s="1"/>
  <c r="M83" i="2" s="1"/>
  <c r="N83" i="2" s="1"/>
  <c r="K39" i="2"/>
  <c r="L39" i="2" s="1"/>
  <c r="M39" i="2" s="1"/>
  <c r="N39" i="2" s="1"/>
  <c r="K11" i="2"/>
  <c r="L11" i="2" s="1"/>
  <c r="M11" i="2" s="1"/>
  <c r="N11" i="2" s="1"/>
  <c r="K90" i="2"/>
  <c r="L90" i="2" s="1"/>
  <c r="M90" i="2" s="1"/>
  <c r="N90" i="2" s="1"/>
  <c r="K13" i="2"/>
  <c r="L13" i="2" s="1"/>
  <c r="M13" i="2" s="1"/>
  <c r="N13" i="2" s="1"/>
  <c r="K91" i="2"/>
  <c r="L91" i="2" s="1"/>
  <c r="M91" i="2" s="1"/>
  <c r="N91" i="2" s="1"/>
  <c r="K62" i="2"/>
  <c r="L62" i="2" s="1"/>
  <c r="M62" i="2" s="1"/>
  <c r="N62" i="2" s="1"/>
  <c r="K38" i="2"/>
  <c r="L38" i="2" s="1"/>
  <c r="M38" i="2" s="1"/>
  <c r="N38" i="2" s="1"/>
  <c r="K60" i="2"/>
  <c r="L60" i="2" s="1"/>
  <c r="M60" i="2" s="1"/>
  <c r="N60" i="2" s="1"/>
  <c r="K66" i="2"/>
  <c r="L66" i="2" s="1"/>
  <c r="M66" i="2" s="1"/>
  <c r="N66" i="2" s="1"/>
  <c r="K70" i="2"/>
  <c r="L70" i="2" s="1"/>
  <c r="M70" i="2" s="1"/>
  <c r="N70" i="2" s="1"/>
  <c r="W70" i="2" s="1"/>
  <c r="K72" i="2"/>
  <c r="L72" i="2" s="1"/>
  <c r="M72" i="2" s="1"/>
  <c r="N72" i="2" s="1"/>
  <c r="K84" i="2"/>
  <c r="L84" i="2" s="1"/>
  <c r="M84" i="2" s="1"/>
  <c r="N84" i="2" s="1"/>
  <c r="K69" i="2"/>
  <c r="L69" i="2" s="1"/>
  <c r="M69" i="2" s="1"/>
  <c r="N69" i="2" s="1"/>
  <c r="K94" i="2"/>
  <c r="L94" i="2" s="1"/>
  <c r="M94" i="2" s="1"/>
  <c r="N94" i="2" s="1"/>
  <c r="K103" i="2"/>
  <c r="L103" i="2" s="1"/>
  <c r="M103" i="2" s="1"/>
  <c r="N103" i="2" s="1"/>
  <c r="K95" i="2"/>
  <c r="L95" i="2" s="1"/>
  <c r="M95" i="2" s="1"/>
  <c r="N95" i="2" s="1"/>
  <c r="K25" i="2"/>
  <c r="L25" i="2" s="1"/>
  <c r="M25" i="2" s="1"/>
  <c r="N25" i="2" s="1"/>
  <c r="K56" i="2"/>
  <c r="L56" i="2" s="1"/>
  <c r="M56" i="2" s="1"/>
  <c r="N56" i="2" s="1"/>
  <c r="K42" i="2"/>
  <c r="L42" i="2" s="1"/>
  <c r="M42" i="2" s="1"/>
  <c r="N42" i="2" s="1"/>
  <c r="K16" i="2"/>
  <c r="L16" i="2" s="1"/>
  <c r="M16" i="2" s="1"/>
  <c r="N16" i="2" s="1"/>
  <c r="K57" i="2"/>
  <c r="L57" i="2" s="1"/>
  <c r="M57" i="2" s="1"/>
  <c r="N57" i="2" s="1"/>
  <c r="K19" i="2"/>
  <c r="L19" i="2" s="1"/>
  <c r="M19" i="2" s="1"/>
  <c r="N19" i="2" s="1"/>
  <c r="K20" i="2"/>
  <c r="L20" i="2" s="1"/>
  <c r="M20" i="2" s="1"/>
  <c r="N20" i="2" s="1"/>
  <c r="K73" i="2"/>
  <c r="L73" i="2" s="1"/>
  <c r="M73" i="2" s="1"/>
  <c r="N73" i="2" s="1"/>
  <c r="K61" i="2"/>
  <c r="L61" i="2" s="1"/>
  <c r="M61" i="2" s="1"/>
  <c r="N61" i="2" s="1"/>
  <c r="K12" i="2"/>
  <c r="L12" i="2" s="1"/>
  <c r="M12" i="2" s="1"/>
  <c r="N12" i="2" s="1"/>
  <c r="W12" i="2" s="1"/>
  <c r="K85" i="2"/>
  <c r="L85" i="2" s="1"/>
  <c r="M85" i="2" s="1"/>
  <c r="N85" i="2" s="1"/>
  <c r="K18" i="2"/>
  <c r="L18" i="2" s="1"/>
  <c r="M18" i="2" s="1"/>
  <c r="N18" i="2" s="1"/>
  <c r="K14" i="2"/>
  <c r="L14" i="2" s="1"/>
  <c r="M14" i="2" s="1"/>
  <c r="N14" i="2" s="1"/>
  <c r="K80" i="2"/>
  <c r="L80" i="2" s="1"/>
  <c r="M80" i="2" s="1"/>
  <c r="N80" i="2" s="1"/>
  <c r="K79" i="2"/>
  <c r="L79" i="2" s="1"/>
  <c r="M79" i="2" s="1"/>
  <c r="N79" i="2" s="1"/>
  <c r="K64" i="2"/>
  <c r="L64" i="2" s="1"/>
  <c r="M64" i="2" s="1"/>
  <c r="N64" i="2" s="1"/>
  <c r="K49" i="2"/>
  <c r="L49" i="2" s="1"/>
  <c r="M49" i="2" s="1"/>
  <c r="N49" i="2" s="1"/>
  <c r="K55" i="2"/>
  <c r="L55" i="2" s="1"/>
  <c r="M55" i="2" s="1"/>
  <c r="N55" i="2" s="1"/>
  <c r="K86" i="2"/>
  <c r="L86" i="2" s="1"/>
  <c r="M86" i="2" s="1"/>
  <c r="N86" i="2" s="1"/>
  <c r="K40" i="2"/>
  <c r="L40" i="2" s="1"/>
  <c r="M40" i="2" s="1"/>
  <c r="N40" i="2" s="1"/>
  <c r="K52" i="2"/>
  <c r="L52" i="2" s="1"/>
  <c r="M52" i="2" s="1"/>
  <c r="N52" i="2" s="1"/>
  <c r="W52" i="2" s="1"/>
  <c r="K67" i="2"/>
  <c r="L67" i="2" s="1"/>
  <c r="M67" i="2" s="1"/>
  <c r="N67" i="2" s="1"/>
  <c r="K101" i="2"/>
  <c r="L101" i="2" s="1"/>
  <c r="M101" i="2" s="1"/>
  <c r="N101" i="2" s="1"/>
  <c r="K27" i="2"/>
  <c r="L27" i="2" s="1"/>
  <c r="M27" i="2" s="1"/>
  <c r="N27" i="2" s="1"/>
  <c r="K63" i="2"/>
  <c r="L63" i="2" s="1"/>
  <c r="M63" i="2" s="1"/>
  <c r="N63" i="2" s="1"/>
  <c r="K87" i="2"/>
  <c r="L87" i="2" s="1"/>
  <c r="M87" i="2" s="1"/>
  <c r="N87" i="2" s="1"/>
  <c r="K81" i="2"/>
  <c r="L81" i="2" s="1"/>
  <c r="M81" i="2" s="1"/>
  <c r="N81" i="2" s="1"/>
  <c r="K58" i="2"/>
  <c r="L58" i="2" s="1"/>
  <c r="M58" i="2" s="1"/>
  <c r="N58" i="2" s="1"/>
  <c r="W58" i="2" s="1"/>
  <c r="K17" i="2"/>
  <c r="L17" i="2" s="1"/>
  <c r="M17" i="2" s="1"/>
  <c r="N17" i="2" s="1"/>
  <c r="W91" i="2" l="1"/>
  <c r="W67" i="2"/>
  <c r="W86" i="2"/>
  <c r="W43" i="2"/>
  <c r="W53" i="2"/>
  <c r="W41" i="2"/>
  <c r="W85" i="2"/>
  <c r="F45" i="3"/>
  <c r="H32" i="3"/>
  <c r="J32" i="3"/>
  <c r="F46" i="3"/>
  <c r="H33" i="3"/>
  <c r="J33" i="3"/>
  <c r="W57" i="2"/>
  <c r="W77" i="2"/>
  <c r="W28" i="2"/>
  <c r="W55" i="2"/>
  <c r="W14" i="2"/>
  <c r="W75" i="2"/>
  <c r="W47" i="2"/>
  <c r="W56" i="2"/>
  <c r="W89" i="2"/>
  <c r="W27" i="2"/>
  <c r="W42" i="2"/>
  <c r="W65" i="2"/>
  <c r="W79" i="2"/>
  <c r="W87" i="2"/>
  <c r="W66" i="2"/>
  <c r="W90" i="2"/>
  <c r="W97" i="2"/>
  <c r="W63" i="2"/>
  <c r="W73" i="2"/>
  <c r="W83" i="2"/>
  <c r="W76" i="2"/>
  <c r="W94" i="2"/>
  <c r="W21" i="2"/>
  <c r="W102" i="2"/>
  <c r="W18" i="2"/>
  <c r="W84" i="2"/>
  <c r="W13" i="2"/>
  <c r="W78" i="2"/>
  <c r="W51" i="2"/>
  <c r="W95" i="2"/>
  <c r="W101" i="2"/>
  <c r="W92" i="2"/>
  <c r="W46" i="2"/>
  <c r="W16" i="2"/>
  <c r="W103" i="2"/>
  <c r="W37" i="2"/>
  <c r="W60" i="2"/>
  <c r="W19" i="2"/>
  <c r="W69" i="2"/>
  <c r="W98" i="2"/>
  <c r="W48" i="2"/>
  <c r="W44" i="2"/>
  <c r="W26" i="2"/>
  <c r="W72" i="2"/>
  <c r="W64" i="2"/>
  <c r="W20" i="2"/>
  <c r="W59" i="2"/>
  <c r="W38" i="2"/>
  <c r="W80" i="2"/>
  <c r="W62" i="2"/>
  <c r="W45" i="2"/>
  <c r="W17" i="2"/>
  <c r="W40" i="2"/>
  <c r="W71" i="2"/>
  <c r="W24" i="2"/>
  <c r="W88" i="2"/>
  <c r="W99" i="2"/>
  <c r="W81" i="2"/>
  <c r="W11" i="2"/>
  <c r="W61" i="2"/>
  <c r="W25" i="2"/>
  <c r="W39" i="2"/>
  <c r="W82" i="2"/>
  <c r="P49" i="2"/>
  <c r="S49" i="2" s="1"/>
  <c r="T49" i="2" s="1"/>
  <c r="W49" i="2"/>
  <c r="P54" i="2"/>
  <c r="S54" i="2" s="1"/>
  <c r="T54" i="2" s="1"/>
  <c r="W54" i="2"/>
  <c r="P68" i="2"/>
  <c r="S68" i="2" s="1"/>
  <c r="T68" i="2" s="1"/>
  <c r="W68" i="2"/>
  <c r="P74" i="2"/>
  <c r="S74" i="2" s="1"/>
  <c r="T74" i="2" s="1"/>
  <c r="W74" i="2"/>
  <c r="P100" i="2"/>
  <c r="S100" i="2" s="1"/>
  <c r="T100" i="2" s="1"/>
  <c r="W100" i="2"/>
  <c r="P96" i="2"/>
  <c r="S96" i="2" s="1"/>
  <c r="T96" i="2" s="1"/>
  <c r="W96" i="2"/>
  <c r="F21" i="3"/>
  <c r="W22" i="2"/>
  <c r="P15" i="2"/>
  <c r="S15" i="2" s="1"/>
  <c r="T15" i="2" s="1"/>
  <c r="W15" i="2"/>
  <c r="P50" i="2"/>
  <c r="S50" i="2" s="1"/>
  <c r="T50" i="2" s="1"/>
  <c r="M29" i="2"/>
  <c r="N29" i="2" s="1"/>
  <c r="W29" i="2" s="1"/>
  <c r="P26" i="2"/>
  <c r="M23" i="2"/>
  <c r="N23" i="2" s="1"/>
  <c r="F105" i="3"/>
  <c r="H105" i="3" s="1"/>
  <c r="Q87" i="2" s="1"/>
  <c r="F119" i="3"/>
  <c r="F128" i="3"/>
  <c r="P63" i="2"/>
  <c r="F88" i="3"/>
  <c r="F160" i="3"/>
  <c r="P77" i="2"/>
  <c r="P55" i="2"/>
  <c r="F25" i="3"/>
  <c r="F30" i="3" s="1"/>
  <c r="P12" i="2"/>
  <c r="S12" i="2" s="1"/>
  <c r="T12" i="2" s="1"/>
  <c r="P56" i="2"/>
  <c r="F118" i="3"/>
  <c r="F127" i="3"/>
  <c r="F87" i="3"/>
  <c r="H87" i="3" s="1"/>
  <c r="P66" i="2"/>
  <c r="F24" i="3"/>
  <c r="P13" i="2"/>
  <c r="S13" i="2" s="1"/>
  <c r="T13" i="2" s="1"/>
  <c r="P21" i="2"/>
  <c r="F20" i="3"/>
  <c r="P102" i="2"/>
  <c r="F63" i="3"/>
  <c r="P46" i="2"/>
  <c r="S46" i="2" s="1"/>
  <c r="T46" i="2" s="1"/>
  <c r="P47" i="2"/>
  <c r="S47" i="2" s="1"/>
  <c r="T47" i="2" s="1"/>
  <c r="F166" i="3"/>
  <c r="P82" i="2"/>
  <c r="P17" i="2"/>
  <c r="F16" i="3"/>
  <c r="P27" i="2"/>
  <c r="F9" i="3"/>
  <c r="P64" i="2"/>
  <c r="P73" i="2"/>
  <c r="P95" i="2"/>
  <c r="P38" i="2"/>
  <c r="S38" i="2" s="1"/>
  <c r="T38" i="2" s="1"/>
  <c r="P44" i="2"/>
  <c r="S44" i="2" s="1"/>
  <c r="T44" i="2" s="1"/>
  <c r="F93" i="3"/>
  <c r="P78" i="2"/>
  <c r="P98" i="2"/>
  <c r="F129" i="3"/>
  <c r="F120" i="3"/>
  <c r="P65" i="2"/>
  <c r="F89" i="3"/>
  <c r="H89" i="3" s="1"/>
  <c r="P41" i="2"/>
  <c r="S41" i="2" s="1"/>
  <c r="T41" i="2" s="1"/>
  <c r="P75" i="2"/>
  <c r="F90" i="3"/>
  <c r="H90" i="3" s="1"/>
  <c r="P45" i="2"/>
  <c r="S45" i="2" s="1"/>
  <c r="T45" i="2" s="1"/>
  <c r="P58" i="2"/>
  <c r="P101" i="2"/>
  <c r="F19" i="3"/>
  <c r="P20" i="2"/>
  <c r="P84" i="2"/>
  <c r="F99" i="3"/>
  <c r="P62" i="2"/>
  <c r="F108" i="3"/>
  <c r="P90" i="2"/>
  <c r="P97" i="2"/>
  <c r="F172" i="3"/>
  <c r="F158" i="3"/>
  <c r="F164" i="3" s="1"/>
  <c r="P76" i="2"/>
  <c r="P89" i="2"/>
  <c r="F107" i="3"/>
  <c r="P67" i="2"/>
  <c r="P80" i="2"/>
  <c r="F95" i="3"/>
  <c r="P19" i="2"/>
  <c r="F18" i="3"/>
  <c r="F64" i="3"/>
  <c r="P103" i="2"/>
  <c r="P72" i="2"/>
  <c r="P11" i="2"/>
  <c r="S11" i="2" s="1"/>
  <c r="T11" i="2" s="1"/>
  <c r="F12" i="3"/>
  <c r="P43" i="2"/>
  <c r="S43" i="2" s="1"/>
  <c r="T43" i="2" s="1"/>
  <c r="K105" i="2"/>
  <c r="L36" i="2"/>
  <c r="P88" i="2"/>
  <c r="F106" i="3"/>
  <c r="P37" i="2"/>
  <c r="S37" i="2" s="1"/>
  <c r="T37" i="2" s="1"/>
  <c r="P60" i="2"/>
  <c r="P53" i="2"/>
  <c r="P87" i="2"/>
  <c r="P52" i="2"/>
  <c r="F14" i="3"/>
  <c r="P14" i="2"/>
  <c r="P57" i="2"/>
  <c r="P94" i="2"/>
  <c r="F115" i="3"/>
  <c r="F124" i="3"/>
  <c r="F84" i="3"/>
  <c r="H84" i="3" s="1"/>
  <c r="P39" i="2"/>
  <c r="S39" i="2" s="1"/>
  <c r="T39" i="2" s="1"/>
  <c r="P28" i="2"/>
  <c r="P22" i="2"/>
  <c r="P99" i="2"/>
  <c r="P61" i="2"/>
  <c r="K31" i="2"/>
  <c r="I117" i="2" s="1"/>
  <c r="L10" i="2"/>
  <c r="P40" i="2"/>
  <c r="S40" i="2" s="1"/>
  <c r="T40" i="2" s="1"/>
  <c r="P18" i="2"/>
  <c r="F17" i="3"/>
  <c r="F15" i="3"/>
  <c r="P16" i="2"/>
  <c r="P69" i="2"/>
  <c r="P91" i="2"/>
  <c r="F97" i="3"/>
  <c r="P83" i="2"/>
  <c r="P59" i="2"/>
  <c r="P24" i="2"/>
  <c r="F36" i="3"/>
  <c r="P51" i="2"/>
  <c r="P48" i="2"/>
  <c r="S48" i="2" s="1"/>
  <c r="T48" i="2" s="1"/>
  <c r="F117" i="3"/>
  <c r="F126" i="3"/>
  <c r="F86" i="3"/>
  <c r="H86" i="3" s="1"/>
  <c r="F41" i="3"/>
  <c r="P25" i="2"/>
  <c r="P81" i="2"/>
  <c r="F96" i="3"/>
  <c r="P86" i="2"/>
  <c r="F104" i="3"/>
  <c r="F94" i="3"/>
  <c r="P79" i="2"/>
  <c r="F100" i="3"/>
  <c r="F111" i="3" s="1"/>
  <c r="P85" i="2"/>
  <c r="F85" i="3"/>
  <c r="H85" i="3" s="1"/>
  <c r="F116" i="3"/>
  <c r="F125" i="3"/>
  <c r="P42" i="2"/>
  <c r="S42" i="2" s="1"/>
  <c r="T42" i="2" s="1"/>
  <c r="F130" i="3"/>
  <c r="F121" i="3"/>
  <c r="P70" i="2"/>
  <c r="P92" i="2"/>
  <c r="F133" i="3"/>
  <c r="F135" i="3" s="1"/>
  <c r="F142" i="3" s="1"/>
  <c r="F150" i="3" s="1"/>
  <c r="P93" i="2"/>
  <c r="P71" i="2"/>
  <c r="F29" i="3" l="1"/>
  <c r="F44" i="3" s="1"/>
  <c r="H44" i="3" s="1"/>
  <c r="F23" i="3"/>
  <c r="H150" i="3"/>
  <c r="J150" i="3"/>
  <c r="J142" i="3"/>
  <c r="H142" i="3"/>
  <c r="H46" i="3"/>
  <c r="J46" i="3"/>
  <c r="H45" i="3"/>
  <c r="J45" i="3"/>
  <c r="J135" i="3"/>
  <c r="H135" i="3"/>
  <c r="H88" i="3"/>
  <c r="F98" i="3"/>
  <c r="F109" i="3" s="1"/>
  <c r="J44" i="3"/>
  <c r="F31" i="3"/>
  <c r="J31" i="3" s="1"/>
  <c r="F28" i="3"/>
  <c r="H28" i="3" s="1"/>
  <c r="F43" i="3"/>
  <c r="F134" i="3" s="1"/>
  <c r="F141" i="3" s="1"/>
  <c r="F149" i="3" s="1"/>
  <c r="J30" i="3"/>
  <c r="H30" i="3"/>
  <c r="F22" i="3"/>
  <c r="W23" i="2"/>
  <c r="K107" i="2"/>
  <c r="S70" i="2"/>
  <c r="T70" i="2" s="1"/>
  <c r="S91" i="2"/>
  <c r="T91" i="2" s="1"/>
  <c r="S76" i="2"/>
  <c r="T76" i="2" s="1"/>
  <c r="S82" i="2"/>
  <c r="T82" i="2" s="1"/>
  <c r="S102" i="2"/>
  <c r="T102" i="2" s="1"/>
  <c r="S87" i="2"/>
  <c r="T87" i="2" s="1"/>
  <c r="U87" i="2"/>
  <c r="S85" i="2"/>
  <c r="T85" i="2" s="1"/>
  <c r="S86" i="2"/>
  <c r="T86" i="2" s="1"/>
  <c r="S72" i="2"/>
  <c r="T72" i="2" s="1"/>
  <c r="S84" i="2"/>
  <c r="T84" i="2" s="1"/>
  <c r="S75" i="2"/>
  <c r="T75" i="2" s="1"/>
  <c r="S94" i="2"/>
  <c r="T94" i="2" s="1"/>
  <c r="S73" i="2"/>
  <c r="T73" i="2" s="1"/>
  <c r="S69" i="2"/>
  <c r="T69" i="2" s="1"/>
  <c r="S80" i="2"/>
  <c r="T80" i="2" s="1"/>
  <c r="S97" i="2"/>
  <c r="T97" i="2" s="1"/>
  <c r="S101" i="2"/>
  <c r="T101" i="2" s="1"/>
  <c r="S98" i="2"/>
  <c r="T98" i="2" s="1"/>
  <c r="S89" i="2"/>
  <c r="T89" i="2" s="1"/>
  <c r="S93" i="2"/>
  <c r="T93" i="2" s="1"/>
  <c r="S81" i="2"/>
  <c r="T81" i="2" s="1"/>
  <c r="S103" i="2"/>
  <c r="T103" i="2" s="1"/>
  <c r="S95" i="2"/>
  <c r="T95" i="2" s="1"/>
  <c r="S79" i="2"/>
  <c r="T79" i="2" s="1"/>
  <c r="S99" i="2"/>
  <c r="T99" i="2" s="1"/>
  <c r="S90" i="2"/>
  <c r="T90" i="2" s="1"/>
  <c r="S78" i="2"/>
  <c r="T78" i="2" s="1"/>
  <c r="S83" i="2"/>
  <c r="T83" i="2" s="1"/>
  <c r="S88" i="2"/>
  <c r="T88" i="2" s="1"/>
  <c r="S71" i="2"/>
  <c r="T71" i="2" s="1"/>
  <c r="S92" i="2"/>
  <c r="T92" i="2" s="1"/>
  <c r="S77" i="2"/>
  <c r="T77" i="2" s="1"/>
  <c r="S57" i="2"/>
  <c r="T57" i="2" s="1"/>
  <c r="S53" i="2"/>
  <c r="T53" i="2" s="1"/>
  <c r="S64" i="2"/>
  <c r="T64" i="2" s="1"/>
  <c r="S66" i="2"/>
  <c r="T66" i="2" s="1"/>
  <c r="S61" i="2"/>
  <c r="T61" i="2" s="1"/>
  <c r="S60" i="2"/>
  <c r="T60" i="2" s="1"/>
  <c r="S63" i="2"/>
  <c r="T63" i="2" s="1"/>
  <c r="S62" i="2"/>
  <c r="T62" i="2" s="1"/>
  <c r="S59" i="2"/>
  <c r="T59" i="2" s="1"/>
  <c r="S67" i="2"/>
  <c r="T67" i="2" s="1"/>
  <c r="S58" i="2"/>
  <c r="T58" i="2" s="1"/>
  <c r="S55" i="2"/>
  <c r="T55" i="2" s="1"/>
  <c r="S56" i="2"/>
  <c r="T56" i="2" s="1"/>
  <c r="S51" i="2"/>
  <c r="T51" i="2" s="1"/>
  <c r="S52" i="2"/>
  <c r="T52" i="2" s="1"/>
  <c r="S65" i="2"/>
  <c r="T65" i="2" s="1"/>
  <c r="S24" i="2"/>
  <c r="T24" i="2" s="1"/>
  <c r="S14" i="2"/>
  <c r="T14" i="2" s="1"/>
  <c r="S16" i="2"/>
  <c r="T16" i="2" s="1"/>
  <c r="S27" i="2"/>
  <c r="T27" i="2" s="1"/>
  <c r="S21" i="2"/>
  <c r="T21" i="2" s="1"/>
  <c r="S25" i="2"/>
  <c r="T25" i="2" s="1"/>
  <c r="S22" i="2"/>
  <c r="T22" i="2" s="1"/>
  <c r="S20" i="2"/>
  <c r="T20" i="2" s="1"/>
  <c r="S18" i="2"/>
  <c r="T18" i="2" s="1"/>
  <c r="S28" i="2"/>
  <c r="T28" i="2" s="1"/>
  <c r="S19" i="2"/>
  <c r="T19" i="2" s="1"/>
  <c r="S17" i="2"/>
  <c r="T17" i="2" s="1"/>
  <c r="P29" i="2"/>
  <c r="S29" i="2" s="1"/>
  <c r="T29" i="2" s="1"/>
  <c r="S26" i="2"/>
  <c r="T26" i="2" s="1"/>
  <c r="P23" i="2"/>
  <c r="J105" i="3"/>
  <c r="H116" i="3"/>
  <c r="J116" i="3"/>
  <c r="H94" i="3"/>
  <c r="Q79" i="2" s="1"/>
  <c r="U79" i="2" s="1"/>
  <c r="J94" i="3"/>
  <c r="H97" i="3"/>
  <c r="Q83" i="2" s="1"/>
  <c r="U83" i="2" s="1"/>
  <c r="J97" i="3"/>
  <c r="H17" i="3"/>
  <c r="Q18" i="2" s="1"/>
  <c r="U18" i="2" s="1"/>
  <c r="J17" i="3"/>
  <c r="J21" i="3"/>
  <c r="H21" i="3"/>
  <c r="Q22" i="2" s="1"/>
  <c r="U22" i="2" s="1"/>
  <c r="H115" i="3"/>
  <c r="J115" i="3"/>
  <c r="F37" i="3"/>
  <c r="H12" i="3"/>
  <c r="J12" i="3"/>
  <c r="H18" i="3"/>
  <c r="Q19" i="2" s="1"/>
  <c r="U19" i="2" s="1"/>
  <c r="J18" i="3"/>
  <c r="H98" i="3"/>
  <c r="H108" i="3"/>
  <c r="Q90" i="2" s="1"/>
  <c r="U90" i="2" s="1"/>
  <c r="J108" i="3"/>
  <c r="H164" i="3"/>
  <c r="J164" i="3"/>
  <c r="Q68" i="2"/>
  <c r="U68" i="2" s="1"/>
  <c r="J89" i="3"/>
  <c r="J93" i="3"/>
  <c r="H93" i="3"/>
  <c r="Q78" i="2" s="1"/>
  <c r="U78" i="2" s="1"/>
  <c r="J85" i="3"/>
  <c r="H104" i="3"/>
  <c r="Q86" i="2" s="1"/>
  <c r="U86" i="2" s="1"/>
  <c r="J104" i="3"/>
  <c r="H41" i="3"/>
  <c r="J41" i="3"/>
  <c r="L31" i="2"/>
  <c r="M10" i="2"/>
  <c r="H106" i="3"/>
  <c r="Q88" i="2" s="1"/>
  <c r="U88" i="2" s="1"/>
  <c r="J106" i="3"/>
  <c r="H107" i="3"/>
  <c r="Q89" i="2" s="1"/>
  <c r="U89" i="2" s="1"/>
  <c r="J107" i="3"/>
  <c r="H16" i="3"/>
  <c r="J16" i="3"/>
  <c r="H118" i="3"/>
  <c r="J118" i="3"/>
  <c r="J86" i="3"/>
  <c r="H36" i="3"/>
  <c r="Q24" i="2" s="1"/>
  <c r="U24" i="2" s="1"/>
  <c r="J36" i="3"/>
  <c r="J159" i="3"/>
  <c r="H159" i="3"/>
  <c r="F165" i="3"/>
  <c r="H120" i="3"/>
  <c r="J120" i="3"/>
  <c r="J63" i="3"/>
  <c r="F50" i="3"/>
  <c r="F51" i="3"/>
  <c r="F49" i="3"/>
  <c r="H63" i="3"/>
  <c r="Q102" i="2" s="1"/>
  <c r="U102" i="2" s="1"/>
  <c r="H24" i="3"/>
  <c r="J24" i="3"/>
  <c r="J160" i="3"/>
  <c r="F173" i="3"/>
  <c r="F178" i="3"/>
  <c r="F181" i="3"/>
  <c r="H160" i="3"/>
  <c r="Q77" i="2" s="1"/>
  <c r="U77" i="2" s="1"/>
  <c r="H96" i="3"/>
  <c r="Q81" i="2" s="1"/>
  <c r="U81" i="2" s="1"/>
  <c r="J96" i="3"/>
  <c r="H126" i="3"/>
  <c r="J126" i="3"/>
  <c r="J99" i="3"/>
  <c r="H99" i="3"/>
  <c r="Q84" i="2" s="1"/>
  <c r="U84" i="2" s="1"/>
  <c r="F110" i="3"/>
  <c r="H19" i="3"/>
  <c r="Q20" i="2" s="1"/>
  <c r="U20" i="2" s="1"/>
  <c r="J19" i="3"/>
  <c r="Q74" i="2"/>
  <c r="U74" i="2" s="1"/>
  <c r="J90" i="3"/>
  <c r="H129" i="3"/>
  <c r="J129" i="3"/>
  <c r="H121" i="3"/>
  <c r="J121" i="3"/>
  <c r="H117" i="3"/>
  <c r="J117" i="3"/>
  <c r="H111" i="3"/>
  <c r="J111" i="3"/>
  <c r="H95" i="3"/>
  <c r="Q80" i="2" s="1"/>
  <c r="U80" i="2" s="1"/>
  <c r="J95" i="3"/>
  <c r="J88" i="3"/>
  <c r="H130" i="3"/>
  <c r="J130" i="3"/>
  <c r="H100" i="3"/>
  <c r="Q85" i="2" s="1"/>
  <c r="U85" i="2" s="1"/>
  <c r="J100" i="3"/>
  <c r="J84" i="3"/>
  <c r="I118" i="2"/>
  <c r="H158" i="3"/>
  <c r="Q76" i="2" s="1"/>
  <c r="U76" i="2" s="1"/>
  <c r="F161" i="3"/>
  <c r="J158" i="3"/>
  <c r="F171" i="3"/>
  <c r="F38" i="3"/>
  <c r="J9" i="3"/>
  <c r="H9" i="3"/>
  <c r="F40" i="3"/>
  <c r="F39" i="3"/>
  <c r="J166" i="3"/>
  <c r="H166" i="3"/>
  <c r="Q82" i="2" s="1"/>
  <c r="U82" i="2" s="1"/>
  <c r="H20" i="3"/>
  <c r="J20" i="3"/>
  <c r="H25" i="3"/>
  <c r="J25" i="3"/>
  <c r="M36" i="2"/>
  <c r="L105" i="2"/>
  <c r="H124" i="3"/>
  <c r="J124" i="3"/>
  <c r="J87" i="3"/>
  <c r="H128" i="3"/>
  <c r="J128" i="3"/>
  <c r="J133" i="3"/>
  <c r="H133" i="3"/>
  <c r="F140" i="3"/>
  <c r="F146" i="3"/>
  <c r="F148" i="3"/>
  <c r="H125" i="3"/>
  <c r="J125" i="3"/>
  <c r="H15" i="3"/>
  <c r="J15" i="3"/>
  <c r="J14" i="3"/>
  <c r="H14" i="3"/>
  <c r="H64" i="3"/>
  <c r="Q103" i="2" s="1"/>
  <c r="U103" i="2" s="1"/>
  <c r="J64" i="3"/>
  <c r="H127" i="3"/>
  <c r="J127" i="3"/>
  <c r="H119" i="3"/>
  <c r="J119" i="3"/>
  <c r="H29" i="3" l="1"/>
  <c r="J29" i="3"/>
  <c r="J98" i="3"/>
  <c r="H149" i="3"/>
  <c r="J149" i="3"/>
  <c r="H141" i="3"/>
  <c r="H143" i="3" s="1"/>
  <c r="H144" i="3" s="1"/>
  <c r="J141" i="3"/>
  <c r="J143" i="3" s="1"/>
  <c r="J144" i="3" s="1"/>
  <c r="H31" i="3"/>
  <c r="J134" i="3"/>
  <c r="J136" i="3" s="1"/>
  <c r="J137" i="3" s="1"/>
  <c r="H134" i="3"/>
  <c r="H136" i="3" s="1"/>
  <c r="H137" i="3" s="1"/>
  <c r="J43" i="3"/>
  <c r="H43" i="3"/>
  <c r="J28" i="3"/>
  <c r="Q21" i="2"/>
  <c r="U21" i="2" s="1"/>
  <c r="Q12" i="2"/>
  <c r="U12" i="2" s="1"/>
  <c r="Q13" i="2"/>
  <c r="Q17" i="2"/>
  <c r="U17" i="2" s="1"/>
  <c r="Q11" i="2"/>
  <c r="U11" i="2" s="1"/>
  <c r="Q96" i="2"/>
  <c r="U96" i="2" s="1"/>
  <c r="Q100" i="2"/>
  <c r="U100" i="2" s="1"/>
  <c r="Q50" i="2"/>
  <c r="U50" i="2" s="1"/>
  <c r="Q54" i="2"/>
  <c r="U54" i="2" s="1"/>
  <c r="S23" i="2"/>
  <c r="T23" i="2" s="1"/>
  <c r="Q25" i="2"/>
  <c r="U25" i="2" s="1"/>
  <c r="Q26" i="2"/>
  <c r="U26" i="2" s="1"/>
  <c r="L107" i="2"/>
  <c r="Q14" i="2"/>
  <c r="U14" i="2" s="1"/>
  <c r="Q15" i="2"/>
  <c r="U15" i="2" s="1"/>
  <c r="Q16" i="2"/>
  <c r="U16" i="2" s="1"/>
  <c r="Q40" i="2"/>
  <c r="U40" i="2" s="1"/>
  <c r="Q41" i="2"/>
  <c r="U41" i="2" s="1"/>
  <c r="Q39" i="2"/>
  <c r="U39" i="2" s="1"/>
  <c r="H171" i="3"/>
  <c r="J171" i="3"/>
  <c r="H38" i="3"/>
  <c r="J38" i="3"/>
  <c r="Q73" i="2"/>
  <c r="U73" i="2" s="1"/>
  <c r="Q71" i="2"/>
  <c r="U71" i="2" s="1"/>
  <c r="Q75" i="2"/>
  <c r="U75" i="2" s="1"/>
  <c r="Q70" i="2"/>
  <c r="U70" i="2" s="1"/>
  <c r="Q72" i="2"/>
  <c r="U72" i="2" s="1"/>
  <c r="J172" i="3"/>
  <c r="H172" i="3"/>
  <c r="Q55" i="2"/>
  <c r="U55" i="2" s="1"/>
  <c r="Q49" i="2"/>
  <c r="U49" i="2" s="1"/>
  <c r="Q51" i="2"/>
  <c r="U51" i="2" s="1"/>
  <c r="Q53" i="2"/>
  <c r="U53" i="2" s="1"/>
  <c r="Q52" i="2"/>
  <c r="U52" i="2" s="1"/>
  <c r="Q48" i="2"/>
  <c r="U48" i="2" s="1"/>
  <c r="Q45" i="2"/>
  <c r="U45" i="2" s="1"/>
  <c r="Q47" i="2"/>
  <c r="U47" i="2" s="1"/>
  <c r="Q46" i="2"/>
  <c r="U46" i="2" s="1"/>
  <c r="Q42" i="2"/>
  <c r="U42" i="2" s="1"/>
  <c r="Q44" i="2"/>
  <c r="U44" i="2" s="1"/>
  <c r="Q43" i="2"/>
  <c r="U43" i="2" s="1"/>
  <c r="J37" i="3"/>
  <c r="H37" i="3"/>
  <c r="H39" i="3"/>
  <c r="J39" i="3"/>
  <c r="F167" i="3"/>
  <c r="F174" i="3"/>
  <c r="H161" i="3"/>
  <c r="J161" i="3"/>
  <c r="H165" i="3"/>
  <c r="J165" i="3"/>
  <c r="N10" i="2"/>
  <c r="W10" i="2" s="1"/>
  <c r="M31" i="2"/>
  <c r="N36" i="2"/>
  <c r="W36" i="2" s="1"/>
  <c r="M105" i="2"/>
  <c r="H49" i="3"/>
  <c r="Q29" i="2" s="1"/>
  <c r="U29" i="2" s="1"/>
  <c r="J49" i="3"/>
  <c r="H40" i="3"/>
  <c r="J40" i="3"/>
  <c r="Q27" i="2"/>
  <c r="U27" i="2" s="1"/>
  <c r="Q28" i="2"/>
  <c r="U28" i="2" s="1"/>
  <c r="H110" i="3"/>
  <c r="J110" i="3"/>
  <c r="J181" i="3"/>
  <c r="H181" i="3"/>
  <c r="H51" i="3"/>
  <c r="J51" i="3"/>
  <c r="H109" i="3"/>
  <c r="J109" i="3"/>
  <c r="J22" i="3"/>
  <c r="H22" i="3"/>
  <c r="Q23" i="2" s="1"/>
  <c r="U23" i="2" s="1"/>
  <c r="Q97" i="2"/>
  <c r="U97" i="2" s="1"/>
  <c r="Q98" i="2"/>
  <c r="U98" i="2" s="1"/>
  <c r="Q93" i="2"/>
  <c r="U93" i="2" s="1"/>
  <c r="Q99" i="2"/>
  <c r="U99" i="2" s="1"/>
  <c r="Q92" i="2"/>
  <c r="U92" i="2" s="1"/>
  <c r="Q94" i="2"/>
  <c r="U94" i="2" s="1"/>
  <c r="Q95" i="2"/>
  <c r="U95" i="2" s="1"/>
  <c r="H148" i="3"/>
  <c r="Q91" i="2" s="1"/>
  <c r="U91" i="2" s="1"/>
  <c r="J148" i="3"/>
  <c r="Q63" i="2"/>
  <c r="U63" i="2" s="1"/>
  <c r="Q64" i="2"/>
  <c r="U64" i="2" s="1"/>
  <c r="Q65" i="2"/>
  <c r="U65" i="2" s="1"/>
  <c r="Q67" i="2"/>
  <c r="U67" i="2" s="1"/>
  <c r="Q66" i="2"/>
  <c r="U66" i="2" s="1"/>
  <c r="Q69" i="2"/>
  <c r="U69" i="2" s="1"/>
  <c r="H140" i="3"/>
  <c r="J140" i="3"/>
  <c r="Q59" i="2"/>
  <c r="U59" i="2" s="1"/>
  <c r="Q61" i="2"/>
  <c r="U61" i="2" s="1"/>
  <c r="Q56" i="2"/>
  <c r="U56" i="2" s="1"/>
  <c r="Q58" i="2"/>
  <c r="U58" i="2" s="1"/>
  <c r="Q62" i="2"/>
  <c r="U62" i="2" s="1"/>
  <c r="Q57" i="2"/>
  <c r="U57" i="2" s="1"/>
  <c r="Q60" i="2"/>
  <c r="U60" i="2" s="1"/>
  <c r="H178" i="3"/>
  <c r="J178" i="3"/>
  <c r="H50" i="3"/>
  <c r="J50" i="3"/>
  <c r="I119" i="2"/>
  <c r="K118" i="2" s="1"/>
  <c r="H146" i="3"/>
  <c r="Q101" i="2" s="1"/>
  <c r="U101" i="2" s="1"/>
  <c r="J146" i="3"/>
  <c r="H23" i="3"/>
  <c r="J23" i="3"/>
  <c r="H173" i="3"/>
  <c r="J173" i="3"/>
  <c r="H151" i="3" l="1"/>
  <c r="J151" i="3"/>
  <c r="J152" i="3"/>
  <c r="M107" i="2"/>
  <c r="H174" i="3"/>
  <c r="J174" i="3"/>
  <c r="F83" i="3"/>
  <c r="H83" i="3" s="1"/>
  <c r="P36" i="2"/>
  <c r="S36" i="2" s="1"/>
  <c r="T36" i="2" s="1"/>
  <c r="T105" i="2" s="1"/>
  <c r="P111" i="2" s="1"/>
  <c r="Q111" i="2" s="1"/>
  <c r="H167" i="3"/>
  <c r="J167" i="3"/>
  <c r="P10" i="2"/>
  <c r="S10" i="2" s="1"/>
  <c r="T10" i="2" s="1"/>
  <c r="T31" i="2" s="1"/>
  <c r="F13" i="3"/>
  <c r="K117" i="2"/>
  <c r="K119" i="2" s="1"/>
  <c r="H152" i="3" l="1"/>
  <c r="F27" i="3"/>
  <c r="J27" i="3" s="1"/>
  <c r="P110" i="2"/>
  <c r="Q110" i="2" s="1"/>
  <c r="J83" i="3"/>
  <c r="S105" i="2"/>
  <c r="S31" i="2"/>
  <c r="H13" i="3"/>
  <c r="J13" i="3"/>
  <c r="T107" i="2"/>
  <c r="T108" i="2" s="1"/>
  <c r="H27" i="3" l="1"/>
  <c r="Q10" i="2"/>
  <c r="P112" i="2"/>
  <c r="P113" i="2" s="1"/>
  <c r="S107" i="2"/>
  <c r="Q38" i="2"/>
  <c r="U38" i="2" s="1"/>
  <c r="Q37" i="2"/>
  <c r="U37" i="2" s="1"/>
  <c r="Q36" i="2"/>
  <c r="U36" i="2" s="1"/>
  <c r="H60" i="3"/>
  <c r="H58" i="3"/>
  <c r="J58" i="3"/>
  <c r="J59" i="3"/>
  <c r="H59" i="3"/>
  <c r="J60" i="3"/>
  <c r="J61" i="3"/>
  <c r="J57" i="3"/>
  <c r="H57" i="3"/>
  <c r="H55" i="3"/>
  <c r="J56" i="3"/>
  <c r="H56" i="3"/>
  <c r="J55" i="3"/>
  <c r="H61" i="3" l="1"/>
</calcChain>
</file>

<file path=xl/comments1.xml><?xml version="1.0" encoding="utf-8"?>
<comments xmlns="http://schemas.openxmlformats.org/spreadsheetml/2006/main">
  <authors>
    <author>Lindsay Waldram</author>
    <author>Heather Garland</author>
  </authors>
  <commentList>
    <comment ref="I21" authorId="0" shape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This service is not listed in the Meeks weight.  Used the % increase between 5 &amp; 6 cans to determine the step increase for 7 cans.</t>
        </r>
      </text>
    </comment>
    <comment ref="I23" authorId="1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From TG-220548</t>
        </r>
      </text>
    </comment>
    <comment ref="P114" authorId="1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From TG-220339 Price Out. Disposal PT revenue divided by rates.</t>
        </r>
      </text>
    </comment>
  </commentList>
</comments>
</file>

<file path=xl/comments2.xml><?xml version="1.0" encoding="utf-8"?>
<comments xmlns="http://schemas.openxmlformats.org/spreadsheetml/2006/main">
  <authors>
    <author>Heather Garland</author>
  </authors>
  <commentList>
    <comment ref="F55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Tariff item is stated "per 50 lbs."</t>
        </r>
      </text>
    </comment>
    <comment ref="A113" authorId="0" shapeId="0">
      <text>
        <r>
          <rPr>
            <b/>
            <sz val="9"/>
            <color indexed="81"/>
            <rFont val="Tahoma"/>
            <family val="2"/>
          </rPr>
          <t xml:space="preserve">Heather Garland:
</t>
        </r>
        <r>
          <rPr>
            <sz val="9"/>
            <color indexed="81"/>
            <rFont val="Tahoma"/>
            <family val="2"/>
          </rPr>
          <t>New rates since last general rate filing. Disposal was embedded in rates in TG-200738.  Weights assumed to be the same as Item 240.</t>
        </r>
      </text>
    </comment>
    <comment ref="F136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F137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H137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J137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F14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H143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F144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H144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J144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F151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F152" authorId="0" shape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</commentList>
</comments>
</file>

<file path=xl/sharedStrings.xml><?xml version="1.0" encoding="utf-8"?>
<sst xmlns="http://schemas.openxmlformats.org/spreadsheetml/2006/main" count="589" uniqueCount="442">
  <si>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</si>
  <si>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</si>
  <si>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</si>
  <si>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</si>
  <si>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</si>
  <si>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</si>
  <si>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</si>
  <si>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</si>
  <si>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</si>
  <si>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</si>
  <si>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</si>
  <si>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</si>
  <si>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</si>
  <si>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</si>
  <si>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</si>
  <si>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</si>
  <si>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</si>
  <si>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</si>
  <si>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</si>
  <si>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</si>
  <si>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</si>
  <si>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</si>
  <si>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</si>
  <si>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</si>
  <si>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</si>
  <si>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</si>
  <si>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</si>
  <si>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5 cans</t>
  </si>
  <si>
    <t>6 cans</t>
  </si>
  <si>
    <t>Annual</t>
  </si>
  <si>
    <t>8 cans</t>
  </si>
  <si>
    <t>40 gallon Can</t>
  </si>
  <si>
    <t>*</t>
  </si>
  <si>
    <t>Supercan 60</t>
  </si>
  <si>
    <t>Supercan 64</t>
  </si>
  <si>
    <t>Supercan 90</t>
  </si>
  <si>
    <t>Supercan 96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</si>
  <si>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</si>
  <si>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</si>
  <si>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</si>
  <si>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</si>
  <si>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</si>
  <si>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</si>
  <si>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</si>
  <si>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</si>
  <si>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</si>
  <si>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</si>
  <si>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5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</si>
  <si>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</si>
  <si>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</si>
  <si>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</si>
  <si>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</si>
  <si>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</si>
  <si>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</si>
  <si>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</si>
  <si>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</si>
  <si>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</si>
  <si>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</si>
  <si>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Vancouver Hauling</t>
  </si>
  <si>
    <t>Per Pound</t>
  </si>
  <si>
    <t>Gross Up Factors</t>
  </si>
  <si>
    <t>B&amp;O tax</t>
  </si>
  <si>
    <t>WUTC fees</t>
  </si>
  <si>
    <t>Increase</t>
  </si>
  <si>
    <t>Total</t>
  </si>
  <si>
    <t>Transfer Station</t>
  </si>
  <si>
    <t>Increase per ton</t>
  </si>
  <si>
    <t>Factor</t>
  </si>
  <si>
    <t>Disposal Fee Revenue Increase</t>
  </si>
  <si>
    <t>Rates</t>
  </si>
  <si>
    <t>Annual Customer Count</t>
  </si>
  <si>
    <t>Monthly Frequency</t>
  </si>
  <si>
    <t>Annual PU's</t>
  </si>
  <si>
    <t>Calculated Annual Pounds</t>
  </si>
  <si>
    <t>Adjusted Annual Pounds</t>
  </si>
  <si>
    <t>RESIDENTIAL SERVICES</t>
  </si>
  <si>
    <t>Residential Garbage</t>
  </si>
  <si>
    <t>CRMCEOW</t>
  </si>
  <si>
    <t>20GAL CAN EOW</t>
  </si>
  <si>
    <t>CRMC</t>
  </si>
  <si>
    <t>20GAL CAN WEEKLY</t>
  </si>
  <si>
    <t>CREOW</t>
  </si>
  <si>
    <t>1 32GAL CAN EOW</t>
  </si>
  <si>
    <t>CR32MO</t>
  </si>
  <si>
    <t>1 32GAL CAN ONCE A MTH</t>
  </si>
  <si>
    <t>CR32W1</t>
  </si>
  <si>
    <t>1 32GAL CAN WEEKLY</t>
  </si>
  <si>
    <t>CR32W2</t>
  </si>
  <si>
    <t>2-32GAL CANS WEEKLY</t>
  </si>
  <si>
    <t>CR32W3</t>
  </si>
  <si>
    <t>3-32GAL CANS WEEKLY</t>
  </si>
  <si>
    <t>CR32W4</t>
  </si>
  <si>
    <t>4-32GAL CANS WEEKLY</t>
  </si>
  <si>
    <t>CR32W5</t>
  </si>
  <si>
    <t>5-32GAL CANS WEEKLY</t>
  </si>
  <si>
    <t>CR32W6</t>
  </si>
  <si>
    <t>6-32GAL CANS WEEKLY</t>
  </si>
  <si>
    <t>CR32W7</t>
  </si>
  <si>
    <t>7-32GAL CANS WEEKLY</t>
  </si>
  <si>
    <t>CR32W8</t>
  </si>
  <si>
    <t>8-32GAL CANS WEEKLY</t>
  </si>
  <si>
    <t>9-32GAL CANS WEEKLY</t>
  </si>
  <si>
    <t>RREXC</t>
  </si>
  <si>
    <t>EXTRA CANS, BAGS,BOXES</t>
  </si>
  <si>
    <t>RRCALL</t>
  </si>
  <si>
    <t>ON CALL CAN</t>
  </si>
  <si>
    <t>ROFOW</t>
  </si>
  <si>
    <t>OVERWGHT-OVERFILL CAN</t>
  </si>
  <si>
    <t>COFOW</t>
  </si>
  <si>
    <t>TOTAL RESIDENTIAL SERVICES</t>
  </si>
  <si>
    <t xml:space="preserve">COMMERCIAL SERVICES </t>
  </si>
  <si>
    <t>Commercial Garbage</t>
  </si>
  <si>
    <t>CC1Y1W</t>
  </si>
  <si>
    <t>1YD CONT 1X WEEKLY</t>
  </si>
  <si>
    <t>CC1Y2W</t>
  </si>
  <si>
    <t>1YD CONT 2X WEEKLY</t>
  </si>
  <si>
    <t>CC1YEOW</t>
  </si>
  <si>
    <t>1YD CONTAINER EOW</t>
  </si>
  <si>
    <t>CC15Y1W</t>
  </si>
  <si>
    <t>1.5YD CONT 1X WEEKLY</t>
  </si>
  <si>
    <t>CC15Y2W</t>
  </si>
  <si>
    <t>1.5YD CONT 2X WEEKLY</t>
  </si>
  <si>
    <t>CC15YEOW</t>
  </si>
  <si>
    <t>1.5YD CONTAINER EOW</t>
  </si>
  <si>
    <t>CC2Y1W</t>
  </si>
  <si>
    <t>2YD CONT 1X WEEKLY</t>
  </si>
  <si>
    <t>CC2Y2W</t>
  </si>
  <si>
    <t>2YD CONT 2X WEEKLY</t>
  </si>
  <si>
    <t>CC2Y3W</t>
  </si>
  <si>
    <t>2YD CONT 3X WEEKLY</t>
  </si>
  <si>
    <t>CC2Y4W</t>
  </si>
  <si>
    <t>2YD CONT 4X WEEKLY</t>
  </si>
  <si>
    <t>CC2Y5W</t>
  </si>
  <si>
    <t>2YD CONT 5X WEEKLY</t>
  </si>
  <si>
    <t>CC2YEOW</t>
  </si>
  <si>
    <t>2YD CONTAINER EOW</t>
  </si>
  <si>
    <t>CC3Y1W</t>
  </si>
  <si>
    <t>3YD CONT 1X WEEKLY</t>
  </si>
  <si>
    <t>CC3Y2W</t>
  </si>
  <si>
    <t>3YD CONT 2X WEEKLY</t>
  </si>
  <si>
    <t>CC3Y3W</t>
  </si>
  <si>
    <t>3YD CONT 3X WEEKLY</t>
  </si>
  <si>
    <t>CC3Y4W</t>
  </si>
  <si>
    <t>3YD CONT 4X WEEKLY</t>
  </si>
  <si>
    <t>CC3Y5W</t>
  </si>
  <si>
    <t>3YD CONT 5X WEEKLY</t>
  </si>
  <si>
    <t>CC3YEOW</t>
  </si>
  <si>
    <t>3YD CONTAINER EOW</t>
  </si>
  <si>
    <t>CC4Y1W</t>
  </si>
  <si>
    <t>4YD CONT 1X WEEKLY</t>
  </si>
  <si>
    <t>CC4Y2W</t>
  </si>
  <si>
    <t>4YD CONT 2X WEEKLY</t>
  </si>
  <si>
    <t>CC4Y3W</t>
  </si>
  <si>
    <t>4YD CONT 3X WEEKLY</t>
  </si>
  <si>
    <t>CC4Y4W</t>
  </si>
  <si>
    <t>4YD CONT 4X WEEKLY</t>
  </si>
  <si>
    <t>CC4Y5W</t>
  </si>
  <si>
    <t>4YD CONT 5X WEEKLY</t>
  </si>
  <si>
    <t>CC4Y6W</t>
  </si>
  <si>
    <t>4YD CONT 6X WEEKLY</t>
  </si>
  <si>
    <t>CC4YEOW</t>
  </si>
  <si>
    <t>4YD CONTAINER EOW</t>
  </si>
  <si>
    <t>CC5Y1W</t>
  </si>
  <si>
    <t>5YD CONT 1X WEEKLY</t>
  </si>
  <si>
    <t>CC5YEOW</t>
  </si>
  <si>
    <t>5YD CONTAINER EOW</t>
  </si>
  <si>
    <t>CC6Y1W</t>
  </si>
  <si>
    <t>6YD CONT 1X WEEKLY</t>
  </si>
  <si>
    <t>CC6Y2W</t>
  </si>
  <si>
    <t>6YD CONT 2X WEEKLY</t>
  </si>
  <si>
    <t>CC6Y3W</t>
  </si>
  <si>
    <t>6YD CONT 3X WEEKLY</t>
  </si>
  <si>
    <t>CC6YEOW</t>
  </si>
  <si>
    <t>6YD CONTAINER EOW</t>
  </si>
  <si>
    <t>CC8Y1W</t>
  </si>
  <si>
    <t>8YD CONT 1X WEEKLY</t>
  </si>
  <si>
    <t>CC8Y2W</t>
  </si>
  <si>
    <t>8YD CONT 2X WEEKLY</t>
  </si>
  <si>
    <t>CC8Y3W</t>
  </si>
  <si>
    <t>8YD CONT 3X WEEKLY</t>
  </si>
  <si>
    <t>CC8Y4W</t>
  </si>
  <si>
    <t>8YD CONT 4X WEEKLY</t>
  </si>
  <si>
    <t>CC8YEOW</t>
  </si>
  <si>
    <t>8YD CONTAINER EOW</t>
  </si>
  <si>
    <t>CCCMP2Y</t>
  </si>
  <si>
    <t>2YD COMP CONT 1X WKLY</t>
  </si>
  <si>
    <t>CCCMP4Y</t>
  </si>
  <si>
    <t>4YD COMP CONT 1X WKLY</t>
  </si>
  <si>
    <t>CCSP1Y</t>
  </si>
  <si>
    <t>SPECIAL PICKUP 1YD CONT</t>
  </si>
  <si>
    <t>CCSP15Y</t>
  </si>
  <si>
    <t>SPECIAL PICKUP 1.5YD CONT</t>
  </si>
  <si>
    <t>CCSP2Y</t>
  </si>
  <si>
    <t>SPECIAL PICKUP 2YD CONT</t>
  </si>
  <si>
    <t>CCSP3Y</t>
  </si>
  <si>
    <t>SPECIAL PICKUP 3YD CONT</t>
  </si>
  <si>
    <t>VCSP4YC</t>
  </si>
  <si>
    <t>SPECIAL PICKUP 4YD COMP</t>
  </si>
  <si>
    <t>CCSP4Y</t>
  </si>
  <si>
    <t>SPECIAL PICKUP 4YD CONT</t>
  </si>
  <si>
    <t>CCSP6Y</t>
  </si>
  <si>
    <t>SPECIAL PICKUP 6YD CONT</t>
  </si>
  <si>
    <t>CCSP8Y</t>
  </si>
  <si>
    <t>SPECIAL PICKUP 8YD CONT</t>
  </si>
  <si>
    <t>CCTP1Y</t>
  </si>
  <si>
    <t>TEMP PICKUP 1YD CONT</t>
  </si>
  <si>
    <t>CCTP15Y</t>
  </si>
  <si>
    <t>TEMP PICKUP 1.5YD CONT</t>
  </si>
  <si>
    <t>CCTP2Y</t>
  </si>
  <si>
    <t>TEMP PICKUP 2YD CONT</t>
  </si>
  <si>
    <t>CCTP3Y</t>
  </si>
  <si>
    <t>TEMP PICKUP 3YD CONT</t>
  </si>
  <si>
    <t>CCTP4Y</t>
  </si>
  <si>
    <t>TEMP PICKUP 4YD CONT</t>
  </si>
  <si>
    <t>CC32W1</t>
  </si>
  <si>
    <t>32GAL CAN WEEKLY-COM</t>
  </si>
  <si>
    <t>CC32W2</t>
  </si>
  <si>
    <t>CC32W3</t>
  </si>
  <si>
    <t>CC32W4</t>
  </si>
  <si>
    <t>CC32W5</t>
  </si>
  <si>
    <t>CC32W6</t>
  </si>
  <si>
    <t>CC32W8</t>
  </si>
  <si>
    <t>CC32W9</t>
  </si>
  <si>
    <t>CCEXCAN</t>
  </si>
  <si>
    <t>EXTRA = CANS - COM</t>
  </si>
  <si>
    <t>CCEXYD</t>
  </si>
  <si>
    <t>EXTRA = YARDS</t>
  </si>
  <si>
    <t>RCOF</t>
  </si>
  <si>
    <t>OVERFILLED CONTAINER</t>
  </si>
  <si>
    <t>TOTAL COMMERCIAL SERVICES</t>
  </si>
  <si>
    <t>GRAND TOTAL</t>
  </si>
  <si>
    <t>Adjustment Factor Calculation</t>
  </si>
  <si>
    <t>Clark County</t>
  </si>
  <si>
    <t>Adj lbs</t>
  </si>
  <si>
    <t>Residential</t>
  </si>
  <si>
    <t>Total Tonnage</t>
  </si>
  <si>
    <t>Commercial</t>
  </si>
  <si>
    <t>Total Pounds</t>
  </si>
  <si>
    <t>Non-Regulated</t>
  </si>
  <si>
    <t>Per Ton (Packer)</t>
  </si>
  <si>
    <t>Per Ton (RO)</t>
  </si>
  <si>
    <t>Current</t>
  </si>
  <si>
    <t>Proposed</t>
  </si>
  <si>
    <t>Rate</t>
  </si>
  <si>
    <t>Item 55, pg 16</t>
  </si>
  <si>
    <t>Minimum</t>
  </si>
  <si>
    <t>Item 100, pg 21</t>
  </si>
  <si>
    <t>7 can</t>
  </si>
  <si>
    <t xml:space="preserve">8 can </t>
  </si>
  <si>
    <t>9 can</t>
  </si>
  <si>
    <t>1 can per month</t>
  </si>
  <si>
    <t>1 can every other week</t>
  </si>
  <si>
    <t>Item 100, pg 22</t>
  </si>
  <si>
    <t>Mini-can</t>
  </si>
  <si>
    <t>60-gal toter</t>
  </si>
  <si>
    <t>90-gal toter</t>
  </si>
  <si>
    <t>Bag</t>
  </si>
  <si>
    <t>On Call</t>
  </si>
  <si>
    <t>Item 150, pg 28</t>
  </si>
  <si>
    <t>Loose and Bulky</t>
  </si>
  <si>
    <t>Additional</t>
  </si>
  <si>
    <t>Item 207, pg 32</t>
  </si>
  <si>
    <t>Excess Weight:</t>
  </si>
  <si>
    <t>1 yard</t>
  </si>
  <si>
    <t>5 yard</t>
  </si>
  <si>
    <t>Item 230, pg 34</t>
  </si>
  <si>
    <t>Disposal Fees:</t>
  </si>
  <si>
    <t>Refuse (per ton)</t>
  </si>
  <si>
    <t>All other (per load)</t>
  </si>
  <si>
    <t>Washer/Dryer</t>
  </si>
  <si>
    <t>Refrigerator/Freezer</t>
  </si>
  <si>
    <t>Water Heater</t>
  </si>
  <si>
    <t>Car Tire</t>
  </si>
  <si>
    <t>Car Tire with rim</t>
  </si>
  <si>
    <t>Truck Tire</t>
  </si>
  <si>
    <t>Truck Tire with rim</t>
  </si>
  <si>
    <t>All tires greater</t>
  </si>
  <si>
    <t>Item 240, pg 35</t>
  </si>
  <si>
    <t>2 yard</t>
  </si>
  <si>
    <t xml:space="preserve"> </t>
  </si>
  <si>
    <t xml:space="preserve">Special Pickups: </t>
  </si>
  <si>
    <t>Temporary:</t>
  </si>
  <si>
    <t>Each additional unit</t>
  </si>
  <si>
    <t>3 yard</t>
  </si>
  <si>
    <t>4 yard</t>
  </si>
  <si>
    <t>6 yard</t>
  </si>
  <si>
    <t>Special Pickup:</t>
  </si>
  <si>
    <t>Gross Up</t>
  </si>
  <si>
    <t>Tariff Rate Increase</t>
  </si>
  <si>
    <t>Extra yard</t>
  </si>
  <si>
    <t>Overfilled</t>
  </si>
  <si>
    <t>Calculated Rate</t>
  </si>
  <si>
    <t>Occasional Extra</t>
  </si>
  <si>
    <t>Actual Weight</t>
  </si>
  <si>
    <t>Revised Revenue Increase</t>
  </si>
  <si>
    <t>Tons</t>
  </si>
  <si>
    <t>Dollars</t>
  </si>
  <si>
    <t>Per GL</t>
  </si>
  <si>
    <t>RO</t>
  </si>
  <si>
    <t>RO - Food Waste</t>
  </si>
  <si>
    <t>Waste Works RO - Garbage Only</t>
  </si>
  <si>
    <t>RO - Other</t>
  </si>
  <si>
    <t>Waste Works MSW/Comm Garbage Only</t>
  </si>
  <si>
    <t>Waste Works Other (FW, YD, etc)</t>
  </si>
  <si>
    <t>RO Rpt Total</t>
  </si>
  <si>
    <t>Variance to Breakout</t>
  </si>
  <si>
    <t>Variance to GL</t>
  </si>
  <si>
    <t>MSW - Other</t>
  </si>
  <si>
    <t>Pass-Through per Billing</t>
  </si>
  <si>
    <t>Pass-Through in Acct. 40139</t>
  </si>
  <si>
    <t>Pass-Through In Other Accts.</t>
  </si>
  <si>
    <t>MSW/Comm Rpt Total</t>
  </si>
  <si>
    <t>RR32W1</t>
  </si>
  <si>
    <t>WBMISC</t>
  </si>
  <si>
    <t>BULKY ITEM CHARGE-MISC</t>
  </si>
  <si>
    <t>RC32EOW</t>
  </si>
  <si>
    <t>32GAL CAN EOW-COM</t>
  </si>
  <si>
    <t>VC3Y2W</t>
  </si>
  <si>
    <t>3YD CONT 6X WEEKLY</t>
  </si>
  <si>
    <t>6YD CONT 4X WEEKLY</t>
  </si>
  <si>
    <t>8YD CONT 6X WEEKLY</t>
  </si>
  <si>
    <t>Residential Increase</t>
  </si>
  <si>
    <t>Commerical Increase</t>
  </si>
  <si>
    <t>RO Increase</t>
  </si>
  <si>
    <t>Calc lbs</t>
  </si>
  <si>
    <t>Drop Box (per ton)</t>
  </si>
  <si>
    <t>Clark County - Dump Fee Calculation</t>
  </si>
  <si>
    <t>1.5 yd packer/compactor</t>
  </si>
  <si>
    <t>Over 9 Cans</t>
  </si>
  <si>
    <t>N/A</t>
  </si>
  <si>
    <t>* not on meeks - calculated weight times compaction ratio</t>
  </si>
  <si>
    <t>Dump Fee Calculation References</t>
  </si>
  <si>
    <t>6 can</t>
  </si>
  <si>
    <t>Mini</t>
  </si>
  <si>
    <t>Mini every other week</t>
  </si>
  <si>
    <t>2 can</t>
  </si>
  <si>
    <t>3 can</t>
  </si>
  <si>
    <t>4 can</t>
  </si>
  <si>
    <t>5 can</t>
  </si>
  <si>
    <t>Oversized can</t>
  </si>
  <si>
    <t>1.5 yard</t>
  </si>
  <si>
    <t xml:space="preserve">3 yard </t>
  </si>
  <si>
    <t xml:space="preserve">4 yard </t>
  </si>
  <si>
    <t xml:space="preserve">6 yard </t>
  </si>
  <si>
    <t xml:space="preserve">8 yard </t>
  </si>
  <si>
    <t>32-gal</t>
  </si>
  <si>
    <t>Item 245, pg 37</t>
  </si>
  <si>
    <t>Minimum charge</t>
  </si>
  <si>
    <t>Item 250, pg 38</t>
  </si>
  <si>
    <t>Item 255, pg 39</t>
  </si>
  <si>
    <t>4 yard comp</t>
  </si>
  <si>
    <t xml:space="preserve">4 yard comp </t>
  </si>
  <si>
    <t>Each Pickup:</t>
  </si>
  <si>
    <t>Permanent Container:</t>
  </si>
  <si>
    <t>Special Pickups:</t>
  </si>
  <si>
    <t>Company Current Revenue</t>
  </si>
  <si>
    <t>Grossed up increase per ton</t>
  </si>
  <si>
    <t>Tons collected</t>
  </si>
  <si>
    <t>Bad debts</t>
  </si>
  <si>
    <t xml:space="preserve">Current rate </t>
  </si>
  <si>
    <t>New rate per ton</t>
  </si>
  <si>
    <t>Company Proposed Revenue</t>
  </si>
  <si>
    <t>Current Tariff</t>
  </si>
  <si>
    <t>Proposed Tariff</t>
  </si>
  <si>
    <t>Total Packer Increase</t>
  </si>
  <si>
    <t>Adjust factor</t>
  </si>
  <si>
    <t>RO Tons</t>
  </si>
  <si>
    <t>Waste Connections of Washington, Inc., G-253</t>
  </si>
  <si>
    <t>Empty &amp; Return</t>
  </si>
  <si>
    <t>1.5 Yard</t>
  </si>
  <si>
    <t>2 Yard</t>
  </si>
  <si>
    <t>3 Yard</t>
  </si>
  <si>
    <t>4 Yard</t>
  </si>
  <si>
    <t>5 Yard</t>
  </si>
  <si>
    <t>6 Yard</t>
  </si>
  <si>
    <t>8 Yard</t>
  </si>
  <si>
    <t>Final Pull</t>
  </si>
  <si>
    <t>Item 240-1, pg 36</t>
  </si>
  <si>
    <t>2020 Rate</t>
  </si>
  <si>
    <t>Packer</t>
  </si>
  <si>
    <t>2021 CPI</t>
  </si>
  <si>
    <t>2022 CPI</t>
  </si>
  <si>
    <t>County Health Fee</t>
  </si>
  <si>
    <t>Matches Letter</t>
  </si>
  <si>
    <t>2021 Additional Work</t>
  </si>
  <si>
    <t>2022 Additional Work</t>
  </si>
  <si>
    <t>Calculation of Rates:</t>
  </si>
  <si>
    <t>1/1/2021 Rate</t>
  </si>
  <si>
    <t>1/1/2022 Rate</t>
  </si>
  <si>
    <t>1/1/2022 Rate (excl. Extra Work)</t>
  </si>
  <si>
    <t>COVID Pages</t>
  </si>
  <si>
    <t>Post COVID Pages</t>
  </si>
  <si>
    <t>Proposed Effective January 1, 2023</t>
  </si>
  <si>
    <t>Note: Customer count and disposal/weight related figures were audited and presented as part of TG-220339 and are used in this filing per WUTC request.</t>
  </si>
  <si>
    <t>2023 Additional Work #5</t>
  </si>
  <si>
    <t>2022 Basic Tip Fee</t>
  </si>
  <si>
    <t>Organics</t>
  </si>
  <si>
    <t>Resi/Comm MSW</t>
  </si>
  <si>
    <t>Food Waste</t>
  </si>
  <si>
    <t>2023 CPI</t>
  </si>
  <si>
    <t>2023 Basic Rate</t>
  </si>
  <si>
    <t>2023 Additional Work #3</t>
  </si>
  <si>
    <t>2023 Additional Work #4</t>
  </si>
  <si>
    <t>2023 Full Tip Fee</t>
  </si>
  <si>
    <t>Matches letter 8/24/22</t>
  </si>
  <si>
    <t>Matches letter 9/15/22</t>
  </si>
  <si>
    <t>CRCALL</t>
  </si>
  <si>
    <t>ON CALL CAN-COM</t>
  </si>
  <si>
    <t>CR32W9</t>
  </si>
  <si>
    <t>CC3Y6W</t>
  </si>
  <si>
    <t>CC6Y4W</t>
  </si>
  <si>
    <t>Waste Connections of Washington</t>
  </si>
  <si>
    <t>Disposal Summary</t>
  </si>
  <si>
    <t>Year Ended March 31, 2022</t>
  </si>
  <si>
    <r>
      <t xml:space="preserve">Note:  </t>
    </r>
    <r>
      <rPr>
        <sz val="11"/>
        <color theme="1"/>
        <rFont val="Calibri"/>
        <family val="2"/>
        <scheme val="minor"/>
      </rPr>
      <t>This worksheet provides the disposal dollars and tons per our Waste Works system in columns C-F.  This is then tied to the GL amount for account "40139" in columns H-J.  The information obtained from the system is used appropriately allocate disposal expense between the regulated and non-regulated lines of business on the Master IS tab.</t>
    </r>
  </si>
  <si>
    <t>Disposal Expense/Ton Breakdown by Type</t>
  </si>
  <si>
    <t>Reconciliation to GL 40139</t>
  </si>
  <si>
    <t>imm</t>
  </si>
  <si>
    <t>Reconciliation of Pass Through Expense</t>
  </si>
  <si>
    <t>RO MSW</t>
  </si>
  <si>
    <t>Other (Yard Debris, Wood, Food Waste, Organics)</t>
  </si>
  <si>
    <t>Regulated/Non-Regulated Breakout - Via Disposal Alloc Calc</t>
  </si>
  <si>
    <t>Regulated</t>
  </si>
  <si>
    <t>CC32W7</t>
  </si>
  <si>
    <t>CC8Y6W</t>
  </si>
  <si>
    <t>From TG-220339 - the last audited General Rate Filing. Including Reg/Non Reg Tonnage Allocation %'s, as audited and approved.</t>
  </si>
  <si>
    <t>20 Gal EOW</t>
  </si>
  <si>
    <t>20 Gal Weekly</t>
  </si>
  <si>
    <t>35 Gal Monthly</t>
  </si>
  <si>
    <t>35 Gal EOW</t>
  </si>
  <si>
    <t>35 Gal Weekly</t>
  </si>
  <si>
    <t>65 Gal Weekly</t>
  </si>
  <si>
    <t>95 Gal Weekly</t>
  </si>
  <si>
    <t>New Since Last GRC test Period</t>
  </si>
  <si>
    <t>20 Gal Cart - On Call</t>
  </si>
  <si>
    <t>35 Gal Cart - On Call</t>
  </si>
  <si>
    <t>65 Gal Cart - On Call</t>
  </si>
  <si>
    <t>95 Gal Cart - On Call</t>
  </si>
  <si>
    <t>20-gal cart</t>
  </si>
  <si>
    <t>35-gal cart</t>
  </si>
  <si>
    <t>65-gal cart</t>
  </si>
  <si>
    <t>95-gal 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</si>
</sst>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_(&quot;$&quot;* #,##0.0000_);_(&quot;$&quot;* \(#,##0.0000\);_(&quot;$&quot;* &quot;-&quot;????_);_(@_)"/>
    <numFmt numFmtId="171" formatCode="&quot;$&quot;#,##0\ ;\(&quot;$&quot;#,##0\)"/>
    <numFmt numFmtId="172" formatCode="General_)"/>
    <numFmt numFmtId="173" formatCode="0.0%"/>
    <numFmt numFmtId="174" formatCode="mm\-yy;\-0;;@"/>
    <numFmt numFmtId="175" formatCode=".00#####;\-.00####;;@"/>
    <numFmt numFmtId="176" formatCode="_(&quot;$&quot;* #,##0.00000_);_(&quot;$&quot;* \(#,##0.00000\);_(&quot;$&quot;* &quot;-&quot;??_);_(@_)"/>
    <numFmt numFmtId="177" formatCode="_(&quot;$&quot;* #,##0_);_(&quot;$&quot;* \(#,##0\);_(&quot;$&quot;* &quot;-&quot;??_);_(@_)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.5"/>
      <color theme="0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2"/>
      <name val="Helv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5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0"/>
      <name val="Times New Roman"/>
      <family val="1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Helv"/>
    </font>
    <font>
      <sz val="10"/>
      <name val="SWISS"/>
    </font>
    <font>
      <b/>
      <sz val="10"/>
      <name val="Helv"/>
    </font>
    <font>
      <b/>
      <sz val="10"/>
      <name val="SWISS"/>
    </font>
    <font>
      <b/>
      <u val="singleAccounting"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8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1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9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41" fontId="15" fillId="0" borderId="0"/>
    <xf numFmtId="41" fontId="15" fillId="0" borderId="0"/>
    <xf numFmtId="41" fontId="15" fillId="0" borderId="0"/>
    <xf numFmtId="41" fontId="15" fillId="0" borderId="0"/>
    <xf numFmtId="49" fontId="16" fillId="0" borderId="0" applyFill="0" applyBorder="0" applyAlignment="0" applyProtection="0"/>
    <xf numFmtId="0" fontId="17" fillId="0" borderId="4" applyBorder="0">
      <alignment horizontal="center" vertical="center" wrapText="1"/>
    </xf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3" fontId="15" fillId="0" borderId="0"/>
    <xf numFmtId="3" fontId="15" fillId="0" borderId="0"/>
    <xf numFmtId="3" fontId="15" fillId="0" borderId="0"/>
    <xf numFmtId="3" fontId="15" fillId="0" borderId="0"/>
    <xf numFmtId="0" fontId="19" fillId="30" borderId="5" applyNumberFormat="0" applyAlignment="0" applyProtection="0"/>
    <xf numFmtId="0" fontId="20" fillId="30" borderId="5" applyNumberFormat="0" applyAlignment="0" applyProtection="0"/>
    <xf numFmtId="0" fontId="19" fillId="30" borderId="5" applyNumberFormat="0" applyAlignment="0" applyProtection="0"/>
    <xf numFmtId="0" fontId="21" fillId="30" borderId="5" applyNumberFormat="0" applyAlignment="0" applyProtection="0"/>
    <xf numFmtId="0" fontId="20" fillId="8" borderId="5" applyNumberFormat="0" applyAlignment="0" applyProtection="0"/>
    <xf numFmtId="0" fontId="21" fillId="30" borderId="5" applyNumberFormat="0" applyAlignment="0" applyProtection="0"/>
    <xf numFmtId="0" fontId="21" fillId="30" borderId="5" applyNumberFormat="0" applyAlignment="0" applyProtection="0"/>
    <xf numFmtId="0" fontId="22" fillId="31" borderId="6" applyNumberFormat="0" applyAlignment="0" applyProtection="0"/>
    <xf numFmtId="0" fontId="22" fillId="32" borderId="7" applyNumberFormat="0" applyAlignment="0" applyProtection="0"/>
    <xf numFmtId="0" fontId="23" fillId="33" borderId="0" applyNumberFormat="0" applyBorder="0" applyAlignment="0" applyProtection="0">
      <alignment horizontal="center"/>
      <protection hidden="1"/>
    </xf>
    <xf numFmtId="0" fontId="15" fillId="34" borderId="0">
      <alignment horizont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26" fillId="0" borderId="0"/>
    <xf numFmtId="3" fontId="28" fillId="0" borderId="0" applyFont="0" applyFill="0" applyBorder="0" applyAlignment="0" applyProtection="0"/>
    <xf numFmtId="0" fontId="29" fillId="0" borderId="0"/>
    <xf numFmtId="0" fontId="29" fillId="0" borderId="0"/>
    <xf numFmtId="0" fontId="30" fillId="35" borderId="1" applyAlignment="0">
      <alignment horizontal="right"/>
      <protection locked="0"/>
    </xf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3" fillId="36" borderId="0">
      <alignment horizontal="right"/>
      <protection locked="0"/>
    </xf>
    <xf numFmtId="14" fontId="15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/>
    <xf numFmtId="2" fontId="33" fillId="36" borderId="0">
      <alignment horizontal="right"/>
      <protection locked="0"/>
    </xf>
    <xf numFmtId="1" fontId="15" fillId="0" borderId="0">
      <alignment horizont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" fillId="2" borderId="0" applyNumberFormat="0" applyBorder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6" fillId="0" borderId="8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9" fillId="0" borderId="12" applyNumberFormat="0" applyFill="0" applyAlignment="0" applyProtection="0"/>
    <xf numFmtId="0" fontId="40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2" fillId="0" borderId="14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15" borderId="5" applyNumberFormat="0" applyAlignment="0" applyProtection="0"/>
    <xf numFmtId="0" fontId="49" fillId="15" borderId="5" applyNumberFormat="0" applyAlignment="0" applyProtection="0"/>
    <xf numFmtId="0" fontId="49" fillId="15" borderId="5" applyNumberFormat="0" applyAlignment="0" applyProtection="0"/>
    <xf numFmtId="3" fontId="50" fillId="38" borderId="0">
      <protection locked="0"/>
    </xf>
    <xf numFmtId="4" fontId="50" fillId="38" borderId="0">
      <protection locked="0"/>
    </xf>
    <xf numFmtId="0" fontId="17" fillId="0" borderId="4" applyBorder="0">
      <alignment horizontal="center" vertical="center" wrapText="1"/>
    </xf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1" fillId="0" borderId="18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4" fillId="15" borderId="0" applyNumberFormat="0" applyBorder="0" applyAlignment="0" applyProtection="0"/>
    <xf numFmtId="0" fontId="55" fillId="15" borderId="0" applyNumberFormat="0" applyBorder="0" applyAlignment="0" applyProtection="0"/>
    <xf numFmtId="0" fontId="54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43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57" fillId="0" borderId="0"/>
    <xf numFmtId="0" fontId="15" fillId="0" borderId="0"/>
    <xf numFmtId="0" fontId="1" fillId="0" borderId="0"/>
    <xf numFmtId="0" fontId="1" fillId="0" borderId="0"/>
    <xf numFmtId="0" fontId="57" fillId="0" borderId="0"/>
    <xf numFmtId="0" fontId="15" fillId="0" borderId="0"/>
    <xf numFmtId="0" fontId="11" fillId="0" borderId="0"/>
    <xf numFmtId="0" fontId="1" fillId="0" borderId="0"/>
    <xf numFmtId="0" fontId="24" fillId="0" borderId="0"/>
    <xf numFmtId="0" fontId="15" fillId="0" borderId="0"/>
    <xf numFmtId="0" fontId="1" fillId="0" borderId="0"/>
    <xf numFmtId="0" fontId="1" fillId="0" borderId="0"/>
    <xf numFmtId="0" fontId="24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2" fontId="3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15" fillId="0" borderId="0"/>
    <xf numFmtId="0" fontId="26" fillId="0" borderId="0">
      <alignment vertical="top"/>
    </xf>
    <xf numFmtId="0" fontId="15" fillId="0" borderId="0"/>
    <xf numFmtId="0" fontId="26" fillId="0" borderId="0">
      <alignment vertical="top"/>
    </xf>
    <xf numFmtId="0" fontId="15" fillId="0" borderId="0"/>
    <xf numFmtId="0" fontId="11" fillId="0" borderId="0"/>
    <xf numFmtId="0" fontId="15" fillId="0" borderId="0"/>
    <xf numFmtId="0" fontId="26" fillId="0" borderId="0">
      <alignment vertical="top"/>
    </xf>
    <xf numFmtId="0" fontId="15" fillId="0" borderId="0"/>
    <xf numFmtId="0" fontId="26" fillId="0" borderId="0">
      <alignment vertical="top"/>
    </xf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8" fillId="0" borderId="0"/>
    <xf numFmtId="0" fontId="31" fillId="0" borderId="0"/>
    <xf numFmtId="0" fontId="26" fillId="0" borderId="0">
      <alignment vertical="top"/>
    </xf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26" fillId="0" borderId="0">
      <alignment vertical="top"/>
    </xf>
    <xf numFmtId="0" fontId="15" fillId="0" borderId="0"/>
    <xf numFmtId="0" fontId="1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7" fillId="0" borderId="0"/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26" fillId="0" borderId="0">
      <alignment vertical="top"/>
    </xf>
    <xf numFmtId="0" fontId="15" fillId="0" borderId="0"/>
    <xf numFmtId="0" fontId="26" fillId="0" borderId="0">
      <alignment vertical="top"/>
    </xf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6" fillId="12" borderId="21" applyNumberFormat="0" applyFont="0" applyAlignment="0" applyProtection="0"/>
    <xf numFmtId="0" fontId="11" fillId="12" borderId="21" applyNumberFormat="0" applyFont="0" applyAlignment="0" applyProtection="0"/>
    <xf numFmtId="0" fontId="26" fillId="12" borderId="21" applyNumberFormat="0" applyFont="0" applyAlignment="0" applyProtection="0"/>
    <xf numFmtId="0" fontId="31" fillId="12" borderId="21" applyNumberFormat="0" applyFont="0" applyAlignment="0" applyProtection="0"/>
    <xf numFmtId="0" fontId="25" fillId="12" borderId="21" applyNumberFormat="0" applyFont="0" applyAlignment="0" applyProtection="0"/>
    <xf numFmtId="0" fontId="31" fillId="12" borderId="21" applyNumberFormat="0" applyFont="0" applyAlignment="0" applyProtection="0"/>
    <xf numFmtId="0" fontId="31" fillId="12" borderId="21" applyNumberFormat="0" applyFont="0" applyAlignment="0" applyProtection="0"/>
    <xf numFmtId="173" fontId="58" fillId="0" borderId="0" applyNumberFormat="0"/>
    <xf numFmtId="0" fontId="43" fillId="30" borderId="22" applyNumberFormat="0" applyAlignment="0" applyProtection="0"/>
    <xf numFmtId="0" fontId="59" fillId="30" borderId="23" applyNumberFormat="0" applyAlignment="0" applyProtection="0"/>
    <xf numFmtId="0" fontId="59" fillId="30" borderId="23" applyNumberFormat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4" fontId="32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38" fontId="60" fillId="0" borderId="0" applyNumberFormat="0" applyFont="0" applyFill="0" applyBorder="0">
      <alignment horizontal="left" indent="4"/>
      <protection locked="0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61" fillId="0" borderId="24">
      <alignment horizontal="center"/>
    </xf>
    <xf numFmtId="3" fontId="28" fillId="0" borderId="0" applyFont="0" applyFill="0" applyBorder="0" applyAlignment="0" applyProtection="0"/>
    <xf numFmtId="0" fontId="28" fillId="39" borderId="0" applyNumberFormat="0" applyFon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 applyNumberFormat="0" applyBorder="0" applyAlignment="0"/>
    <xf numFmtId="0" fontId="26" fillId="0" borderId="0" applyNumberFormat="0" applyBorder="0" applyAlignment="0"/>
    <xf numFmtId="37" fontId="63" fillId="0" borderId="0"/>
    <xf numFmtId="175" fontId="64" fillId="40" borderId="0" applyFill="0" applyBorder="0" applyProtection="0">
      <alignment horizontal="center"/>
      <protection hidden="1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25" applyNumberFormat="0" applyFill="0" applyAlignment="0" applyProtection="0"/>
    <xf numFmtId="0" fontId="67" fillId="0" borderId="27" applyNumberFormat="0" applyFill="0" applyAlignment="0" applyProtection="0"/>
    <xf numFmtId="0" fontId="67" fillId="0" borderId="28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8" fillId="0" borderId="0">
      <alignment horizont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69" fillId="41" borderId="0" applyFont="0" applyFill="0" applyBorder="0" applyAlignment="0" applyProtection="0">
      <alignment wrapText="1"/>
    </xf>
    <xf numFmtId="172" fontId="31" fillId="0" borderId="0"/>
    <xf numFmtId="0" fontId="15" fillId="0" borderId="0"/>
    <xf numFmtId="0" fontId="26" fillId="0" borderId="0">
      <alignment vertical="top"/>
    </xf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75">
    <xf numFmtId="0" fontId="0" fillId="0" borderId="0" xfId="0"/>
    <xf numFmtId="0" fontId="3" fillId="4" borderId="0" xfId="0" applyFont="1" applyFill="1"/>
    <xf numFmtId="0" fontId="10" fillId="4" borderId="0" xfId="0" applyFont="1" applyFill="1"/>
    <xf numFmtId="0" fontId="71" fillId="4" borderId="0" xfId="0" applyFont="1" applyFill="1"/>
    <xf numFmtId="0" fontId="71" fillId="4" borderId="2" xfId="0" applyFont="1" applyFill="1" applyBorder="1"/>
    <xf numFmtId="43" fontId="71" fillId="4" borderId="0" xfId="1" applyFont="1" applyFill="1"/>
    <xf numFmtId="164" fontId="71" fillId="4" borderId="0" xfId="1" applyNumberFormat="1" applyFont="1" applyFill="1"/>
    <xf numFmtId="43" fontId="71" fillId="4" borderId="0" xfId="0" applyNumberFormat="1" applyFont="1" applyFill="1"/>
    <xf numFmtId="0" fontId="71" fillId="0" borderId="0" xfId="0" applyFont="1"/>
    <xf numFmtId="0" fontId="71" fillId="4" borderId="1" xfId="0" applyFont="1" applyFill="1" applyBorder="1" applyAlignment="1">
      <alignment horizontal="center"/>
    </xf>
    <xf numFmtId="43" fontId="71" fillId="4" borderId="0" xfId="0" applyNumberFormat="1" applyFont="1" applyFill="1" applyAlignment="1">
      <alignment horizontal="center"/>
    </xf>
    <xf numFmtId="43" fontId="71" fillId="4" borderId="0" xfId="1" applyFont="1" applyFill="1" applyAlignment="1">
      <alignment horizontal="center"/>
    </xf>
    <xf numFmtId="0" fontId="71" fillId="4" borderId="0" xfId="0" applyFont="1" applyFill="1" applyAlignment="1">
      <alignment horizontal="left" indent="1"/>
    </xf>
    <xf numFmtId="0" fontId="10" fillId="4" borderId="0" xfId="0" applyFont="1" applyFill="1" applyAlignment="1">
      <alignment horizontal="right"/>
    </xf>
    <xf numFmtId="0" fontId="74" fillId="4" borderId="0" xfId="0" applyFont="1" applyFill="1"/>
    <xf numFmtId="0" fontId="74" fillId="4" borderId="0" xfId="0" applyFont="1" applyFill="1" applyAlignment="1">
      <alignment horizontal="center"/>
    </xf>
    <xf numFmtId="0" fontId="71" fillId="0" borderId="0" xfId="0" applyFont="1" applyAlignment="1">
      <alignment horizontal="left" indent="1"/>
    </xf>
    <xf numFmtId="0" fontId="3" fillId="4" borderId="0" xfId="0" applyFont="1" applyFill="1" applyAlignment="1">
      <alignment horizontal="left" indent="1"/>
    </xf>
    <xf numFmtId="43" fontId="3" fillId="4" borderId="0" xfId="0" applyNumberFormat="1" applyFont="1" applyFill="1"/>
    <xf numFmtId="41" fontId="71" fillId="4" borderId="0" xfId="1" applyNumberFormat="1" applyFont="1" applyFill="1"/>
    <xf numFmtId="0" fontId="3" fillId="3" borderId="1" xfId="0" applyFont="1" applyFill="1" applyBorder="1"/>
    <xf numFmtId="0" fontId="71" fillId="3" borderId="1" xfId="0" applyFont="1" applyFill="1" applyBorder="1" applyAlignment="1">
      <alignment horizontal="center"/>
    </xf>
    <xf numFmtId="0" fontId="71" fillId="4" borderId="0" xfId="0" applyFont="1" applyFill="1" applyAlignment="1">
      <alignment horizontal="left"/>
    </xf>
    <xf numFmtId="44" fontId="71" fillId="4" borderId="0" xfId="2" applyFont="1" applyFill="1"/>
    <xf numFmtId="165" fontId="71" fillId="4" borderId="0" xfId="2" applyNumberFormat="1" applyFont="1" applyFill="1"/>
    <xf numFmtId="166" fontId="71" fillId="4" borderId="0" xfId="1" applyNumberFormat="1" applyFont="1" applyFill="1"/>
    <xf numFmtId="165" fontId="71" fillId="4" borderId="1" xfId="2" applyNumberFormat="1" applyFont="1" applyFill="1" applyBorder="1"/>
    <xf numFmtId="166" fontId="71" fillId="4" borderId="0" xfId="1" applyNumberFormat="1" applyFont="1" applyFill="1" applyBorder="1"/>
    <xf numFmtId="176" fontId="71" fillId="4" borderId="0" xfId="2" applyNumberFormat="1" applyFont="1" applyFill="1"/>
    <xf numFmtId="166" fontId="71" fillId="4" borderId="1" xfId="1" applyNumberFormat="1" applyFont="1" applyFill="1" applyBorder="1"/>
    <xf numFmtId="10" fontId="71" fillId="4" borderId="0" xfId="0" applyNumberFormat="1" applyFont="1" applyFill="1"/>
    <xf numFmtId="167" fontId="71" fillId="4" borderId="0" xfId="0" applyNumberFormat="1" applyFont="1" applyFill="1"/>
    <xf numFmtId="168" fontId="71" fillId="4" borderId="0" xfId="0" applyNumberFormat="1" applyFont="1" applyFill="1"/>
    <xf numFmtId="166" fontId="71" fillId="4" borderId="0" xfId="0" applyNumberFormat="1" applyFont="1" applyFill="1"/>
    <xf numFmtId="44" fontId="71" fillId="4" borderId="0" xfId="0" applyNumberFormat="1" applyFont="1" applyFill="1"/>
    <xf numFmtId="169" fontId="71" fillId="4" borderId="0" xfId="0" applyNumberFormat="1" applyFont="1" applyFill="1"/>
    <xf numFmtId="170" fontId="71" fillId="4" borderId="0" xfId="0" applyNumberFormat="1" applyFont="1" applyFill="1"/>
    <xf numFmtId="42" fontId="3" fillId="4" borderId="0" xfId="0" applyNumberFormat="1" applyFont="1" applyFill="1"/>
    <xf numFmtId="0" fontId="71" fillId="4" borderId="0" xfId="0" applyFont="1" applyFill="1" applyAlignment="1">
      <alignment horizontal="center"/>
    </xf>
    <xf numFmtId="4" fontId="10" fillId="4" borderId="0" xfId="676" applyNumberFormat="1" applyFont="1" applyFill="1"/>
    <xf numFmtId="172" fontId="10" fillId="4" borderId="0" xfId="676" applyFont="1" applyFill="1"/>
    <xf numFmtId="172" fontId="75" fillId="4" borderId="0" xfId="676" applyFont="1" applyFill="1"/>
    <xf numFmtId="2" fontId="10" fillId="4" borderId="0" xfId="676" applyNumberFormat="1" applyFont="1" applyFill="1"/>
    <xf numFmtId="4" fontId="10" fillId="4" borderId="0" xfId="676" applyNumberFormat="1" applyFont="1" applyFill="1" applyAlignment="1">
      <alignment horizontal="center"/>
    </xf>
    <xf numFmtId="10" fontId="75" fillId="4" borderId="0" xfId="3" applyNumberFormat="1" applyFont="1" applyFill="1" applyBorder="1"/>
    <xf numFmtId="2" fontId="10" fillId="4" borderId="0" xfId="676" applyNumberFormat="1" applyFont="1" applyFill="1" applyAlignment="1">
      <alignment horizontal="right"/>
    </xf>
    <xf numFmtId="14" fontId="76" fillId="42" borderId="0" xfId="676" applyNumberFormat="1" applyFont="1" applyFill="1" applyAlignment="1">
      <alignment horizontal="center"/>
    </xf>
    <xf numFmtId="172" fontId="76" fillId="42" borderId="0" xfId="676" applyFont="1" applyFill="1"/>
    <xf numFmtId="2" fontId="76" fillId="42" borderId="0" xfId="676" applyNumberFormat="1" applyFont="1" applyFill="1" applyAlignment="1">
      <alignment horizontal="center"/>
    </xf>
    <xf numFmtId="0" fontId="10" fillId="42" borderId="0" xfId="677" applyFont="1" applyFill="1" applyAlignment="1">
      <alignment horizontal="center"/>
    </xf>
    <xf numFmtId="4" fontId="76" fillId="42" borderId="0" xfId="676" applyNumberFormat="1" applyFont="1" applyFill="1" applyAlignment="1">
      <alignment horizontal="center"/>
    </xf>
    <xf numFmtId="43" fontId="75" fillId="42" borderId="0" xfId="677" applyNumberFormat="1" applyFont="1" applyFill="1"/>
    <xf numFmtId="4" fontId="75" fillId="6" borderId="0" xfId="676" applyNumberFormat="1" applyFont="1" applyFill="1" applyAlignment="1">
      <alignment horizontal="center"/>
    </xf>
    <xf numFmtId="172" fontId="75" fillId="6" borderId="0" xfId="676" applyFont="1" applyFill="1"/>
    <xf numFmtId="2" fontId="75" fillId="6" borderId="0" xfId="676" applyNumberFormat="1" applyFont="1" applyFill="1" applyAlignment="1">
      <alignment horizontal="right"/>
    </xf>
    <xf numFmtId="2" fontId="75" fillId="6" borderId="0" xfId="676" applyNumberFormat="1" applyFont="1" applyFill="1" applyAlignment="1">
      <alignment horizontal="center"/>
    </xf>
    <xf numFmtId="4" fontId="10" fillId="6" borderId="0" xfId="676" applyNumberFormat="1" applyFont="1" applyFill="1"/>
    <xf numFmtId="43" fontId="10" fillId="4" borderId="0" xfId="677" applyNumberFormat="1" applyFont="1" applyFill="1"/>
    <xf numFmtId="4" fontId="10" fillId="4" borderId="0" xfId="676" applyNumberFormat="1" applyFont="1" applyFill="1" applyAlignment="1">
      <alignment horizontal="right"/>
    </xf>
    <xf numFmtId="2" fontId="75" fillId="4" borderId="0" xfId="676" applyNumberFormat="1" applyFont="1" applyFill="1" applyAlignment="1">
      <alignment horizontal="right"/>
    </xf>
    <xf numFmtId="4" fontId="10" fillId="6" borderId="0" xfId="676" applyNumberFormat="1" applyFont="1" applyFill="1" applyAlignment="1">
      <alignment horizontal="right"/>
    </xf>
    <xf numFmtId="172" fontId="10" fillId="4" borderId="0" xfId="676" applyFont="1" applyFill="1" applyAlignment="1">
      <alignment horizontal="right"/>
    </xf>
    <xf numFmtId="172" fontId="10" fillId="6" borderId="0" xfId="676" applyFont="1" applyFill="1" applyAlignment="1">
      <alignment horizontal="right"/>
    </xf>
    <xf numFmtId="2" fontId="10" fillId="6" borderId="0" xfId="676" applyNumberFormat="1" applyFont="1" applyFill="1" applyAlignment="1">
      <alignment horizontal="right"/>
    </xf>
    <xf numFmtId="4" fontId="75" fillId="4" borderId="0" xfId="676" applyNumberFormat="1" applyFont="1" applyFill="1"/>
    <xf numFmtId="172" fontId="10" fillId="6" borderId="0" xfId="676" applyFont="1" applyFill="1"/>
    <xf numFmtId="2" fontId="10" fillId="6" borderId="0" xfId="676" applyNumberFormat="1" applyFont="1" applyFill="1"/>
    <xf numFmtId="2" fontId="75" fillId="4" borderId="0" xfId="676" applyNumberFormat="1" applyFont="1" applyFill="1"/>
    <xf numFmtId="4" fontId="77" fillId="4" borderId="0" xfId="676" applyNumberFormat="1" applyFont="1" applyFill="1"/>
    <xf numFmtId="43" fontId="78" fillId="4" borderId="0" xfId="677" applyNumberFormat="1" applyFont="1" applyFill="1"/>
    <xf numFmtId="172" fontId="77" fillId="4" borderId="0" xfId="676" applyFont="1" applyFill="1"/>
    <xf numFmtId="2" fontId="77" fillId="4" borderId="0" xfId="676" applyNumberFormat="1" applyFont="1" applyFill="1" applyAlignment="1">
      <alignment horizontal="right"/>
    </xf>
    <xf numFmtId="2" fontId="77" fillId="4" borderId="0" xfId="676" applyNumberFormat="1" applyFont="1" applyFill="1"/>
    <xf numFmtId="172" fontId="79" fillId="4" borderId="0" xfId="676" applyFont="1" applyFill="1"/>
    <xf numFmtId="43" fontId="80" fillId="4" borderId="0" xfId="677" applyNumberFormat="1" applyFont="1" applyFill="1"/>
    <xf numFmtId="43" fontId="78" fillId="4" borderId="0" xfId="677" applyNumberFormat="1" applyFont="1" applyFill="1" applyAlignment="1">
      <alignment horizontal="left"/>
    </xf>
    <xf numFmtId="4" fontId="78" fillId="4" borderId="0" xfId="677" applyNumberFormat="1" applyFont="1" applyFill="1"/>
    <xf numFmtId="172" fontId="10" fillId="4" borderId="0" xfId="676" applyFont="1" applyFill="1" applyAlignment="1">
      <alignment horizontal="left"/>
    </xf>
    <xf numFmtId="2" fontId="10" fillId="0" borderId="0" xfId="676" applyNumberFormat="1" applyFont="1" applyAlignment="1">
      <alignment horizontal="right"/>
    </xf>
    <xf numFmtId="43" fontId="10" fillId="4" borderId="0" xfId="1" applyFont="1" applyFill="1" applyBorder="1"/>
    <xf numFmtId="1" fontId="75" fillId="4" borderId="0" xfId="403" applyNumberFormat="1" applyFont="1" applyFill="1" applyAlignment="1">
      <alignment horizontal="left"/>
    </xf>
    <xf numFmtId="0" fontId="71" fillId="4" borderId="0" xfId="0" applyFont="1" applyFill="1" applyAlignment="1">
      <alignment horizontal="right"/>
    </xf>
    <xf numFmtId="164" fontId="71" fillId="0" borderId="0" xfId="1" applyNumberFormat="1" applyFont="1" applyFill="1"/>
    <xf numFmtId="164" fontId="71" fillId="4" borderId="1" xfId="1" applyNumberFormat="1" applyFont="1" applyFill="1" applyBorder="1"/>
    <xf numFmtId="0" fontId="3" fillId="4" borderId="0" xfId="0" applyFont="1" applyFill="1" applyAlignment="1">
      <alignment vertical="center"/>
    </xf>
    <xf numFmtId="0" fontId="70" fillId="4" borderId="0" xfId="4" applyFont="1" applyFill="1" applyAlignment="1">
      <alignment vertical="center"/>
    </xf>
    <xf numFmtId="0" fontId="71" fillId="4" borderId="0" xfId="0" applyFont="1" applyFill="1" applyAlignment="1">
      <alignment vertical="center"/>
    </xf>
    <xf numFmtId="164" fontId="71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6" fillId="4" borderId="0" xfId="4" applyFont="1" applyFill="1" applyAlignment="1">
      <alignment horizontal="left" vertical="center"/>
    </xf>
    <xf numFmtId="0" fontId="6" fillId="4" borderId="0" xfId="4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7" fillId="5" borderId="0" xfId="4" applyFont="1" applyFill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0" fontId="9" fillId="6" borderId="0" xfId="4" applyFont="1" applyFill="1" applyAlignment="1">
      <alignment vertical="center"/>
    </xf>
    <xf numFmtId="0" fontId="10" fillId="4" borderId="0" xfId="0" applyFont="1" applyFill="1" applyAlignment="1">
      <alignment vertical="center"/>
    </xf>
    <xf numFmtId="44" fontId="71" fillId="4" borderId="0" xfId="2" applyFont="1" applyFill="1" applyAlignment="1">
      <alignment vertical="center"/>
    </xf>
    <xf numFmtId="43" fontId="71" fillId="4" borderId="0" xfId="0" applyNumberFormat="1" applyFont="1" applyFill="1" applyAlignment="1">
      <alignment vertical="center"/>
    </xf>
    <xf numFmtId="164" fontId="71" fillId="4" borderId="0" xfId="0" applyNumberFormat="1" applyFont="1" applyFill="1" applyAlignment="1">
      <alignment vertical="center"/>
    </xf>
    <xf numFmtId="1" fontId="71" fillId="4" borderId="0" xfId="0" applyNumberFormat="1" applyFont="1" applyFill="1" applyAlignment="1">
      <alignment vertical="center"/>
    </xf>
    <xf numFmtId="0" fontId="70" fillId="4" borderId="0" xfId="5" applyFont="1" applyFill="1" applyAlignment="1">
      <alignment vertical="center"/>
    </xf>
    <xf numFmtId="0" fontId="72" fillId="4" borderId="0" xfId="4" applyFont="1" applyFill="1" applyAlignment="1">
      <alignment horizontal="right" vertical="center"/>
    </xf>
    <xf numFmtId="44" fontId="71" fillId="4" borderId="2" xfId="2" applyFont="1" applyFill="1" applyBorder="1" applyAlignment="1">
      <alignment vertical="center"/>
    </xf>
    <xf numFmtId="0" fontId="71" fillId="4" borderId="2" xfId="0" applyFont="1" applyFill="1" applyBorder="1" applyAlignment="1">
      <alignment vertical="center"/>
    </xf>
    <xf numFmtId="164" fontId="71" fillId="4" borderId="2" xfId="1" applyNumberFormat="1" applyFont="1" applyFill="1" applyBorder="1" applyAlignment="1">
      <alignment vertical="center"/>
    </xf>
    <xf numFmtId="0" fontId="5" fillId="4" borderId="0" xfId="4" applyFont="1" applyFill="1" applyAlignment="1">
      <alignment vertical="center"/>
    </xf>
    <xf numFmtId="43" fontId="71" fillId="4" borderId="0" xfId="1" applyFont="1" applyFill="1" applyAlignment="1">
      <alignment vertical="center"/>
    </xf>
    <xf numFmtId="164" fontId="71" fillId="0" borderId="0" xfId="0" applyNumberFormat="1" applyFont="1" applyAlignment="1">
      <alignment vertical="center"/>
    </xf>
    <xf numFmtId="44" fontId="71" fillId="4" borderId="0" xfId="2" quotePrefix="1" applyFont="1" applyFill="1" applyAlignment="1">
      <alignment vertical="center"/>
    </xf>
    <xf numFmtId="0" fontId="1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44" fontId="71" fillId="0" borderId="0" xfId="2" applyFont="1" applyFill="1" applyAlignment="1">
      <alignment vertical="center"/>
    </xf>
    <xf numFmtId="164" fontId="71" fillId="0" borderId="0" xfId="1" applyNumberFormat="1" applyFont="1" applyFill="1" applyAlignment="1">
      <alignment vertical="center"/>
    </xf>
    <xf numFmtId="43" fontId="71" fillId="0" borderId="0" xfId="0" applyNumberFormat="1" applyFont="1" applyAlignment="1">
      <alignment vertical="center"/>
    </xf>
    <xf numFmtId="43" fontId="71" fillId="0" borderId="0" xfId="1" applyFont="1" applyFill="1" applyAlignment="1">
      <alignment vertical="center"/>
    </xf>
    <xf numFmtId="41" fontId="71" fillId="4" borderId="0" xfId="0" applyNumberFormat="1" applyFont="1" applyFill="1" applyAlignment="1">
      <alignment vertical="center"/>
    </xf>
    <xf numFmtId="164" fontId="71" fillId="4" borderId="2" xfId="0" applyNumberFormat="1" applyFont="1" applyFill="1" applyBorder="1" applyAlignment="1">
      <alignment vertical="center"/>
    </xf>
    <xf numFmtId="44" fontId="71" fillId="4" borderId="3" xfId="2" applyFont="1" applyFill="1" applyBorder="1" applyAlignment="1">
      <alignment vertical="center"/>
    </xf>
    <xf numFmtId="43" fontId="71" fillId="4" borderId="3" xfId="0" applyNumberFormat="1" applyFont="1" applyFill="1" applyBorder="1" applyAlignment="1">
      <alignment vertical="center"/>
    </xf>
    <xf numFmtId="44" fontId="71" fillId="4" borderId="0" xfId="0" applyNumberFormat="1" applyFont="1" applyFill="1" applyAlignment="1">
      <alignment vertical="center"/>
    </xf>
    <xf numFmtId="0" fontId="82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71" fillId="4" borderId="0" xfId="1" applyNumberFormat="1" applyFont="1" applyFill="1" applyBorder="1" applyAlignment="1">
      <alignment vertical="center"/>
    </xf>
    <xf numFmtId="164" fontId="71" fillId="4" borderId="0" xfId="1" applyNumberFormat="1" applyFont="1" applyFill="1" applyBorder="1" applyAlignment="1">
      <alignment horizontal="right" vertical="center"/>
    </xf>
    <xf numFmtId="177" fontId="71" fillId="4" borderId="0" xfId="0" applyNumberFormat="1" applyFont="1" applyFill="1" applyAlignment="1">
      <alignment vertical="center"/>
    </xf>
    <xf numFmtId="3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10" fontId="3" fillId="4" borderId="0" xfId="3" applyNumberFormat="1" applyFont="1" applyFill="1" applyBorder="1" applyAlignment="1">
      <alignment horizontal="right" vertical="center"/>
    </xf>
    <xf numFmtId="10" fontId="71" fillId="4" borderId="0" xfId="3" applyNumberFormat="1" applyFont="1" applyFill="1" applyBorder="1" applyAlignment="1">
      <alignment horizontal="right" vertical="center"/>
    </xf>
    <xf numFmtId="3" fontId="71" fillId="4" borderId="0" xfId="0" applyNumberFormat="1" applyFont="1" applyFill="1" applyAlignment="1">
      <alignment vertical="center"/>
    </xf>
    <xf numFmtId="164" fontId="81" fillId="4" borderId="0" xfId="1" applyNumberFormat="1" applyFont="1" applyFill="1" applyBorder="1" applyAlignment="1">
      <alignment vertical="center"/>
    </xf>
    <xf numFmtId="0" fontId="81" fillId="4" borderId="0" xfId="0" applyFont="1" applyFill="1" applyAlignment="1">
      <alignment horizontal="center" vertical="center"/>
    </xf>
    <xf numFmtId="165" fontId="71" fillId="4" borderId="0" xfId="2" applyNumberFormat="1" applyFont="1" applyFill="1" applyBorder="1" applyAlignment="1">
      <alignment vertical="center"/>
    </xf>
    <xf numFmtId="164" fontId="3" fillId="4" borderId="0" xfId="1" applyNumberFormat="1" applyFont="1" applyFill="1" applyBorder="1" applyAlignment="1">
      <alignment vertical="center"/>
    </xf>
    <xf numFmtId="10" fontId="71" fillId="4" borderId="0" xfId="1" applyNumberFormat="1" applyFont="1" applyFill="1" applyBorder="1" applyAlignment="1">
      <alignment vertical="center"/>
    </xf>
    <xf numFmtId="0" fontId="73" fillId="4" borderId="0" xfId="4" applyFont="1" applyFill="1" applyAlignment="1">
      <alignment horizontal="left" vertical="center" wrapText="1"/>
    </xf>
    <xf numFmtId="0" fontId="73" fillId="4" borderId="0" xfId="4" applyFont="1" applyFill="1" applyAlignment="1">
      <alignment horizontal="center" vertical="center" wrapText="1"/>
    </xf>
    <xf numFmtId="0" fontId="71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72" fillId="4" borderId="0" xfId="4" applyFont="1" applyFill="1" applyAlignment="1">
      <alignment vertical="center"/>
    </xf>
    <xf numFmtId="0" fontId="71" fillId="43" borderId="0" xfId="0" applyFont="1" applyFill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10" fontId="71" fillId="4" borderId="0" xfId="0" applyNumberFormat="1" applyFont="1" applyFill="1" applyAlignment="1">
      <alignment horizontal="center" vertical="center"/>
    </xf>
    <xf numFmtId="10" fontId="3" fillId="4" borderId="29" xfId="0" applyNumberFormat="1" applyFont="1" applyFill="1" applyBorder="1" applyAlignment="1">
      <alignment horizontal="center" vertical="center"/>
    </xf>
    <xf numFmtId="44" fontId="71" fillId="4" borderId="0" xfId="2" applyFont="1" applyFill="1" applyBorder="1" applyAlignment="1">
      <alignment vertical="center"/>
    </xf>
    <xf numFmtId="44" fontId="71" fillId="0" borderId="0" xfId="0" applyNumberFormat="1" applyFont="1" applyAlignment="1">
      <alignment vertical="center"/>
    </xf>
    <xf numFmtId="0" fontId="71" fillId="4" borderId="1" xfId="0" applyFont="1" applyFill="1" applyBorder="1"/>
    <xf numFmtId="4" fontId="10" fillId="44" borderId="0" xfId="676" applyNumberFormat="1" applyFont="1" applyFill="1"/>
    <xf numFmtId="165" fontId="71" fillId="0" borderId="1" xfId="2" applyNumberFormat="1" applyFont="1" applyFill="1" applyBorder="1"/>
    <xf numFmtId="0" fontId="83" fillId="0" borderId="0" xfId="4" applyFont="1" applyAlignment="1">
      <alignment vertical="center" wrapText="1"/>
    </xf>
    <xf numFmtId="0" fontId="3" fillId="0" borderId="0" xfId="0" applyFont="1" applyAlignment="1">
      <alignment horizontal="center" wrapText="1"/>
    </xf>
    <xf numFmtId="4" fontId="80" fillId="4" borderId="0" xfId="677" applyNumberFormat="1" applyFont="1" applyFill="1"/>
    <xf numFmtId="0" fontId="84" fillId="4" borderId="0" xfId="677" applyFont="1" applyFill="1"/>
    <xf numFmtId="0" fontId="15" fillId="4" borderId="0" xfId="677" applyFill="1"/>
    <xf numFmtId="0" fontId="3" fillId="0" borderId="2" xfId="0" applyFont="1" applyBorder="1" applyAlignment="1">
      <alignment horizontal="center" vertical="center" wrapText="1"/>
    </xf>
    <xf numFmtId="44" fontId="71" fillId="45" borderId="0" xfId="2" applyFont="1" applyFill="1" applyAlignment="1">
      <alignment vertical="center"/>
    </xf>
    <xf numFmtId="0" fontId="72" fillId="45" borderId="0" xfId="4" applyFont="1" applyFill="1" applyAlignment="1">
      <alignment vertical="center"/>
    </xf>
    <xf numFmtId="0" fontId="71" fillId="4" borderId="29" xfId="0" applyFont="1" applyFill="1" applyBorder="1"/>
    <xf numFmtId="0" fontId="71" fillId="4" borderId="0" xfId="0" applyFont="1" applyFill="1" applyAlignment="1">
      <alignment horizontal="centerContinuous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Continuous"/>
    </xf>
    <xf numFmtId="0" fontId="85" fillId="0" borderId="0" xfId="0" applyFont="1"/>
    <xf numFmtId="0" fontId="0" fillId="0" borderId="38" xfId="0" applyBorder="1"/>
    <xf numFmtId="0" fontId="85" fillId="0" borderId="0" xfId="0" applyFont="1" applyAlignment="1">
      <alignment horizontal="center"/>
    </xf>
    <xf numFmtId="0" fontId="0" fillId="0" borderId="39" xfId="0" applyBorder="1"/>
    <xf numFmtId="44" fontId="0" fillId="0" borderId="0" xfId="2" applyFont="1" applyBorder="1"/>
    <xf numFmtId="0" fontId="0" fillId="48" borderId="38" xfId="0" applyFill="1" applyBorder="1"/>
    <xf numFmtId="43" fontId="0" fillId="48" borderId="0" xfId="1" applyFont="1" applyFill="1" applyBorder="1"/>
    <xf numFmtId="44" fontId="0" fillId="48" borderId="0" xfId="2" applyFont="1" applyFill="1" applyBorder="1"/>
    <xf numFmtId="44" fontId="0" fillId="0" borderId="39" xfId="2" applyFont="1" applyBorder="1"/>
    <xf numFmtId="0" fontId="0" fillId="0" borderId="39" xfId="0" quotePrefix="1" applyBorder="1"/>
    <xf numFmtId="44" fontId="0" fillId="0" borderId="0" xfId="0" applyNumberFormat="1"/>
    <xf numFmtId="43" fontId="0" fillId="48" borderId="3" xfId="1" applyFont="1" applyFill="1" applyBorder="1"/>
    <xf numFmtId="44" fontId="0" fillId="48" borderId="3" xfId="2" applyFont="1" applyFill="1" applyBorder="1"/>
    <xf numFmtId="44" fontId="0" fillId="0" borderId="0" xfId="2" applyFont="1" applyFill="1" applyBorder="1"/>
    <xf numFmtId="43" fontId="0" fillId="0" borderId="0" xfId="1" applyFont="1" applyBorder="1"/>
    <xf numFmtId="44" fontId="0" fillId="0" borderId="3" xfId="2" applyFont="1" applyBorder="1"/>
    <xf numFmtId="44" fontId="0" fillId="0" borderId="0" xfId="2" applyFont="1"/>
    <xf numFmtId="0" fontId="0" fillId="0" borderId="38" xfId="0" quotePrefix="1" applyBorder="1"/>
    <xf numFmtId="10" fontId="86" fillId="0" borderId="0" xfId="679" applyNumberFormat="1" applyFont="1" applyBorder="1"/>
    <xf numFmtId="0" fontId="87" fillId="0" borderId="39" xfId="0" quotePrefix="1" applyFont="1" applyBorder="1"/>
    <xf numFmtId="0" fontId="86" fillId="0" borderId="33" xfId="0" applyFont="1" applyBorder="1"/>
    <xf numFmtId="44" fontId="86" fillId="0" borderId="40" xfId="0" applyNumberFormat="1" applyFont="1" applyBorder="1"/>
    <xf numFmtId="0" fontId="0" fillId="0" borderId="34" xfId="0" applyBorder="1"/>
    <xf numFmtId="0" fontId="86" fillId="0" borderId="0" xfId="0" applyFont="1"/>
    <xf numFmtId="0" fontId="0" fillId="49" borderId="38" xfId="0" applyFill="1" applyBorder="1"/>
    <xf numFmtId="43" fontId="0" fillId="49" borderId="0" xfId="1" applyFont="1" applyFill="1" applyBorder="1"/>
    <xf numFmtId="44" fontId="0" fillId="49" borderId="0" xfId="2" applyFont="1" applyFill="1" applyBorder="1"/>
    <xf numFmtId="168" fontId="0" fillId="0" borderId="0" xfId="679" applyNumberFormat="1" applyFont="1"/>
    <xf numFmtId="0" fontId="0" fillId="0" borderId="38" xfId="0" applyBorder="1" applyAlignment="1">
      <alignment horizontal="right"/>
    </xf>
    <xf numFmtId="43" fontId="0" fillId="49" borderId="3" xfId="1" applyFont="1" applyFill="1" applyBorder="1"/>
    <xf numFmtId="44" fontId="0" fillId="49" borderId="3" xfId="2" applyFont="1" applyFill="1" applyBorder="1"/>
    <xf numFmtId="0" fontId="0" fillId="0" borderId="33" xfId="0" applyBorder="1"/>
    <xf numFmtId="0" fontId="0" fillId="0" borderId="40" xfId="0" applyBorder="1"/>
    <xf numFmtId="43" fontId="0" fillId="0" borderId="40" xfId="1" applyFont="1" applyBorder="1"/>
    <xf numFmtId="43" fontId="0" fillId="0" borderId="0" xfId="1" applyFont="1"/>
    <xf numFmtId="0" fontId="85" fillId="0" borderId="39" xfId="0" applyFont="1" applyBorder="1" applyAlignment="1">
      <alignment horizontal="center"/>
    </xf>
    <xf numFmtId="43" fontId="0" fillId="0" borderId="0" xfId="0" applyNumberFormat="1"/>
    <xf numFmtId="0" fontId="0" fillId="0" borderId="38" xfId="0" applyBorder="1" applyAlignment="1">
      <alignment wrapText="1"/>
    </xf>
    <xf numFmtId="43" fontId="0" fillId="0" borderId="3" xfId="1" applyFont="1" applyBorder="1"/>
    <xf numFmtId="44" fontId="0" fillId="0" borderId="41" xfId="2" applyFont="1" applyBorder="1"/>
    <xf numFmtId="44" fontId="0" fillId="0" borderId="34" xfId="2" applyFont="1" applyBorder="1"/>
    <xf numFmtId="10" fontId="0" fillId="0" borderId="0" xfId="680" applyNumberFormat="1" applyFont="1" applyBorder="1"/>
    <xf numFmtId="10" fontId="0" fillId="0" borderId="40" xfId="680" applyNumberFormat="1" applyFont="1" applyBorder="1"/>
    <xf numFmtId="10" fontId="3" fillId="4" borderId="0" xfId="0" applyNumberFormat="1" applyFont="1" applyFill="1" applyAlignment="1">
      <alignment vertical="center"/>
    </xf>
    <xf numFmtId="10" fontId="3" fillId="4" borderId="0" xfId="0" applyNumberFormat="1" applyFont="1" applyFill="1" applyAlignment="1">
      <alignment horizontal="center" vertical="center"/>
    </xf>
    <xf numFmtId="164" fontId="3" fillId="50" borderId="0" xfId="1" applyNumberFormat="1" applyFont="1" applyFill="1" applyBorder="1" applyAlignment="1">
      <alignment horizontal="right" vertical="center"/>
    </xf>
    <xf numFmtId="0" fontId="71" fillId="4" borderId="30" xfId="0" applyFont="1" applyFill="1" applyBorder="1" applyAlignment="1">
      <alignment vertical="center"/>
    </xf>
    <xf numFmtId="0" fontId="3" fillId="4" borderId="31" xfId="0" applyFont="1" applyFill="1" applyBorder="1" applyAlignment="1">
      <alignment horizontal="right" vertical="center"/>
    </xf>
    <xf numFmtId="177" fontId="3" fillId="4" borderId="31" xfId="0" applyNumberFormat="1" applyFont="1" applyFill="1" applyBorder="1" applyAlignment="1">
      <alignment vertical="center"/>
    </xf>
    <xf numFmtId="10" fontId="3" fillId="4" borderId="32" xfId="3" applyNumberFormat="1" applyFont="1" applyFill="1" applyBorder="1" applyAlignment="1">
      <alignment horizontal="center" vertical="center"/>
    </xf>
    <xf numFmtId="0" fontId="71" fillId="4" borderId="38" xfId="0" applyFont="1" applyFill="1" applyBorder="1" applyAlignment="1">
      <alignment vertical="center"/>
    </xf>
    <xf numFmtId="177" fontId="3" fillId="4" borderId="0" xfId="0" applyNumberFormat="1" applyFont="1" applyFill="1" applyAlignment="1">
      <alignment vertical="center"/>
    </xf>
    <xf numFmtId="10" fontId="3" fillId="4" borderId="39" xfId="3" applyNumberFormat="1" applyFont="1" applyFill="1" applyBorder="1" applyAlignment="1">
      <alignment horizontal="center" vertical="center"/>
    </xf>
    <xf numFmtId="0" fontId="71" fillId="4" borderId="39" xfId="0" applyFont="1" applyFill="1" applyBorder="1" applyAlignment="1">
      <alignment vertical="center"/>
    </xf>
    <xf numFmtId="0" fontId="71" fillId="4" borderId="0" xfId="0" applyFont="1" applyFill="1" applyAlignment="1">
      <alignment horizontal="right" vertical="center"/>
    </xf>
    <xf numFmtId="10" fontId="3" fillId="4" borderId="39" xfId="0" applyNumberFormat="1" applyFont="1" applyFill="1" applyBorder="1" applyAlignment="1">
      <alignment horizontal="center" vertical="center"/>
    </xf>
    <xf numFmtId="0" fontId="71" fillId="4" borderId="33" xfId="0" applyFont="1" applyFill="1" applyBorder="1" applyAlignment="1">
      <alignment vertical="center"/>
    </xf>
    <xf numFmtId="0" fontId="71" fillId="4" borderId="40" xfId="0" applyFont="1" applyFill="1" applyBorder="1" applyAlignment="1">
      <alignment vertical="center"/>
    </xf>
    <xf numFmtId="177" fontId="71" fillId="4" borderId="34" xfId="0" applyNumberFormat="1" applyFont="1" applyFill="1" applyBorder="1" applyAlignment="1">
      <alignment horizontal="right" vertical="center"/>
    </xf>
    <xf numFmtId="177" fontId="3" fillId="4" borderId="1" xfId="0" applyNumberFormat="1" applyFont="1" applyFill="1" applyBorder="1" applyAlignment="1">
      <alignment vertical="center"/>
    </xf>
    <xf numFmtId="44" fontId="71" fillId="47" borderId="0" xfId="2" applyFont="1" applyFill="1"/>
    <xf numFmtId="44" fontId="71" fillId="47" borderId="1" xfId="2" applyFont="1" applyFill="1" applyBorder="1"/>
    <xf numFmtId="0" fontId="88" fillId="47" borderId="35" xfId="0" applyFont="1" applyFill="1" applyBorder="1"/>
    <xf numFmtId="0" fontId="0" fillId="47" borderId="36" xfId="0" applyFill="1" applyBorder="1"/>
    <xf numFmtId="0" fontId="0" fillId="47" borderId="37" xfId="0" applyFill="1" applyBorder="1"/>
    <xf numFmtId="0" fontId="10" fillId="0" borderId="0" xfId="0" applyFont="1" applyFill="1" applyAlignment="1">
      <alignment vertical="center"/>
    </xf>
    <xf numFmtId="0" fontId="71" fillId="0" borderId="0" xfId="0" applyFont="1" applyFill="1" applyAlignment="1">
      <alignment vertical="center"/>
    </xf>
    <xf numFmtId="43" fontId="71" fillId="0" borderId="0" xfId="0" applyNumberFormat="1" applyFont="1" applyFill="1" applyAlignment="1">
      <alignment vertical="center"/>
    </xf>
    <xf numFmtId="164" fontId="71" fillId="0" borderId="0" xfId="0" applyNumberFormat="1" applyFont="1" applyFill="1" applyAlignment="1">
      <alignment vertical="center"/>
    </xf>
    <xf numFmtId="0" fontId="10" fillId="0" borderId="0" xfId="0" applyFont="1" applyFill="1"/>
    <xf numFmtId="0" fontId="72" fillId="0" borderId="0" xfId="4" applyFont="1" applyFill="1" applyAlignment="1">
      <alignment vertic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43" fontId="71" fillId="47" borderId="0" xfId="0" applyNumberFormat="1" applyFont="1" applyFill="1" applyAlignment="1">
      <alignment vertical="center"/>
    </xf>
    <xf numFmtId="4" fontId="10" fillId="0" borderId="0" xfId="676" applyNumberFormat="1" applyFont="1" applyFill="1" applyAlignment="1">
      <alignment horizontal="right"/>
    </xf>
    <xf numFmtId="172" fontId="10" fillId="0" borderId="0" xfId="676" applyFont="1" applyFill="1" applyAlignment="1">
      <alignment horizontal="right"/>
    </xf>
    <xf numFmtId="4" fontId="10" fillId="0" borderId="0" xfId="676" applyNumberFormat="1" applyFont="1" applyFill="1"/>
    <xf numFmtId="172" fontId="10" fillId="0" borderId="0" xfId="676" applyFont="1" applyFill="1"/>
    <xf numFmtId="43" fontId="10" fillId="0" borderId="0" xfId="1" applyFont="1" applyFill="1"/>
    <xf numFmtId="2" fontId="10" fillId="0" borderId="0" xfId="676" applyNumberFormat="1" applyFont="1" applyFill="1" applyAlignment="1">
      <alignment horizontal="right"/>
    </xf>
    <xf numFmtId="2" fontId="10" fillId="0" borderId="0" xfId="676" applyNumberFormat="1" applyFont="1" applyFill="1"/>
    <xf numFmtId="4" fontId="89" fillId="4" borderId="0" xfId="676" applyNumberFormat="1" applyFont="1" applyFill="1"/>
    <xf numFmtId="177" fontId="71" fillId="4" borderId="2" xfId="2" applyNumberFormat="1" applyFont="1" applyFill="1" applyBorder="1" applyAlignment="1">
      <alignment vertical="center"/>
    </xf>
    <xf numFmtId="4" fontId="10" fillId="51" borderId="0" xfId="676" applyNumberFormat="1" applyFont="1" applyFill="1"/>
    <xf numFmtId="2" fontId="10" fillId="51" borderId="0" xfId="676" applyNumberFormat="1" applyFont="1" applyFill="1"/>
    <xf numFmtId="4" fontId="75" fillId="0" borderId="0" xfId="676" applyNumberFormat="1" applyFont="1" applyFill="1"/>
    <xf numFmtId="172" fontId="75" fillId="0" borderId="0" xfId="676" applyFont="1" applyFill="1"/>
    <xf numFmtId="2" fontId="75" fillId="0" borderId="0" xfId="676" applyNumberFormat="1" applyFont="1" applyFill="1" applyAlignment="1">
      <alignment horizontal="right"/>
    </xf>
    <xf numFmtId="2" fontId="75" fillId="0" borderId="0" xfId="676" applyNumberFormat="1" applyFont="1" applyFill="1"/>
    <xf numFmtId="4" fontId="77" fillId="0" borderId="0" xfId="676" applyNumberFormat="1" applyFont="1" applyFill="1"/>
    <xf numFmtId="172" fontId="77" fillId="0" borderId="0" xfId="676" applyFont="1" applyFill="1"/>
    <xf numFmtId="2" fontId="77" fillId="0" borderId="0" xfId="676" applyNumberFormat="1" applyFont="1" applyFill="1" applyAlignment="1">
      <alignment horizontal="right"/>
    </xf>
    <xf numFmtId="2" fontId="77" fillId="0" borderId="0" xfId="676" applyNumberFormat="1" applyFont="1" applyFill="1"/>
    <xf numFmtId="0" fontId="83" fillId="47" borderId="35" xfId="4" applyFont="1" applyFill="1" applyBorder="1" applyAlignment="1">
      <alignment horizontal="left" vertical="center" wrapText="1"/>
    </xf>
    <xf numFmtId="0" fontId="83" fillId="47" borderId="36" xfId="4" applyFont="1" applyFill="1" applyBorder="1" applyAlignment="1">
      <alignment horizontal="left" vertical="center" wrapText="1"/>
    </xf>
    <xf numFmtId="0" fontId="83" fillId="47" borderId="37" xfId="4" applyFont="1" applyFill="1" applyBorder="1" applyAlignment="1">
      <alignment horizontal="left" vertical="center" wrapText="1"/>
    </xf>
    <xf numFmtId="0" fontId="71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1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83" fillId="46" borderId="31" xfId="4" applyFont="1" applyFill="1" applyBorder="1" applyAlignment="1">
      <alignment horizontal="left" vertical="center" wrapText="1"/>
    </xf>
    <xf numFmtId="0" fontId="83" fillId="46" borderId="32" xfId="4" applyFont="1" applyFill="1" applyBorder="1" applyAlignment="1">
      <alignment horizontal="left" vertical="center" wrapText="1"/>
    </xf>
    <xf numFmtId="0" fontId="83" fillId="46" borderId="24" xfId="4" applyFont="1" applyFill="1" applyBorder="1" applyAlignment="1">
      <alignment horizontal="left" vertical="center" wrapText="1"/>
    </xf>
    <xf numFmtId="0" fontId="83" fillId="46" borderId="34" xfId="4" applyFont="1" applyFill="1" applyBorder="1" applyAlignment="1">
      <alignment horizontal="left" vertical="center" wrapText="1"/>
    </xf>
    <xf numFmtId="0" fontId="85" fillId="47" borderId="30" xfId="0" applyFont="1" applyFill="1" applyBorder="1" applyAlignment="1">
      <alignment horizontal="center"/>
    </xf>
    <xf numFmtId="0" fontId="85" fillId="47" borderId="31" xfId="0" applyFont="1" applyFill="1" applyBorder="1" applyAlignment="1">
      <alignment horizontal="center"/>
    </xf>
    <xf numFmtId="0" fontId="85" fillId="47" borderId="32" xfId="0" applyFont="1" applyFill="1" applyBorder="1" applyAlignment="1">
      <alignment horizontal="center"/>
    </xf>
    <xf numFmtId="0" fontId="85" fillId="0" borderId="0" xfId="0" applyFont="1" applyAlignment="1">
      <alignment horizontal="left" wrapText="1"/>
    </xf>
  </cellXfs>
  <cellStyles count="681">
    <cellStyle name="20% - Accent1 2" xfId="6"/>
    <cellStyle name="20% - Accent1 2 2" xfId="7"/>
    <cellStyle name="20% - Accent1 2 3" xfId="8"/>
    <cellStyle name="20% - Accent1 3" xfId="9"/>
    <cellStyle name="20% - Accent1 3 2" xfId="10"/>
    <cellStyle name="20% - Accent1 3 3" xfId="11"/>
    <cellStyle name="20% - Accent1 4" xfId="12"/>
    <cellStyle name="20% - Accent2 2" xfId="13"/>
    <cellStyle name="20% - Accent2 3" xfId="14"/>
    <cellStyle name="20% - Accent2 3 2" xfId="15"/>
    <cellStyle name="20% - Accent3 2" xfId="16"/>
    <cellStyle name="20% - Accent3 3" xfId="17"/>
    <cellStyle name="20% - Accent3 3 2" xfId="18"/>
    <cellStyle name="20% - Accent4 2" xfId="19"/>
    <cellStyle name="20% - Accent4 2 2" xfId="20"/>
    <cellStyle name="20% - Accent4 2 3" xfId="21"/>
    <cellStyle name="20% - Accent4 3" xfId="22"/>
    <cellStyle name="20% - Accent4 3 2" xfId="23"/>
    <cellStyle name="20% - Accent4 3 3" xfId="24"/>
    <cellStyle name="20% - Accent4 4" xfId="25"/>
    <cellStyle name="20% - Accent5 2" xfId="26"/>
    <cellStyle name="20% - Accent5 3" xfId="27"/>
    <cellStyle name="20% - Accent6 2" xfId="28"/>
    <cellStyle name="20% - Accent6 3" xfId="29"/>
    <cellStyle name="20% - Accent6 3 2" xfId="30"/>
    <cellStyle name="40% - Accent1 2" xfId="31"/>
    <cellStyle name="40% - Accent1 2 2" xfId="32"/>
    <cellStyle name="40% - Accent1 3" xfId="33"/>
    <cellStyle name="40% - Accent1 3 2" xfId="34"/>
    <cellStyle name="40% - Accent1 3 3" xfId="35"/>
    <cellStyle name="40% - Accent1 4" xfId="36"/>
    <cellStyle name="40% - Accent2 2" xfId="37"/>
    <cellStyle name="40% - Accent2 3" xfId="38"/>
    <cellStyle name="40% - Accent3 2" xfId="39"/>
    <cellStyle name="40% - Accent3 3" xfId="40"/>
    <cellStyle name="40% - Accent3 3 2" xfId="41"/>
    <cellStyle name="40% - Accent4 2" xfId="42"/>
    <cellStyle name="40% - Accent4 2 2" xfId="43"/>
    <cellStyle name="40% - Accent4 3" xfId="44"/>
    <cellStyle name="40% - Accent4 3 2" xfId="45"/>
    <cellStyle name="40% - Accent4 3 3" xfId="46"/>
    <cellStyle name="40% - Accent4 4" xfId="47"/>
    <cellStyle name="40% - Accent5 2" xfId="48"/>
    <cellStyle name="40% - Accent5 2 2" xfId="49"/>
    <cellStyle name="40% - Accent5 3" xfId="50"/>
    <cellStyle name="40% - Accent5 3 2" xfId="51"/>
    <cellStyle name="40% - Accent6 2" xfId="52"/>
    <cellStyle name="40% - Accent6 2 2" xfId="53"/>
    <cellStyle name="40% - Accent6 3" xfId="54"/>
    <cellStyle name="40% - Accent6 3 2" xfId="55"/>
    <cellStyle name="40% - Accent6 3 3" xfId="56"/>
    <cellStyle name="40% - Accent6 4" xfId="57"/>
    <cellStyle name="60% - Accent1 2" xfId="58"/>
    <cellStyle name="60% - Accent1 2 2" xfId="59"/>
    <cellStyle name="60% - Accent1 2 3" xfId="60"/>
    <cellStyle name="60% - Accent1 3" xfId="61"/>
    <cellStyle name="60% - Accent1 3 2" xfId="62"/>
    <cellStyle name="60% - Accent1 3 3" xfId="63"/>
    <cellStyle name="60% - Accent1 4" xfId="64"/>
    <cellStyle name="60% - Accent2 2" xfId="65"/>
    <cellStyle name="60% - Accent2 2 2" xfId="66"/>
    <cellStyle name="60% - Accent2 3" xfId="67"/>
    <cellStyle name="60% - Accent2 3 2" xfId="68"/>
    <cellStyle name="60% - Accent3 2" xfId="69"/>
    <cellStyle name="60% - Accent3 2 2" xfId="70"/>
    <cellStyle name="60% - Accent3 3" xfId="71"/>
    <cellStyle name="60% - Accent3 3 2" xfId="72"/>
    <cellStyle name="60% - Accent3 3 3" xfId="73"/>
    <cellStyle name="60% - Accent3 4" xfId="74"/>
    <cellStyle name="60% - Accent4 2" xfId="75"/>
    <cellStyle name="60% - Accent4 2 2" xfId="76"/>
    <cellStyle name="60% - Accent4 3" xfId="77"/>
    <cellStyle name="60% - Accent4 3 2" xfId="78"/>
    <cellStyle name="60% - Accent4 3 3" xfId="79"/>
    <cellStyle name="60% - Accent4 4" xfId="80"/>
    <cellStyle name="60% - Accent5 2" xfId="81"/>
    <cellStyle name="60% - Accent5 2 2" xfId="82"/>
    <cellStyle name="60% - Accent5 2 3" xfId="83"/>
    <cellStyle name="60% - Accent5 3" xfId="84"/>
    <cellStyle name="60% - Accent5 3 2" xfId="85"/>
    <cellStyle name="60% - Accent6 2" xfId="86"/>
    <cellStyle name="60% - Accent6 3" xfId="87"/>
    <cellStyle name="60% - Accent6 3 2" xfId="88"/>
    <cellStyle name="Accent1 2" xfId="89"/>
    <cellStyle name="Accent1 2 2" xfId="90"/>
    <cellStyle name="Accent1 2 3" xfId="91"/>
    <cellStyle name="Accent1 3" xfId="92"/>
    <cellStyle name="Accent1 3 2" xfId="93"/>
    <cellStyle name="Accent1 3 3" xfId="94"/>
    <cellStyle name="Accent1 4" xfId="95"/>
    <cellStyle name="Accent2 2" xfId="96"/>
    <cellStyle name="Accent2 2 2" xfId="97"/>
    <cellStyle name="Accent2 3" xfId="98"/>
    <cellStyle name="Accent2 3 2" xfId="99"/>
    <cellStyle name="Accent3 2" xfId="100"/>
    <cellStyle name="Accent3 2 2" xfId="101"/>
    <cellStyle name="Accent3 2 3" xfId="102"/>
    <cellStyle name="Accent3 3" xfId="103"/>
    <cellStyle name="Accent3 3 2" xfId="104"/>
    <cellStyle name="Accent4 2" xfId="105"/>
    <cellStyle name="Accent4 3" xfId="106"/>
    <cellStyle name="Accent4 3 2" xfId="107"/>
    <cellStyle name="Accent5 2" xfId="108"/>
    <cellStyle name="Accent5 3" xfId="109"/>
    <cellStyle name="Accent6 2" xfId="110"/>
    <cellStyle name="Accent6 2 2" xfId="111"/>
    <cellStyle name="Accent6 2 3" xfId="112"/>
    <cellStyle name="Accent6 3" xfId="113"/>
    <cellStyle name="Accent6 3 2" xfId="114"/>
    <cellStyle name="Accounting" xfId="115"/>
    <cellStyle name="Accounting 2" xfId="116"/>
    <cellStyle name="Accounting 3" xfId="117"/>
    <cellStyle name="Accounting_2011-11" xfId="118"/>
    <cellStyle name="APS" xfId="119"/>
    <cellStyle name="APSLabels" xfId="120"/>
    <cellStyle name="Bad 2" xfId="121"/>
    <cellStyle name="Bad 2 2" xfId="122"/>
    <cellStyle name="Bad 3" xfId="123"/>
    <cellStyle name="Bad 3 2" xfId="124"/>
    <cellStyle name="Budget" xfId="125"/>
    <cellStyle name="Budget 2" xfId="126"/>
    <cellStyle name="Budget 3" xfId="127"/>
    <cellStyle name="Budget_2011-11" xfId="128"/>
    <cellStyle name="Calculation 2" xfId="129"/>
    <cellStyle name="Calculation 2 2" xfId="130"/>
    <cellStyle name="Calculation 2 3" xfId="131"/>
    <cellStyle name="Calculation 3" xfId="132"/>
    <cellStyle name="Calculation 3 2" xfId="133"/>
    <cellStyle name="Calculation 3 3" xfId="134"/>
    <cellStyle name="Calculation 4" xfId="135"/>
    <cellStyle name="Check Cell 2" xfId="136"/>
    <cellStyle name="Check Cell 3" xfId="137"/>
    <cellStyle name="Color" xfId="138"/>
    <cellStyle name="combo" xfId="139"/>
    <cellStyle name="Comma" xfId="1" builtinId="3"/>
    <cellStyle name="Comma 10" xfId="140"/>
    <cellStyle name="Comma 10 2" xfId="141"/>
    <cellStyle name="Comma 11" xfId="142"/>
    <cellStyle name="Comma 11 2" xfId="143"/>
    <cellStyle name="Comma 12" xfId="144"/>
    <cellStyle name="Comma 12 2" xfId="145"/>
    <cellStyle name="Comma 12 2 2" xfId="146"/>
    <cellStyle name="Comma 12 3" xfId="147"/>
    <cellStyle name="Comma 12 4" xfId="148"/>
    <cellStyle name="Comma 12 5" xfId="149"/>
    <cellStyle name="Comma 13" xfId="150"/>
    <cellStyle name="Comma 13 2" xfId="151"/>
    <cellStyle name="Comma 13 3" xfId="152"/>
    <cellStyle name="Comma 14" xfId="153"/>
    <cellStyle name="Comma 15" xfId="154"/>
    <cellStyle name="Comma 15 2" xfId="155"/>
    <cellStyle name="Comma 15 3" xfId="156"/>
    <cellStyle name="Comma 16" xfId="157"/>
    <cellStyle name="Comma 17" xfId="158"/>
    <cellStyle name="Comma 17 2" xfId="159"/>
    <cellStyle name="Comma 17 3" xfId="160"/>
    <cellStyle name="Comma 17 4" xfId="161"/>
    <cellStyle name="Comma 18" xfId="162"/>
    <cellStyle name="Comma 18 2" xfId="163"/>
    <cellStyle name="Comma 18 3" xfId="164"/>
    <cellStyle name="Comma 18 4" xfId="165"/>
    <cellStyle name="Comma 19" xfId="166"/>
    <cellStyle name="Comma 2" xfId="167"/>
    <cellStyle name="Comma 2 2" xfId="168"/>
    <cellStyle name="Comma 2 2 2" xfId="169"/>
    <cellStyle name="Comma 2 2 2 2" xfId="170"/>
    <cellStyle name="Comma 2 2 3" xfId="171"/>
    <cellStyle name="Comma 2 3" xfId="172"/>
    <cellStyle name="Comma 2 4" xfId="173"/>
    <cellStyle name="Comma 2 4 2" xfId="174"/>
    <cellStyle name="Comma 2 4 3" xfId="175"/>
    <cellStyle name="Comma 2 4 4" xfId="176"/>
    <cellStyle name="Comma 2 5" xfId="177"/>
    <cellStyle name="Comma 2 6" xfId="178"/>
    <cellStyle name="Comma 2 6 2" xfId="179"/>
    <cellStyle name="Comma 2 7" xfId="180"/>
    <cellStyle name="Comma 2 8" xfId="181"/>
    <cellStyle name="Comma 20" xfId="182"/>
    <cellStyle name="Comma 21" xfId="183"/>
    <cellStyle name="Comma 21 2" xfId="184"/>
    <cellStyle name="Comma 22" xfId="185"/>
    <cellStyle name="Comma 23" xfId="186"/>
    <cellStyle name="Comma 3" xfId="187"/>
    <cellStyle name="Comma 3 2" xfId="188"/>
    <cellStyle name="Comma 3 2 2" xfId="189"/>
    <cellStyle name="Comma 3 3" xfId="190"/>
    <cellStyle name="Comma 3 4" xfId="191"/>
    <cellStyle name="Comma 4" xfId="192"/>
    <cellStyle name="Comma 4 2" xfId="193"/>
    <cellStyle name="Comma 4 2 2" xfId="194"/>
    <cellStyle name="Comma 4 2 3" xfId="195"/>
    <cellStyle name="Comma 4 2 4" xfId="196"/>
    <cellStyle name="Comma 4 3" xfId="197"/>
    <cellStyle name="Comma 4 3 2" xfId="198"/>
    <cellStyle name="Comma 4 3 3" xfId="199"/>
    <cellStyle name="Comma 4 4" xfId="200"/>
    <cellStyle name="Comma 4 4 2" xfId="201"/>
    <cellStyle name="Comma 4 4 3" xfId="202"/>
    <cellStyle name="Comma 4 5" xfId="203"/>
    <cellStyle name="Comma 4 5 2" xfId="204"/>
    <cellStyle name="Comma 4 6" xfId="205"/>
    <cellStyle name="Comma 5" xfId="206"/>
    <cellStyle name="Comma 5 2" xfId="207"/>
    <cellStyle name="Comma 5 2 2" xfId="208"/>
    <cellStyle name="Comma 5 3" xfId="209"/>
    <cellStyle name="Comma 5 4" xfId="210"/>
    <cellStyle name="Comma 5 5" xfId="211"/>
    <cellStyle name="Comma 6" xfId="212"/>
    <cellStyle name="Comma 6 2" xfId="213"/>
    <cellStyle name="Comma 6 2 2" xfId="214"/>
    <cellStyle name="Comma 6 2 3" xfId="215"/>
    <cellStyle name="Comma 6 3" xfId="216"/>
    <cellStyle name="Comma 6 4" xfId="217"/>
    <cellStyle name="Comma 7" xfId="218"/>
    <cellStyle name="Comma 7 2" xfId="219"/>
    <cellStyle name="Comma 7 2 2" xfId="220"/>
    <cellStyle name="Comma 7 3" xfId="221"/>
    <cellStyle name="Comma 8" xfId="222"/>
    <cellStyle name="Comma 8 2" xfId="223"/>
    <cellStyle name="Comma 8 2 2" xfId="224"/>
    <cellStyle name="Comma 8 3" xfId="225"/>
    <cellStyle name="Comma 8 4" xfId="226"/>
    <cellStyle name="Comma 9" xfId="227"/>
    <cellStyle name="Comma 9 2" xfId="228"/>
    <cellStyle name="Comma(2)" xfId="229"/>
    <cellStyle name="Comma0" xfId="230"/>
    <cellStyle name="Comma0 - Style2" xfId="231"/>
    <cellStyle name="Comma1 - Style1" xfId="232"/>
    <cellStyle name="Comments" xfId="233"/>
    <cellStyle name="Currency" xfId="2" builtinId="4"/>
    <cellStyle name="Currency 10" xfId="234"/>
    <cellStyle name="Currency 11" xfId="235"/>
    <cellStyle name="Currency 12" xfId="236"/>
    <cellStyle name="Currency 13" xfId="237"/>
    <cellStyle name="Currency 14" xfId="238"/>
    <cellStyle name="Currency 15" xfId="239"/>
    <cellStyle name="Currency 2" xfId="240"/>
    <cellStyle name="Currency 2 2" xfId="241"/>
    <cellStyle name="Currency 2 2 2" xfId="242"/>
    <cellStyle name="Currency 2 2 3" xfId="243"/>
    <cellStyle name="Currency 2 2 4" xfId="244"/>
    <cellStyle name="Currency 2 3" xfId="245"/>
    <cellStyle name="Currency 2 3 2" xfId="246"/>
    <cellStyle name="Currency 2 3 3" xfId="247"/>
    <cellStyle name="Currency 2 4" xfId="248"/>
    <cellStyle name="Currency 2 5" xfId="249"/>
    <cellStyle name="Currency 2 6" xfId="250"/>
    <cellStyle name="Currency 2 6 2" xfId="251"/>
    <cellStyle name="Currency 3" xfId="252"/>
    <cellStyle name="Currency 3 2" xfId="253"/>
    <cellStyle name="Currency 3 2 2" xfId="254"/>
    <cellStyle name="Currency 3 3" xfId="255"/>
    <cellStyle name="Currency 3 3 2" xfId="256"/>
    <cellStyle name="Currency 3 4" xfId="257"/>
    <cellStyle name="Currency 3 5" xfId="258"/>
    <cellStyle name="Currency 4" xfId="259"/>
    <cellStyle name="Currency 4 2" xfId="260"/>
    <cellStyle name="Currency 4 2 2" xfId="261"/>
    <cellStyle name="Currency 4 3" xfId="262"/>
    <cellStyle name="Currency 4 4" xfId="263"/>
    <cellStyle name="Currency 5" xfId="264"/>
    <cellStyle name="Currency 5 2" xfId="265"/>
    <cellStyle name="Currency 5 3" xfId="266"/>
    <cellStyle name="Currency 6" xfId="267"/>
    <cellStyle name="Currency 7" xfId="268"/>
    <cellStyle name="Currency 8" xfId="269"/>
    <cellStyle name="Currency 8 2" xfId="270"/>
    <cellStyle name="Currency 8 3" xfId="271"/>
    <cellStyle name="Currency 9" xfId="272"/>
    <cellStyle name="Currency0" xfId="273"/>
    <cellStyle name="Data Enter" xfId="274"/>
    <cellStyle name="date" xfId="275"/>
    <cellStyle name="Explanatory Text 2" xfId="276"/>
    <cellStyle name="Explanatory Text 3" xfId="277"/>
    <cellStyle name="F9ReportControlStyle_ctpInquire" xfId="278"/>
    <cellStyle name="FactSheet" xfId="279"/>
    <cellStyle name="fish" xfId="280"/>
    <cellStyle name="Good 2" xfId="281"/>
    <cellStyle name="Good 2 2" xfId="282"/>
    <cellStyle name="Good 3" xfId="283"/>
    <cellStyle name="Good 3 2" xfId="284"/>
    <cellStyle name="Good 4" xfId="285"/>
    <cellStyle name="Heading 1 2" xfId="286"/>
    <cellStyle name="Heading 1 2 2" xfId="287"/>
    <cellStyle name="Heading 1 2 3" xfId="288"/>
    <cellStyle name="Heading 1 3" xfId="289"/>
    <cellStyle name="Heading 1 3 2" xfId="290"/>
    <cellStyle name="Heading 1 3 3" xfId="291"/>
    <cellStyle name="Heading 1 4" xfId="292"/>
    <cellStyle name="Heading 2 2" xfId="293"/>
    <cellStyle name="Heading 2 2 2" xfId="294"/>
    <cellStyle name="Heading 2 2 3" xfId="295"/>
    <cellStyle name="Heading 2 3" xfId="296"/>
    <cellStyle name="Heading 2 3 2" xfId="297"/>
    <cellStyle name="Heading 2 3 3" xfId="298"/>
    <cellStyle name="Heading 2 4" xfId="299"/>
    <cellStyle name="Heading 3 2" xfId="300"/>
    <cellStyle name="Heading 3 2 2" xfId="301"/>
    <cellStyle name="Heading 3 2 3" xfId="302"/>
    <cellStyle name="Heading 3 3" xfId="303"/>
    <cellStyle name="Heading 3 3 2" xfId="304"/>
    <cellStyle name="Heading 3 3 3" xfId="305"/>
    <cellStyle name="Heading 3 4" xfId="306"/>
    <cellStyle name="Heading 4 2" xfId="307"/>
    <cellStyle name="Heading 4 3" xfId="308"/>
    <cellStyle name="Heading 4 3 2" xfId="309"/>
    <cellStyle name="Hyperlink 2" xfId="310"/>
    <cellStyle name="Hyperlink 3" xfId="311"/>
    <cellStyle name="Hyperlink 3 2" xfId="312"/>
    <cellStyle name="Input 2" xfId="313"/>
    <cellStyle name="Input 3" xfId="314"/>
    <cellStyle name="Input 3 2" xfId="315"/>
    <cellStyle name="input(0)" xfId="316"/>
    <cellStyle name="Input(2)" xfId="317"/>
    <cellStyle name="Labels" xfId="318"/>
    <cellStyle name="Linked Cell 2" xfId="319"/>
    <cellStyle name="Linked Cell 2 2" xfId="320"/>
    <cellStyle name="Linked Cell 2 3" xfId="321"/>
    <cellStyle name="Linked Cell 3" xfId="322"/>
    <cellStyle name="Linked Cell 3 2" xfId="323"/>
    <cellStyle name="Neutral 2" xfId="324"/>
    <cellStyle name="Neutral 2 2" xfId="325"/>
    <cellStyle name="Neutral 2 3" xfId="326"/>
    <cellStyle name="Neutral 3" xfId="327"/>
    <cellStyle name="Neutral 3 2" xfId="328"/>
    <cellStyle name="New_normal" xfId="329"/>
    <cellStyle name="Normal" xfId="0" builtinId="0"/>
    <cellStyle name="Normal - Style1" xfId="330"/>
    <cellStyle name="Normal - Style2" xfId="331"/>
    <cellStyle name="Normal - Style3" xfId="332"/>
    <cellStyle name="Normal - Style4" xfId="333"/>
    <cellStyle name="Normal - Style5" xfId="334"/>
    <cellStyle name="Normal 10" xfId="335"/>
    <cellStyle name="Normal 10 2" xfId="336"/>
    <cellStyle name="Normal 10 2 2" xfId="337"/>
    <cellStyle name="Normal 10 2 3" xfId="338"/>
    <cellStyle name="Normal 10 2 4" xfId="339"/>
    <cellStyle name="Normal 10 2 5" xfId="340"/>
    <cellStyle name="Normal 10 3" xfId="341"/>
    <cellStyle name="Normal 10 9" xfId="678"/>
    <cellStyle name="Normal 10_2112 DF Schedule" xfId="342"/>
    <cellStyle name="Normal 100" xfId="343"/>
    <cellStyle name="Normal 101" xfId="344"/>
    <cellStyle name="Normal 102" xfId="345"/>
    <cellStyle name="Normal 103" xfId="346"/>
    <cellStyle name="Normal 104" xfId="347"/>
    <cellStyle name="Normal 105" xfId="348"/>
    <cellStyle name="Normal 106" xfId="349"/>
    <cellStyle name="Normal 107" xfId="350"/>
    <cellStyle name="Normal 108" xfId="351"/>
    <cellStyle name="Normal 109" xfId="352"/>
    <cellStyle name="Normal 109 2" xfId="353"/>
    <cellStyle name="Normal 11" xfId="354"/>
    <cellStyle name="Normal 11 2" xfId="355"/>
    <cellStyle name="Normal 11 2 2" xfId="356"/>
    <cellStyle name="Normal 11 2 3" xfId="357"/>
    <cellStyle name="Normal 11 3" xfId="358"/>
    <cellStyle name="Normal 110" xfId="359"/>
    <cellStyle name="Normal 111" xfId="360"/>
    <cellStyle name="Normal 112" xfId="361"/>
    <cellStyle name="Normal 113" xfId="362"/>
    <cellStyle name="Normal 113 2" xfId="363"/>
    <cellStyle name="Normal 12" xfId="364"/>
    <cellStyle name="Normal 12 2" xfId="365"/>
    <cellStyle name="Normal 12 2 2" xfId="366"/>
    <cellStyle name="Normal 12 3" xfId="367"/>
    <cellStyle name="Normal 12 4" xfId="368"/>
    <cellStyle name="Normal 12 5" xfId="369"/>
    <cellStyle name="Normal 12 6" xfId="370"/>
    <cellStyle name="Normal 12_Sheet1" xfId="371"/>
    <cellStyle name="Normal 13" xfId="372"/>
    <cellStyle name="Normal 13 2" xfId="373"/>
    <cellStyle name="Normal 13 2 2" xfId="374"/>
    <cellStyle name="Normal 13 3" xfId="375"/>
    <cellStyle name="Normal 13 4" xfId="376"/>
    <cellStyle name="Normal 13 5" xfId="377"/>
    <cellStyle name="Normal 13 6" xfId="378"/>
    <cellStyle name="Normal 13_Sheet1" xfId="379"/>
    <cellStyle name="Normal 14" xfId="380"/>
    <cellStyle name="Normal 14 2" xfId="381"/>
    <cellStyle name="Normal 14 3" xfId="382"/>
    <cellStyle name="Normal 14 4" xfId="383"/>
    <cellStyle name="Normal 14 5" xfId="384"/>
    <cellStyle name="Normal 14_Sheet1" xfId="385"/>
    <cellStyle name="Normal 15" xfId="386"/>
    <cellStyle name="Normal 15 2" xfId="387"/>
    <cellStyle name="Normal 15 3" xfId="388"/>
    <cellStyle name="Normal 15 4" xfId="389"/>
    <cellStyle name="Normal 15 5" xfId="390"/>
    <cellStyle name="Normal 16" xfId="391"/>
    <cellStyle name="Normal 16 2" xfId="392"/>
    <cellStyle name="Normal 16 3" xfId="393"/>
    <cellStyle name="Normal 17" xfId="394"/>
    <cellStyle name="Normal 17 2" xfId="395"/>
    <cellStyle name="Normal 17 3" xfId="396"/>
    <cellStyle name="Normal 18" xfId="397"/>
    <cellStyle name="Normal 18 2" xfId="398"/>
    <cellStyle name="Normal 18 3" xfId="399"/>
    <cellStyle name="Normal 19" xfId="400"/>
    <cellStyle name="Normal 19 2" xfId="401"/>
    <cellStyle name="Normal 19 3" xfId="402"/>
    <cellStyle name="Normal 2" xfId="403"/>
    <cellStyle name="Normal 2 10" xfId="404"/>
    <cellStyle name="Normal 2 11" xfId="405"/>
    <cellStyle name="Normal 2 2" xfId="406"/>
    <cellStyle name="Normal 2 2 2" xfId="407"/>
    <cellStyle name="Normal 2 2 2 2" xfId="408"/>
    <cellStyle name="Normal 2 2 2_JE_IS11" xfId="409"/>
    <cellStyle name="Normal 2 2 3" xfId="410"/>
    <cellStyle name="Normal 2 2 4" xfId="411"/>
    <cellStyle name="Normal 2 2_4MthProj2" xfId="412"/>
    <cellStyle name="Normal 2 3" xfId="413"/>
    <cellStyle name="Normal 2 3 2" xfId="414"/>
    <cellStyle name="Normal 2 3 2 2" xfId="415"/>
    <cellStyle name="Normal 2 3 2 3" xfId="416"/>
    <cellStyle name="Normal 2 3 3" xfId="417"/>
    <cellStyle name="Normal 2 3 4" xfId="418"/>
    <cellStyle name="Normal 2 3_4MthProj2" xfId="419"/>
    <cellStyle name="Normal 2 4" xfId="420"/>
    <cellStyle name="Normal 2 4 2" xfId="421"/>
    <cellStyle name="Normal 2 4 3" xfId="422"/>
    <cellStyle name="Normal 2 5" xfId="423"/>
    <cellStyle name="Normal 2 6" xfId="424"/>
    <cellStyle name="Normal 2 7" xfId="425"/>
    <cellStyle name="Normal 2 8" xfId="426"/>
    <cellStyle name="Normal 2 9" xfId="427"/>
    <cellStyle name="Normal 2_2009 Regulated Price Out" xfId="428"/>
    <cellStyle name="Normal 20" xfId="429"/>
    <cellStyle name="Normal 20 2" xfId="430"/>
    <cellStyle name="Normal 20 3" xfId="431"/>
    <cellStyle name="Normal 20 4" xfId="432"/>
    <cellStyle name="Normal 20 5" xfId="433"/>
    <cellStyle name="Normal 20 6" xfId="434"/>
    <cellStyle name="Normal 21" xfId="435"/>
    <cellStyle name="Normal 21 2" xfId="436"/>
    <cellStyle name="Normal 21 3" xfId="437"/>
    <cellStyle name="Normal 21 4" xfId="438"/>
    <cellStyle name="Normal 22" xfId="439"/>
    <cellStyle name="Normal 22 2" xfId="440"/>
    <cellStyle name="Normal 22 3" xfId="441"/>
    <cellStyle name="Normal 22 4" xfId="442"/>
    <cellStyle name="Normal 23" xfId="443"/>
    <cellStyle name="Normal 23 2" xfId="444"/>
    <cellStyle name="Normal 23 3" xfId="445"/>
    <cellStyle name="Normal 24" xfId="446"/>
    <cellStyle name="Normal 24 2" xfId="447"/>
    <cellStyle name="Normal 25" xfId="448"/>
    <cellStyle name="Normal 25 2" xfId="449"/>
    <cellStyle name="Normal 26" xfId="450"/>
    <cellStyle name="Normal 26 2" xfId="451"/>
    <cellStyle name="Normal 26 3" xfId="452"/>
    <cellStyle name="Normal 26 4" xfId="453"/>
    <cellStyle name="Normal 27" xfId="454"/>
    <cellStyle name="Normal 27 2" xfId="455"/>
    <cellStyle name="Normal 27 3" xfId="456"/>
    <cellStyle name="Normal 27 4" xfId="457"/>
    <cellStyle name="Normal 27 5" xfId="458"/>
    <cellStyle name="Normal 28" xfId="459"/>
    <cellStyle name="Normal 28 2" xfId="460"/>
    <cellStyle name="Normal 28 3" xfId="461"/>
    <cellStyle name="Normal 29" xfId="462"/>
    <cellStyle name="Normal 29 2" xfId="463"/>
    <cellStyle name="Normal 3" xfId="464"/>
    <cellStyle name="Normal 3 2" xfId="465"/>
    <cellStyle name="Normal 3 2 2" xfId="466"/>
    <cellStyle name="Normal 3 3" xfId="467"/>
    <cellStyle name="Normal 3 3 2" xfId="468"/>
    <cellStyle name="Normal 3 3 3" xfId="469"/>
    <cellStyle name="Normal 3 3 4" xfId="470"/>
    <cellStyle name="Normal 3 4" xfId="471"/>
    <cellStyle name="Normal 3_2012 PR" xfId="472"/>
    <cellStyle name="Normal 30" xfId="473"/>
    <cellStyle name="Normal 30 2" xfId="474"/>
    <cellStyle name="Normal 31" xfId="475"/>
    <cellStyle name="Normal 31 2" xfId="476"/>
    <cellStyle name="Normal 31 3" xfId="477"/>
    <cellStyle name="Normal 32" xfId="478"/>
    <cellStyle name="Normal 32 2" xfId="479"/>
    <cellStyle name="Normal 33" xfId="480"/>
    <cellStyle name="Normal 34" xfId="481"/>
    <cellStyle name="Normal 35" xfId="482"/>
    <cellStyle name="Normal 36" xfId="483"/>
    <cellStyle name="Normal 37" xfId="484"/>
    <cellStyle name="Normal 38" xfId="485"/>
    <cellStyle name="Normal 39" xfId="486"/>
    <cellStyle name="Normal 4" xfId="487"/>
    <cellStyle name="Normal 4 2" xfId="488"/>
    <cellStyle name="Normal 4 2 2" xfId="489"/>
    <cellStyle name="Normal 4 2 3" xfId="490"/>
    <cellStyle name="Normal 4 2 4" xfId="491"/>
    <cellStyle name="Normal 4 3" xfId="492"/>
    <cellStyle name="Normal 4 3 2" xfId="493"/>
    <cellStyle name="Normal 4 3 3" xfId="494"/>
    <cellStyle name="Normal 4 4" xfId="495"/>
    <cellStyle name="Normal 4 5" xfId="496"/>
    <cellStyle name="Normal 4_Consolidated IS" xfId="497"/>
    <cellStyle name="Normal 40" xfId="498"/>
    <cellStyle name="Normal 41" xfId="499"/>
    <cellStyle name="Normal 42" xfId="500"/>
    <cellStyle name="Normal 43" xfId="501"/>
    <cellStyle name="Normal 44" xfId="502"/>
    <cellStyle name="Normal 45" xfId="503"/>
    <cellStyle name="Normal 46" xfId="504"/>
    <cellStyle name="Normal 47" xfId="505"/>
    <cellStyle name="Normal 48" xfId="506"/>
    <cellStyle name="Normal 49" xfId="507"/>
    <cellStyle name="Normal 5" xfId="508"/>
    <cellStyle name="Normal 5 2" xfId="509"/>
    <cellStyle name="Normal 5 2 2" xfId="510"/>
    <cellStyle name="Normal 5 3" xfId="511"/>
    <cellStyle name="Normal 5 4" xfId="512"/>
    <cellStyle name="Normal 5 5" xfId="513"/>
    <cellStyle name="Normal 5_2112 DF Schedule" xfId="514"/>
    <cellStyle name="Normal 50" xfId="515"/>
    <cellStyle name="Normal 51" xfId="516"/>
    <cellStyle name="Normal 52" xfId="517"/>
    <cellStyle name="Normal 53" xfId="518"/>
    <cellStyle name="Normal 54" xfId="519"/>
    <cellStyle name="Normal 55" xfId="520"/>
    <cellStyle name="Normal 56" xfId="521"/>
    <cellStyle name="Normal 57" xfId="522"/>
    <cellStyle name="Normal 58" xfId="523"/>
    <cellStyle name="Normal 59" xfId="524"/>
    <cellStyle name="Normal 6" xfId="525"/>
    <cellStyle name="Normal 6 2" xfId="526"/>
    <cellStyle name="Normal 6 2 2" xfId="527"/>
    <cellStyle name="Normal 6 2 3" xfId="528"/>
    <cellStyle name="Normal 6 3" xfId="529"/>
    <cellStyle name="Normal 60" xfId="530"/>
    <cellStyle name="Normal 61" xfId="531"/>
    <cellStyle name="Normal 62" xfId="532"/>
    <cellStyle name="Normal 63" xfId="533"/>
    <cellStyle name="Normal 64" xfId="534"/>
    <cellStyle name="Normal 65" xfId="535"/>
    <cellStyle name="Normal 66" xfId="536"/>
    <cellStyle name="Normal 67" xfId="537"/>
    <cellStyle name="Normal 68" xfId="538"/>
    <cellStyle name="Normal 69" xfId="539"/>
    <cellStyle name="Normal 7" xfId="540"/>
    <cellStyle name="Normal 7 2" xfId="541"/>
    <cellStyle name="Normal 7 2 2" xfId="542"/>
    <cellStyle name="Normal 7 2 2 2" xfId="543"/>
    <cellStyle name="Normal 7 2 3" xfId="544"/>
    <cellStyle name="Normal 7 3" xfId="545"/>
    <cellStyle name="Normal 7 3 2" xfId="546"/>
    <cellStyle name="Normal 7 4" xfId="547"/>
    <cellStyle name="Normal 70" xfId="548"/>
    <cellStyle name="Normal 71" xfId="549"/>
    <cellStyle name="Normal 72" xfId="550"/>
    <cellStyle name="Normal 73" xfId="551"/>
    <cellStyle name="Normal 74" xfId="552"/>
    <cellStyle name="Normal 75" xfId="553"/>
    <cellStyle name="Normal 76" xfId="554"/>
    <cellStyle name="Normal 77" xfId="555"/>
    <cellStyle name="Normal 78" xfId="556"/>
    <cellStyle name="Normal 79" xfId="557"/>
    <cellStyle name="Normal 8" xfId="558"/>
    <cellStyle name="Normal 8 2" xfId="559"/>
    <cellStyle name="Normal 8 2 2" xfId="560"/>
    <cellStyle name="Normal 8 2 3" xfId="561"/>
    <cellStyle name="Normal 8 3" xfId="562"/>
    <cellStyle name="Normal 8 4" xfId="563"/>
    <cellStyle name="Normal 80" xfId="564"/>
    <cellStyle name="Normal 81" xfId="565"/>
    <cellStyle name="Normal 82" xfId="566"/>
    <cellStyle name="Normal 83" xfId="567"/>
    <cellStyle name="Normal 84" xfId="568"/>
    <cellStyle name="Normal 84 2" xfId="569"/>
    <cellStyle name="Normal 84 3" xfId="570"/>
    <cellStyle name="Normal 85" xfId="571"/>
    <cellStyle name="Normal 85 2" xfId="572"/>
    <cellStyle name="Normal 85 3" xfId="573"/>
    <cellStyle name="Normal 86" xfId="574"/>
    <cellStyle name="Normal 87" xfId="575"/>
    <cellStyle name="Normal 88" xfId="576"/>
    <cellStyle name="Normal 89" xfId="577"/>
    <cellStyle name="Normal 9" xfId="578"/>
    <cellStyle name="Normal 9 2" xfId="579"/>
    <cellStyle name="Normal 9 2 2" xfId="580"/>
    <cellStyle name="Normal 9 2 3" xfId="581"/>
    <cellStyle name="Normal 9 3" xfId="582"/>
    <cellStyle name="Normal 90" xfId="583"/>
    <cellStyle name="Normal 91" xfId="584"/>
    <cellStyle name="Normal 92" xfId="585"/>
    <cellStyle name="Normal 92 2" xfId="586"/>
    <cellStyle name="Normal 93" xfId="587"/>
    <cellStyle name="Normal 93 2" xfId="588"/>
    <cellStyle name="Normal 94" xfId="589"/>
    <cellStyle name="Normal 95" xfId="590"/>
    <cellStyle name="Normal 96" xfId="591"/>
    <cellStyle name="Normal 97" xfId="592"/>
    <cellStyle name="Normal 98" xfId="593"/>
    <cellStyle name="Normal 99" xfId="594"/>
    <cellStyle name="Normal_2183 Regulated Price Out Final 6-7-2012" xfId="5"/>
    <cellStyle name="Normal_Proforma Yakima UTC-Nicki 2009" xfId="676"/>
    <cellStyle name="Normal_Regulated Price Out 9-6-2011 Final HL" xfId="4"/>
    <cellStyle name="Normal_Regulated-Non-Regulated Revenue" xfId="677"/>
    <cellStyle name="Note 2" xfId="595"/>
    <cellStyle name="Note 2 2" xfId="596"/>
    <cellStyle name="Note 2 3" xfId="597"/>
    <cellStyle name="Note 3" xfId="598"/>
    <cellStyle name="Note 3 2" xfId="599"/>
    <cellStyle name="Note 3 3" xfId="600"/>
    <cellStyle name="Note 4" xfId="601"/>
    <cellStyle name="Notes" xfId="602"/>
    <cellStyle name="Output 2" xfId="603"/>
    <cellStyle name="Output 3" xfId="604"/>
    <cellStyle name="Output 3 2" xfId="605"/>
    <cellStyle name="Percent" xfId="3" builtinId="5"/>
    <cellStyle name="Percent 10" xfId="606"/>
    <cellStyle name="Percent 11" xfId="679"/>
    <cellStyle name="Percent 12" xfId="680"/>
    <cellStyle name="Percent 2" xfId="607"/>
    <cellStyle name="Percent 2 2" xfId="608"/>
    <cellStyle name="Percent 2 2 2" xfId="609"/>
    <cellStyle name="Percent 2 2 3" xfId="610"/>
    <cellStyle name="Percent 2 3" xfId="611"/>
    <cellStyle name="Percent 2 4" xfId="612"/>
    <cellStyle name="Percent 2 6" xfId="613"/>
    <cellStyle name="Percent 3" xfId="614"/>
    <cellStyle name="Percent 3 2" xfId="615"/>
    <cellStyle name="Percent 3 2 2" xfId="616"/>
    <cellStyle name="Percent 3 3" xfId="617"/>
    <cellStyle name="Percent 4" xfId="618"/>
    <cellStyle name="Percent 4 2" xfId="619"/>
    <cellStyle name="Percent 4 3" xfId="620"/>
    <cellStyle name="Percent 4 4" xfId="621"/>
    <cellStyle name="Percent 5" xfId="622"/>
    <cellStyle name="Percent 5 2" xfId="623"/>
    <cellStyle name="Percent 5 2 2" xfId="624"/>
    <cellStyle name="Percent 5 3" xfId="625"/>
    <cellStyle name="Percent 5 4" xfId="626"/>
    <cellStyle name="Percent 6" xfId="627"/>
    <cellStyle name="Percent 6 2" xfId="628"/>
    <cellStyle name="Percent 7" xfId="629"/>
    <cellStyle name="Percent 7 2" xfId="630"/>
    <cellStyle name="Percent 7 3" xfId="631"/>
    <cellStyle name="Percent 8" xfId="632"/>
    <cellStyle name="Percent 9" xfId="633"/>
    <cellStyle name="Percent(1)" xfId="634"/>
    <cellStyle name="Percent(2)" xfId="635"/>
    <cellStyle name="Posting_Period" xfId="636"/>
    <cellStyle name="PRM" xfId="637"/>
    <cellStyle name="PRM 2" xfId="638"/>
    <cellStyle name="PRM 3" xfId="639"/>
    <cellStyle name="PRM_2011-11" xfId="640"/>
    <cellStyle name="PS_Comma" xfId="641"/>
    <cellStyle name="PSChar" xfId="642"/>
    <cellStyle name="PSDate" xfId="643"/>
    <cellStyle name="PSDec" xfId="644"/>
    <cellStyle name="PSHeading" xfId="645"/>
    <cellStyle name="PSInt" xfId="646"/>
    <cellStyle name="PSSpacer" xfId="647"/>
    <cellStyle name="STYL0 - Style1" xfId="648"/>
    <cellStyle name="STYL1 - Style2" xfId="649"/>
    <cellStyle name="STYL2 - Style3" xfId="650"/>
    <cellStyle name="STYL3 - Style4" xfId="651"/>
    <cellStyle name="STYL4 - Style5" xfId="652"/>
    <cellStyle name="STYL5 - Style6" xfId="653"/>
    <cellStyle name="STYL6 - Style7" xfId="654"/>
    <cellStyle name="STYL7 - Style8" xfId="655"/>
    <cellStyle name="Style 1" xfId="656"/>
    <cellStyle name="Style 1 2" xfId="657"/>
    <cellStyle name="STYLE1" xfId="658"/>
    <cellStyle name="STYLE1 2" xfId="659"/>
    <cellStyle name="sub heading" xfId="660"/>
    <cellStyle name="Tax_Rate" xfId="661"/>
    <cellStyle name="Title 2" xfId="662"/>
    <cellStyle name="Title 3" xfId="663"/>
    <cellStyle name="Title 3 2" xfId="664"/>
    <cellStyle name="Total 2" xfId="665"/>
    <cellStyle name="Total 2 2" xfId="666"/>
    <cellStyle name="Total 2 3" xfId="667"/>
    <cellStyle name="Total 3" xfId="668"/>
    <cellStyle name="Total 3 2" xfId="669"/>
    <cellStyle name="Total 3 3" xfId="670"/>
    <cellStyle name="Total 4" xfId="671"/>
    <cellStyle name="Transcript_Date" xfId="672"/>
    <cellStyle name="Warning Text 2" xfId="673"/>
    <cellStyle name="Warning Text 3" xfId="674"/>
    <cellStyle name="WM_STANDARD" xfId="675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customXml" Target="../customXml/item3.xml"/><Relationship Id="rId20" Type="http://schemas.openxmlformats.org/officeDocument/2006/relationships/externalLink" Target="externalLinks/externalLink16.xml"/><Relationship Id="rId4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Columbia%202025\General%20Filing%204-15-2016\Filed%204-15-16\CRD%20Pro%20forma%203-31-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2000%20Western%20Region%20Office/WUTC/WUTC-Clark%20County%202009/Rate%20Filing/Gen%20Rate%20Incr%207-1-22/Audit/FINAL/Staff%20new%20workbook.Clark%20Co%20Proforma%20YE%203.31.22%20(C)%20-%20FIN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ControllerDir\Brent_Blair_Kortney\PO%20Report%20by%20Division\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Misc%20Analsysis%20Non-Filing\Pro%20froma%208.31.2013%20for%20Budgets\Consolidated%20Pro%20forma%20Year%20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JoeW/My%20Local%20Documents/OPF/Rate%20Reviews/2016/2016%20OPF%20Master%20DCR%20V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Murrey%20%202111\General%20Rate%20Filings\Rate%20Filing%201-1-2019\Fuel%20Stat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12.31.2010%20Test%20Year\Proforma%20Clark%20County%20101231%20Filing-Draft-FINAL%20VERS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010%20Clark%20County-%202009%20Vancouver\12.31.2010%20Test%20Year\Proforma%20Clark%20County%20101231%20Filing-Draft-FINAL%20VERS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vandenburg\AppData\Roaming\Microsoft\Excel\DF%20Allocation%20Calculation%203.31%20(version%201).xlsb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010%20Clark%20County-%202009%20Vancouver/General%20Filings/3.31.22%20Rate%20Review/40139%20Suppor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010%20Clark%20County-%202009%20Vancouver/General%20Filings/3.31.22%20Rate%20Review/DF%20Allocation%20Calculation%203.31.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s Restating Adj"/>
      <sheetName val="Staff Proforma ADJ"/>
      <sheetName val="2010 IS (C)"/>
      <sheetName val="Master IS (C)"/>
      <sheetName val="LOB (C)"/>
      <sheetName val="Restating Adj (C)"/>
      <sheetName val="Pro forma Adj (C)"/>
      <sheetName val="Allocators (C)"/>
      <sheetName val="Proposed Rates"/>
      <sheetName val="Automation Data"/>
      <sheetName val="Clark Co. Regulated - Price Out"/>
      <sheetName val="LG Public"/>
      <sheetName val="LG Public-No Automation"/>
      <sheetName val="2022 Vancouver Payroll"/>
      <sheetName val="Job Postings"/>
      <sheetName val="Dep Summary (C)"/>
      <sheetName val="Disposal"/>
      <sheetName val="Shop Outside Labor (C)"/>
      <sheetName val="2010 BS 2022.03 (C)"/>
      <sheetName val="2010 BS 2021.03 (C)"/>
      <sheetName val="Insurance Claims JE Query (C)"/>
      <sheetName val="3 Yr Insurance (C)"/>
      <sheetName val="43001 JE Query"/>
      <sheetName val="57170 JE Query"/>
      <sheetName val="70195 JE Query (C)"/>
      <sheetName val="41201 JE Query"/>
      <sheetName val="70225 JE Query"/>
      <sheetName val="70255 JE Query (C)"/>
      <sheetName val="91010 JE Query"/>
      <sheetName val="10070 JE Query"/>
      <sheetName val="70235 JE Query (C)"/>
      <sheetName val="Interject_LastPulledValues"/>
      <sheetName val="DVP-DivCon Allocs  (C)"/>
      <sheetName val="Region OH (C)"/>
      <sheetName val="Corp-OH (C)"/>
      <sheetName val="Corp BS &amp; IS"/>
    </sheetNames>
    <sheetDataSet>
      <sheetData sheetId="0"/>
      <sheetData sheetId="1"/>
      <sheetData sheetId="2"/>
      <sheetData sheetId="3">
        <row r="29">
          <cell r="E29">
            <v>8455261.0300000012</v>
          </cell>
        </row>
        <row r="150">
          <cell r="E150">
            <v>25898341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83">
          <cell r="AF283">
            <v>30392.812145581309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D6">
            <v>10000</v>
          </cell>
        </row>
        <row r="12">
          <cell r="I12" t="str">
            <v>2021-04</v>
          </cell>
        </row>
        <row r="13">
          <cell r="I13" t="str">
            <v>2022-03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 refreshError="1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Regulated"/>
      <sheetName val="Non-Regulated"/>
      <sheetName val="Disposal"/>
    </sheetNames>
    <sheetDataSet>
      <sheetData sheetId="0" refreshError="1"/>
      <sheetData sheetId="1">
        <row r="1">
          <cell r="A1" t="str">
            <v>Waste Connections of WA, Inc.</v>
          </cell>
        </row>
        <row r="2">
          <cell r="A2" t="str">
            <v>Clark County - Regulated</v>
          </cell>
        </row>
        <row r="3">
          <cell r="A3" t="str">
            <v>April 1, 2021 - March 31, 2022</v>
          </cell>
        </row>
        <row r="8">
          <cell r="D8" t="str">
            <v>Annual Customer Count</v>
          </cell>
        </row>
        <row r="9">
          <cell r="A9" t="str">
            <v>RESIDENTIAL SERVICES</v>
          </cell>
        </row>
        <row r="11">
          <cell r="A11" t="str">
            <v>Residential Garbage</v>
          </cell>
        </row>
        <row r="12">
          <cell r="A12" t="str">
            <v>CRMCEOW</v>
          </cell>
          <cell r="D12">
            <v>1762.9493750000001</v>
          </cell>
        </row>
        <row r="13">
          <cell r="A13" t="str">
            <v>CRMC</v>
          </cell>
          <cell r="D13">
            <v>6808.343632958803</v>
          </cell>
        </row>
        <row r="14">
          <cell r="A14" t="str">
            <v>CREOW</v>
          </cell>
          <cell r="D14">
            <v>97124.550320857292</v>
          </cell>
        </row>
        <row r="15">
          <cell r="A15" t="str">
            <v>CR32MO</v>
          </cell>
          <cell r="D15">
            <v>14781.400801603206</v>
          </cell>
        </row>
        <row r="16">
          <cell r="A16" t="str">
            <v>CR32W1</v>
          </cell>
          <cell r="D16">
            <v>580808.38230994134</v>
          </cell>
        </row>
        <row r="17">
          <cell r="A17" t="str">
            <v>RR32W1</v>
          </cell>
          <cell r="D17">
            <v>1.172514619883041</v>
          </cell>
        </row>
        <row r="18">
          <cell r="A18" t="str">
            <v>CR32W2</v>
          </cell>
          <cell r="D18">
            <v>166072.11941796288</v>
          </cell>
        </row>
        <row r="19">
          <cell r="A19" t="str">
            <v>CR32W3</v>
          </cell>
          <cell r="D19">
            <v>15836.878131347328</v>
          </cell>
        </row>
        <row r="20">
          <cell r="A20" t="str">
            <v>CR32W4</v>
          </cell>
          <cell r="D20">
            <v>2915.4092022869595</v>
          </cell>
        </row>
        <row r="21">
          <cell r="A21" t="str">
            <v>CR32W5</v>
          </cell>
          <cell r="D21">
            <v>582.90851528384269</v>
          </cell>
        </row>
        <row r="22">
          <cell r="A22" t="str">
            <v>CR32W6</v>
          </cell>
          <cell r="D22">
            <v>259.59414225941418</v>
          </cell>
        </row>
        <row r="23">
          <cell r="A23" t="str">
            <v>CR32W7</v>
          </cell>
          <cell r="D23">
            <v>8.4202511773940341</v>
          </cell>
        </row>
        <row r="24">
          <cell r="A24" t="str">
            <v>CR32W8</v>
          </cell>
          <cell r="D24">
            <v>12.193797341717882</v>
          </cell>
        </row>
        <row r="25">
          <cell r="A25" t="str">
            <v>CR32W9</v>
          </cell>
          <cell r="D25">
            <v>12.953128804480155</v>
          </cell>
        </row>
        <row r="26">
          <cell r="A26" t="str">
            <v>RREXC</v>
          </cell>
          <cell r="D26">
            <v>252306.79365079367</v>
          </cell>
        </row>
        <row r="27">
          <cell r="A27" t="str">
            <v>RRCALL</v>
          </cell>
          <cell r="D27">
            <v>3478.9561752988047</v>
          </cell>
        </row>
        <row r="28">
          <cell r="A28" t="str">
            <v>CRCALL</v>
          </cell>
          <cell r="D28">
            <v>37.077689243027891</v>
          </cell>
        </row>
        <row r="29">
          <cell r="A29" t="str">
            <v>ROFOW</v>
          </cell>
          <cell r="D29">
            <v>44607.160164271052</v>
          </cell>
        </row>
        <row r="30">
          <cell r="A30" t="str">
            <v>COFOW</v>
          </cell>
          <cell r="D30">
            <v>184.73511293634499</v>
          </cell>
        </row>
        <row r="31">
          <cell r="A31" t="str">
            <v>WBMISC</v>
          </cell>
          <cell r="D31">
            <v>4120.2730496453896</v>
          </cell>
        </row>
        <row r="33">
          <cell r="D33">
            <v>1191722.2713836327</v>
          </cell>
        </row>
        <row r="34">
          <cell r="D34">
            <v>0</v>
          </cell>
        </row>
        <row r="35">
          <cell r="A35" t="str">
            <v xml:space="preserve">COMMERCIAL SERVICES </v>
          </cell>
        </row>
        <row r="37">
          <cell r="A37" t="str">
            <v>Commercial Garbage</v>
          </cell>
        </row>
        <row r="38">
          <cell r="A38" t="str">
            <v>CC1Y1W</v>
          </cell>
          <cell r="D38">
            <v>4869.294502571006</v>
          </cell>
        </row>
        <row r="39">
          <cell r="A39" t="str">
            <v>CC1Y2W</v>
          </cell>
          <cell r="D39">
            <v>127.57787906710337</v>
          </cell>
        </row>
        <row r="40">
          <cell r="A40" t="str">
            <v>CC1YEOW</v>
          </cell>
          <cell r="D40">
            <v>8786.4593676430995</v>
          </cell>
        </row>
        <row r="41">
          <cell r="A41" t="str">
            <v>CC15Y1W</v>
          </cell>
          <cell r="D41">
            <v>1590.0403948223945</v>
          </cell>
        </row>
        <row r="42">
          <cell r="A42" t="str">
            <v>CC15Y2W</v>
          </cell>
          <cell r="D42">
            <v>24.096590360282043</v>
          </cell>
        </row>
        <row r="43">
          <cell r="A43" t="str">
            <v>CC15YEOW</v>
          </cell>
          <cell r="D43">
            <v>2415.9820702473889</v>
          </cell>
        </row>
        <row r="44">
          <cell r="A44" t="str">
            <v>CC2Y1W</v>
          </cell>
          <cell r="D44">
            <v>6124.9531973661769</v>
          </cell>
        </row>
        <row r="45">
          <cell r="A45" t="str">
            <v>CC2Y2W</v>
          </cell>
          <cell r="D45">
            <v>548.92209537758583</v>
          </cell>
        </row>
        <row r="46">
          <cell r="A46" t="str">
            <v>CC2Y3W</v>
          </cell>
          <cell r="D46">
            <v>71.79250041230874</v>
          </cell>
        </row>
        <row r="47">
          <cell r="A47" t="str">
            <v>CC2Y4W</v>
          </cell>
          <cell r="D47">
            <v>12.052469510959847</v>
          </cell>
        </row>
        <row r="48">
          <cell r="A48" t="str">
            <v>CC2Y5W</v>
          </cell>
          <cell r="D48">
            <v>12.052428569113333</v>
          </cell>
        </row>
        <row r="49">
          <cell r="A49" t="str">
            <v>CC2YEOW</v>
          </cell>
          <cell r="D49">
            <v>4816.224879453267</v>
          </cell>
        </row>
        <row r="50">
          <cell r="A50" t="str">
            <v>CC3Y1W</v>
          </cell>
          <cell r="D50">
            <v>2275.4968206974927</v>
          </cell>
        </row>
        <row r="51">
          <cell r="A51" t="str">
            <v>CC3Y2W</v>
          </cell>
          <cell r="D51">
            <v>665.85965212963697</v>
          </cell>
        </row>
        <row r="52">
          <cell r="A52" t="str">
            <v>VC3Y2W</v>
          </cell>
          <cell r="D52">
            <v>6.9677091565992999</v>
          </cell>
        </row>
        <row r="53">
          <cell r="A53" t="str">
            <v>CC3Y3W</v>
          </cell>
          <cell r="D53">
            <v>159.44137033857069</v>
          </cell>
        </row>
        <row r="54">
          <cell r="A54" t="str">
            <v>CC3Y4W</v>
          </cell>
          <cell r="D54">
            <v>15.086503432560706</v>
          </cell>
        </row>
        <row r="55">
          <cell r="A55" t="str">
            <v>CC3Y5W</v>
          </cell>
          <cell r="D55">
            <v>17.108099948910869</v>
          </cell>
        </row>
        <row r="56">
          <cell r="A56" t="str">
            <v>CC3Y6W</v>
          </cell>
          <cell r="D56">
            <v>12.054089097031389</v>
          </cell>
        </row>
        <row r="57">
          <cell r="A57" t="str">
            <v>CC3YEOW</v>
          </cell>
          <cell r="D57">
            <v>417.26720436005792</v>
          </cell>
        </row>
        <row r="58">
          <cell r="A58" t="str">
            <v>CC4Y1W</v>
          </cell>
          <cell r="D58">
            <v>2411.9176613535287</v>
          </cell>
        </row>
        <row r="59">
          <cell r="A59" t="str">
            <v>VC4Y1W</v>
          </cell>
          <cell r="D59">
            <v>-0.64415786787450013</v>
          </cell>
        </row>
        <row r="60">
          <cell r="A60" t="str">
            <v>CC4Y2W</v>
          </cell>
          <cell r="D60">
            <v>1397.5075524733015</v>
          </cell>
        </row>
        <row r="61">
          <cell r="A61" t="str">
            <v>CC4Y3W</v>
          </cell>
          <cell r="D61">
            <v>417.40331004197725</v>
          </cell>
        </row>
        <row r="62">
          <cell r="A62" t="str">
            <v>CC4Y4W</v>
          </cell>
          <cell r="D62">
            <v>51.755391810504364</v>
          </cell>
        </row>
        <row r="63">
          <cell r="A63" t="str">
            <v>CC4Y5W</v>
          </cell>
          <cell r="D63">
            <v>36.162982037432485</v>
          </cell>
        </row>
        <row r="64">
          <cell r="A64" t="str">
            <v>CC4Y6W</v>
          </cell>
          <cell r="D64">
            <v>11.907546553413916</v>
          </cell>
        </row>
        <row r="65">
          <cell r="A65" t="str">
            <v>CC4YEOW</v>
          </cell>
          <cell r="D65">
            <v>282.35349279695572</v>
          </cell>
        </row>
        <row r="66">
          <cell r="A66" t="str">
            <v>CC5Y1W</v>
          </cell>
          <cell r="D66">
            <v>39.413979375182862</v>
          </cell>
        </row>
        <row r="67">
          <cell r="A67" t="str">
            <v>CC5YEOW</v>
          </cell>
          <cell r="D67">
            <v>8.5521669341894064</v>
          </cell>
        </row>
        <row r="68">
          <cell r="A68" t="str">
            <v>CC6Y1W</v>
          </cell>
          <cell r="D68">
            <v>951.78801034946207</v>
          </cell>
        </row>
        <row r="69">
          <cell r="A69" t="str">
            <v>CC6Y2W</v>
          </cell>
          <cell r="D69">
            <v>322.93714906983297</v>
          </cell>
        </row>
        <row r="70">
          <cell r="A70" t="str">
            <v>CC6Y3W</v>
          </cell>
          <cell r="D70">
            <v>115.04265994902971</v>
          </cell>
        </row>
        <row r="71">
          <cell r="A71" t="str">
            <v>CC6Y4W</v>
          </cell>
          <cell r="D71">
            <v>12.051610111873417</v>
          </cell>
        </row>
        <row r="72">
          <cell r="A72" t="str">
            <v>CC6Y5W</v>
          </cell>
          <cell r="D72">
            <v>0</v>
          </cell>
        </row>
        <row r="73">
          <cell r="A73" t="str">
            <v>CC6YEOW</v>
          </cell>
          <cell r="D73">
            <v>197.35471139615197</v>
          </cell>
        </row>
        <row r="74">
          <cell r="A74" t="str">
            <v>CC8Y1W</v>
          </cell>
          <cell r="D74">
            <v>641.73823815988169</v>
          </cell>
        </row>
        <row r="75">
          <cell r="A75" t="str">
            <v>CC8Y2W</v>
          </cell>
          <cell r="D75">
            <v>216.37182828811407</v>
          </cell>
        </row>
        <row r="76">
          <cell r="A76" t="str">
            <v>CC8Y3W</v>
          </cell>
          <cell r="D76">
            <v>104.52727868775835</v>
          </cell>
        </row>
        <row r="77">
          <cell r="A77" t="str">
            <v>CC8Y4W</v>
          </cell>
          <cell r="D77">
            <v>12.047753823562502</v>
          </cell>
        </row>
        <row r="78">
          <cell r="A78" t="str">
            <v>CC8Y6W</v>
          </cell>
          <cell r="D78">
            <v>12.047743860798718</v>
          </cell>
        </row>
        <row r="79">
          <cell r="A79" t="str">
            <v>CC8YEOW</v>
          </cell>
          <cell r="D79">
            <v>25.609215500945179</v>
          </cell>
        </row>
        <row r="80">
          <cell r="A80" t="str">
            <v>CCCMP2Y</v>
          </cell>
          <cell r="D80">
            <v>26.098631866799312</v>
          </cell>
        </row>
        <row r="81">
          <cell r="A81" t="str">
            <v>CCCMP3Y</v>
          </cell>
          <cell r="D81">
            <v>0</v>
          </cell>
        </row>
        <row r="82">
          <cell r="A82" t="str">
            <v>CCCMP4Y</v>
          </cell>
          <cell r="D82">
            <v>72.54510433386838</v>
          </cell>
        </row>
        <row r="83">
          <cell r="A83" t="str">
            <v>CCSP1Y</v>
          </cell>
          <cell r="D83">
            <v>579.03171661409044</v>
          </cell>
        </row>
        <row r="84">
          <cell r="A84" t="str">
            <v>CCSP15Y</v>
          </cell>
          <cell r="D84">
            <v>160.02084372868759</v>
          </cell>
        </row>
        <row r="85">
          <cell r="A85" t="str">
            <v>CCSP2Y</v>
          </cell>
          <cell r="D85">
            <v>351.06966405248539</v>
          </cell>
        </row>
        <row r="86">
          <cell r="A86" t="str">
            <v>CCSP3Y</v>
          </cell>
          <cell r="D86">
            <v>41.994452484322238</v>
          </cell>
        </row>
        <row r="87">
          <cell r="A87" t="str">
            <v>VCSP2YC</v>
          </cell>
          <cell r="D87">
            <v>0</v>
          </cell>
        </row>
        <row r="88">
          <cell r="A88" t="str">
            <v>VCSP4YC</v>
          </cell>
          <cell r="D88">
            <v>32.338849311521592</v>
          </cell>
        </row>
        <row r="89">
          <cell r="A89" t="str">
            <v>CCSP4Y</v>
          </cell>
          <cell r="D89">
            <v>41</v>
          </cell>
        </row>
        <row r="90">
          <cell r="A90" t="str">
            <v>CCSP5Y</v>
          </cell>
          <cell r="D90">
            <v>0</v>
          </cell>
        </row>
        <row r="91">
          <cell r="A91" t="str">
            <v>CCSP6Y</v>
          </cell>
          <cell r="D91">
            <v>11.438259506076049</v>
          </cell>
        </row>
        <row r="92">
          <cell r="A92" t="str">
            <v>CCSP8Y</v>
          </cell>
          <cell r="D92">
            <v>19.538654870815321</v>
          </cell>
        </row>
        <row r="93">
          <cell r="A93" t="str">
            <v>CCTP1Y</v>
          </cell>
          <cell r="D93">
            <v>274.01666666666665</v>
          </cell>
        </row>
        <row r="94">
          <cell r="A94" t="str">
            <v>CCTP15Y</v>
          </cell>
          <cell r="D94">
            <v>146.99464359291306</v>
          </cell>
        </row>
        <row r="95">
          <cell r="A95" t="str">
            <v>CCTP2Y</v>
          </cell>
          <cell r="D95">
            <v>1492.7100428795857</v>
          </cell>
        </row>
        <row r="96">
          <cell r="A96" t="str">
            <v>CCTP3Y</v>
          </cell>
          <cell r="D96">
            <v>27</v>
          </cell>
        </row>
        <row r="97">
          <cell r="A97" t="str">
            <v>CCTP4Y</v>
          </cell>
          <cell r="D97">
            <v>2</v>
          </cell>
        </row>
        <row r="98">
          <cell r="A98" t="str">
            <v>CCTP5Y</v>
          </cell>
          <cell r="D98">
            <v>0</v>
          </cell>
        </row>
        <row r="99">
          <cell r="A99" t="str">
            <v>CCTP6Y</v>
          </cell>
          <cell r="D99">
            <v>0</v>
          </cell>
        </row>
        <row r="100">
          <cell r="A100" t="str">
            <v>CCTP8Y</v>
          </cell>
          <cell r="D100">
            <v>0</v>
          </cell>
        </row>
        <row r="101">
          <cell r="A101" t="str">
            <v>CC32W1</v>
          </cell>
          <cell r="D101">
            <v>10330.932810601036</v>
          </cell>
        </row>
        <row r="102">
          <cell r="A102" t="str">
            <v>CC32W2</v>
          </cell>
          <cell r="D102">
            <v>753.48909026168405</v>
          </cell>
        </row>
        <row r="103">
          <cell r="A103" t="str">
            <v>CC32W3</v>
          </cell>
          <cell r="D103">
            <v>227.62812024912955</v>
          </cell>
        </row>
        <row r="104">
          <cell r="A104" t="str">
            <v>CC32W4</v>
          </cell>
          <cell r="D104">
            <v>88.083285061466171</v>
          </cell>
        </row>
        <row r="105">
          <cell r="A105" t="str">
            <v>CC32W5</v>
          </cell>
          <cell r="D105">
            <v>24.095238095238095</v>
          </cell>
        </row>
        <row r="106">
          <cell r="A106" t="str">
            <v>CC32W6</v>
          </cell>
          <cell r="D106">
            <v>24.095238095238095</v>
          </cell>
        </row>
        <row r="107">
          <cell r="A107" t="str">
            <v>CC32W7</v>
          </cell>
          <cell r="D107">
            <v>12.047619047619047</v>
          </cell>
        </row>
        <row r="108">
          <cell r="A108" t="str">
            <v>CC32W8</v>
          </cell>
          <cell r="D108">
            <v>12.047619047619047</v>
          </cell>
        </row>
        <row r="109">
          <cell r="A109" t="str">
            <v>CC32W9</v>
          </cell>
          <cell r="D109">
            <v>12.047619047619047</v>
          </cell>
        </row>
        <row r="110">
          <cell r="A110" t="str">
            <v>RC32EOW</v>
          </cell>
          <cell r="D110">
            <v>992.82377361617523</v>
          </cell>
        </row>
        <row r="111">
          <cell r="A111" t="str">
            <v>CCEXCAN</v>
          </cell>
          <cell r="D111">
            <v>3067.7791040061284</v>
          </cell>
        </row>
        <row r="112">
          <cell r="A112" t="str">
            <v>CCEXYD</v>
          </cell>
          <cell r="D112">
            <v>3265.5486406652089</v>
          </cell>
        </row>
        <row r="113">
          <cell r="A113" t="str">
            <v>RCOF</v>
          </cell>
          <cell r="D113">
            <v>1.8257487563918229</v>
          </cell>
        </row>
        <row r="115">
          <cell r="D115">
            <v>62326.817385725961</v>
          </cell>
        </row>
        <row r="116">
          <cell r="D116">
            <v>0.36501079913432477</v>
          </cell>
        </row>
        <row r="117">
          <cell r="D117">
            <v>1254049.0887693586</v>
          </cell>
        </row>
        <row r="120">
          <cell r="D120" t="str">
            <v>Cal lbs</v>
          </cell>
        </row>
        <row r="121">
          <cell r="D121" t="str">
            <v>Regulated</v>
          </cell>
        </row>
        <row r="122">
          <cell r="D122">
            <v>147856229.259354</v>
          </cell>
        </row>
        <row r="123">
          <cell r="D123">
            <v>70634013.301997021</v>
          </cell>
        </row>
        <row r="124">
          <cell r="D124">
            <v>218490242.561351</v>
          </cell>
        </row>
        <row r="127">
          <cell r="D127" t="str">
            <v>Non-Regulated</v>
          </cell>
        </row>
        <row r="128">
          <cell r="D128">
            <v>107029282.69270581</v>
          </cell>
        </row>
        <row r="129">
          <cell r="D129">
            <v>110055695.9614711</v>
          </cell>
        </row>
        <row r="130">
          <cell r="D130">
            <v>217084978.65417689</v>
          </cell>
        </row>
        <row r="132">
          <cell r="D132">
            <v>435575221.21552789</v>
          </cell>
        </row>
        <row r="134">
          <cell r="D134">
            <v>0.50161311277447396</v>
          </cell>
        </row>
        <row r="135">
          <cell r="D135">
            <v>0.49838688722552604</v>
          </cell>
        </row>
        <row r="136">
          <cell r="D136">
            <v>1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Query"/>
      <sheetName val="JE Lookup"/>
      <sheetName val="Split"/>
      <sheetName val="Waste Works Breakdown"/>
      <sheetName val="Material Codes"/>
      <sheetName val="WW Rpt APR21 to MAR22 Master"/>
      <sheetName val="WW APR21-MAR22 RO "/>
      <sheetName val="WW APR21-MAR22 Org, FW, Other"/>
      <sheetName val="WW APR21-MAR22 Res &amp; Com"/>
    </sheetNames>
    <sheetDataSet>
      <sheetData sheetId="0"/>
      <sheetData sheetId="1"/>
      <sheetData sheetId="2"/>
      <sheetData sheetId="3">
        <row r="4">
          <cell r="D4">
            <v>92024.240000000034</v>
          </cell>
          <cell r="E4">
            <v>8234515.3400000026</v>
          </cell>
        </row>
        <row r="5">
          <cell r="D5">
            <v>0</v>
          </cell>
          <cell r="E5">
            <v>7.1054273576010019E-15</v>
          </cell>
        </row>
        <row r="6">
          <cell r="D6">
            <v>1957.53</v>
          </cell>
          <cell r="E6">
            <v>70422.400000000009</v>
          </cell>
        </row>
        <row r="9">
          <cell r="D9">
            <v>93981.770000000019</v>
          </cell>
          <cell r="E9">
            <v>8304937.7400000049</v>
          </cell>
        </row>
        <row r="13">
          <cell r="D13">
            <v>165572.63</v>
          </cell>
          <cell r="E13">
            <v>16362444.449999999</v>
          </cell>
        </row>
        <row r="14">
          <cell r="D14">
            <v>1132.8400000000001</v>
          </cell>
          <cell r="E14">
            <v>96854.049999999988</v>
          </cell>
        </row>
        <row r="15">
          <cell r="D15">
            <v>12461.58</v>
          </cell>
          <cell r="E15">
            <v>1055328.44</v>
          </cell>
        </row>
        <row r="16">
          <cell r="D16">
            <v>2207.77</v>
          </cell>
          <cell r="E16">
            <v>76117.049999999988</v>
          </cell>
        </row>
        <row r="19">
          <cell r="D19">
            <v>181374.82</v>
          </cell>
          <cell r="E19">
            <v>17590743.989999998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Regulated"/>
      <sheetName val="Non-Regulated"/>
    </sheetNames>
    <sheetDataSet>
      <sheetData sheetId="0"/>
      <sheetData sheetId="1">
        <row r="134">
          <cell r="D134">
            <v>0.50161311277447396</v>
          </cell>
        </row>
        <row r="135">
          <cell r="D135">
            <v>0.49838688722552604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showGridLines="0" tabSelected="1" view="pageBreakPreview" zoomScaleNormal="100" zoomScaleSheetLayoutView="100" zoomScalePageLayoutView="80" workbookViewId="0">
      <selection activeCell="C57" sqref="C57"/>
    </sheetView>
  </sheetViews>
  <sheetFormatPr defaultColWidth="9.140625" defaultRowHeight="12.75"/>
  <cols>
    <col min="1" max="1" width="26.140625" style="3" customWidth="1"/>
    <col min="2" max="2" width="7" style="3" customWidth="1"/>
    <col min="3" max="3" width="22" style="3" customWidth="1"/>
    <col min="4" max="4" width="9.5703125" style="3" bestFit="1" customWidth="1"/>
    <col min="5" max="5" width="10.7109375" style="3" bestFit="1" customWidth="1"/>
    <col min="6" max="6" width="26.7109375" style="3" bestFit="1" customWidth="1"/>
    <col min="7" max="7" width="10.140625" style="3" bestFit="1" customWidth="1"/>
    <col min="8" max="8" width="7.5703125" style="3" bestFit="1" customWidth="1"/>
    <col min="9" max="9" width="9.28515625" style="3" bestFit="1" customWidth="1"/>
    <col min="10" max="10" width="9.5703125" style="3" bestFit="1" customWidth="1"/>
    <col min="11" max="11" width="14.5703125" style="3" customWidth="1"/>
    <col min="12" max="12" width="9.140625" style="3"/>
    <col min="13" max="13" width="17.42578125" style="3" customWidth="1"/>
    <col min="14" max="16384" width="9.140625" style="3"/>
  </cols>
  <sheetData>
    <row r="1" spans="1:10">
      <c r="A1" s="84" t="s">
        <v>367</v>
      </c>
    </row>
    <row r="2" spans="1:10">
      <c r="A2" s="80" t="s">
        <v>331</v>
      </c>
    </row>
    <row r="3" spans="1:10" ht="13.5" thickBot="1">
      <c r="A3" s="80"/>
    </row>
    <row r="4" spans="1:10" customFormat="1" ht="25.5" customHeight="1" thickBot="1">
      <c r="A4" s="259" t="s">
        <v>393</v>
      </c>
      <c r="B4" s="260"/>
      <c r="C4" s="260"/>
      <c r="D4" s="260"/>
      <c r="E4" s="260"/>
      <c r="F4" s="260"/>
      <c r="G4" s="260"/>
      <c r="H4" s="260"/>
      <c r="I4" s="261"/>
    </row>
    <row r="6" spans="1:10">
      <c r="A6" s="262" t="s">
        <v>0</v>
      </c>
      <c r="B6" s="262"/>
      <c r="C6" s="262"/>
      <c r="D6" s="262"/>
      <c r="E6" s="262"/>
      <c r="F6" s="262"/>
      <c r="G6" s="262"/>
      <c r="H6" s="262"/>
      <c r="I6" s="262"/>
      <c r="J6" s="8"/>
    </row>
    <row r="7" spans="1:10">
      <c r="A7" s="3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</row>
    <row r="8" spans="1:10">
      <c r="A8" s="3" t="s">
        <v>9</v>
      </c>
      <c r="C8" s="5">
        <f>+C12*5</f>
        <v>21.65</v>
      </c>
      <c r="D8" s="10">
        <f>ROUND($C$8*2,2)</f>
        <v>43.3</v>
      </c>
      <c r="E8" s="10">
        <f>ROUND($C$8*3,2)</f>
        <v>64.95</v>
      </c>
      <c r="F8" s="10">
        <f>ROUND($C$8*4,2)</f>
        <v>86.6</v>
      </c>
      <c r="G8" s="10">
        <f>ROUND($C$8*5,2)</f>
        <v>108.25</v>
      </c>
      <c r="H8" s="10">
        <f>ROUND($C$8*6,2)</f>
        <v>129.9</v>
      </c>
      <c r="I8" s="10">
        <f>ROUND($C$8*7,2)</f>
        <v>151.55000000000001</v>
      </c>
    </row>
    <row r="9" spans="1:10">
      <c r="A9" s="3" t="s">
        <v>10</v>
      </c>
      <c r="C9" s="5">
        <f>+C12*4</f>
        <v>17.32</v>
      </c>
      <c r="D9" s="10">
        <f>ROUND($C$9*2,2)</f>
        <v>34.64</v>
      </c>
      <c r="E9" s="10">
        <f>ROUND($C$9*3,2)</f>
        <v>51.96</v>
      </c>
      <c r="F9" s="10">
        <f>ROUND($C$9*4,2)</f>
        <v>69.28</v>
      </c>
      <c r="G9" s="10">
        <f>ROUND($C$9*5,2)</f>
        <v>86.6</v>
      </c>
      <c r="H9" s="10">
        <f>ROUND($C$9*6,2)</f>
        <v>103.92</v>
      </c>
      <c r="I9" s="10">
        <f>ROUND($C$9*7,2)</f>
        <v>121.24</v>
      </c>
    </row>
    <row r="10" spans="1:10">
      <c r="A10" s="3" t="s">
        <v>11</v>
      </c>
      <c r="C10" s="5">
        <f>+C12*3</f>
        <v>12.99</v>
      </c>
      <c r="D10" s="10">
        <f>ROUND($C$10*2,2)</f>
        <v>25.98</v>
      </c>
      <c r="E10" s="10">
        <f>ROUND($C$10*3,2)</f>
        <v>38.97</v>
      </c>
      <c r="F10" s="10">
        <f>ROUND($C$10*4,2)</f>
        <v>51.96</v>
      </c>
      <c r="G10" s="10">
        <f>ROUND($C$10*5,2)</f>
        <v>64.95</v>
      </c>
      <c r="H10" s="10">
        <f>ROUND($C$10*6,2)</f>
        <v>77.94</v>
      </c>
      <c r="I10" s="10">
        <f>ROUND($C$10*7,2)</f>
        <v>90.93</v>
      </c>
    </row>
    <row r="11" spans="1:10">
      <c r="A11" s="3" t="s">
        <v>12</v>
      </c>
      <c r="C11" s="5">
        <f>+C12*2</f>
        <v>8.66</v>
      </c>
      <c r="D11" s="7">
        <f>ROUND($C$11*2,2)</f>
        <v>17.32</v>
      </c>
      <c r="E11" s="7">
        <f>ROUND($C$11*3,2)</f>
        <v>25.98</v>
      </c>
      <c r="F11" s="7">
        <f>ROUND($C$11*4,2)</f>
        <v>34.64</v>
      </c>
      <c r="G11" s="7">
        <f>ROUND($C$11*5,2)</f>
        <v>43.3</v>
      </c>
      <c r="H11" s="7">
        <f>ROUND($C$11*6,2)</f>
        <v>51.96</v>
      </c>
      <c r="I11" s="7">
        <f>ROUND($C$11*7,2)</f>
        <v>60.62</v>
      </c>
    </row>
    <row r="12" spans="1:10">
      <c r="A12" s="3" t="s">
        <v>13</v>
      </c>
      <c r="C12" s="5">
        <f>ROUND(52/12,2)</f>
        <v>4.33</v>
      </c>
      <c r="D12" s="7">
        <f>ROUND($C$12*2,2)</f>
        <v>8.66</v>
      </c>
      <c r="E12" s="7">
        <f>ROUND($C$12*3,2)</f>
        <v>12.99</v>
      </c>
      <c r="F12" s="7">
        <f>ROUND($C$12*4,2)</f>
        <v>17.32</v>
      </c>
      <c r="G12" s="7">
        <f>ROUND($C$12*5,2)</f>
        <v>21.65</v>
      </c>
      <c r="H12" s="7">
        <f>ROUND($C$12*6,2)</f>
        <v>25.98</v>
      </c>
      <c r="I12" s="7">
        <f>ROUND($C$12*7,2)</f>
        <v>30.31</v>
      </c>
    </row>
    <row r="13" spans="1:10">
      <c r="A13" s="3" t="s">
        <v>14</v>
      </c>
      <c r="C13" s="5">
        <f>ROUND(26/12,2)</f>
        <v>2.17</v>
      </c>
      <c r="D13" s="7">
        <f>ROUND($C$13*2,2)</f>
        <v>4.34</v>
      </c>
      <c r="E13" s="7">
        <f>ROUND($C$13*3,2)</f>
        <v>6.51</v>
      </c>
      <c r="F13" s="7">
        <f>ROUND($C$13*4,2)</f>
        <v>8.68</v>
      </c>
      <c r="G13" s="7">
        <f>ROUND($C$13*5,2)</f>
        <v>10.85</v>
      </c>
      <c r="H13" s="7">
        <f>ROUND($C$13*6,2)</f>
        <v>13.02</v>
      </c>
      <c r="I13" s="7">
        <f>ROUND($C$13*7,2)</f>
        <v>15.19</v>
      </c>
    </row>
    <row r="14" spans="1:10">
      <c r="A14" s="3" t="s">
        <v>15</v>
      </c>
      <c r="C14" s="5">
        <f>12/12</f>
        <v>1</v>
      </c>
      <c r="D14" s="7">
        <f>$C$14*2</f>
        <v>2</v>
      </c>
      <c r="E14" s="7">
        <f>$C$14*3</f>
        <v>3</v>
      </c>
      <c r="F14" s="7">
        <f>$C$14*4</f>
        <v>4</v>
      </c>
      <c r="G14" s="7">
        <f>$C$14*5</f>
        <v>5</v>
      </c>
      <c r="H14" s="7">
        <f>$C$14*6</f>
        <v>6</v>
      </c>
      <c r="I14" s="7">
        <f>$C$14*7</f>
        <v>7</v>
      </c>
    </row>
    <row r="15" spans="1:10">
      <c r="A15" s="3" t="s">
        <v>16</v>
      </c>
      <c r="C15" s="5">
        <v>1</v>
      </c>
      <c r="D15" s="7"/>
      <c r="E15" s="7"/>
      <c r="F15" s="7"/>
      <c r="G15" s="7"/>
      <c r="H15" s="7"/>
      <c r="I15" s="7"/>
    </row>
    <row r="16" spans="1:10">
      <c r="C16" s="5"/>
      <c r="D16" s="7"/>
      <c r="E16" s="7"/>
      <c r="F16" s="7"/>
      <c r="G16" s="7"/>
      <c r="H16" s="7"/>
      <c r="I16" s="7"/>
    </row>
    <row r="17" spans="1:9">
      <c r="A17" s="262" t="s">
        <v>17</v>
      </c>
      <c r="B17" s="262"/>
      <c r="C17" s="262"/>
      <c r="D17" s="7"/>
      <c r="E17" s="7"/>
      <c r="F17" s="7"/>
      <c r="G17" s="7"/>
      <c r="H17" s="7"/>
      <c r="I17" s="7"/>
    </row>
    <row r="18" spans="1:9">
      <c r="A18" s="1" t="s">
        <v>18</v>
      </c>
      <c r="B18" s="1"/>
      <c r="C18" s="11" t="s">
        <v>19</v>
      </c>
      <c r="D18" s="7"/>
      <c r="E18" s="7"/>
      <c r="F18" s="7"/>
      <c r="G18" s="7"/>
      <c r="H18" s="7"/>
      <c r="I18" s="7"/>
    </row>
    <row r="19" spans="1:9">
      <c r="A19" s="12" t="s">
        <v>20</v>
      </c>
      <c r="B19" s="12"/>
      <c r="C19" s="6">
        <v>20</v>
      </c>
      <c r="D19" s="7"/>
      <c r="E19" s="7"/>
      <c r="F19" s="7"/>
      <c r="G19" s="7"/>
      <c r="H19" s="7"/>
      <c r="I19" s="7"/>
    </row>
    <row r="20" spans="1:9">
      <c r="A20" s="12" t="s">
        <v>21</v>
      </c>
      <c r="B20" s="12"/>
      <c r="C20" s="6">
        <v>34</v>
      </c>
      <c r="D20" s="7"/>
      <c r="E20" s="7"/>
      <c r="F20" s="7"/>
      <c r="G20" s="7"/>
      <c r="H20" s="7"/>
      <c r="I20" s="7"/>
    </row>
    <row r="21" spans="1:9">
      <c r="A21" s="12" t="s">
        <v>22</v>
      </c>
      <c r="B21" s="12"/>
      <c r="C21" s="6">
        <v>51</v>
      </c>
      <c r="D21" s="7"/>
      <c r="E21" s="7"/>
      <c r="F21" s="7"/>
      <c r="G21" s="7"/>
      <c r="H21" s="7"/>
      <c r="I21" s="7"/>
    </row>
    <row r="22" spans="1:9">
      <c r="A22" s="12" t="s">
        <v>23</v>
      </c>
      <c r="B22" s="12"/>
      <c r="C22" s="6">
        <v>77</v>
      </c>
      <c r="D22" s="7"/>
      <c r="E22" s="7"/>
      <c r="F22" s="7"/>
      <c r="G22" s="3" t="s">
        <v>24</v>
      </c>
      <c r="H22" s="6">
        <v>2000</v>
      </c>
      <c r="I22" s="7"/>
    </row>
    <row r="23" spans="1:9">
      <c r="A23" s="12" t="s">
        <v>25</v>
      </c>
      <c r="B23" s="12"/>
      <c r="C23" s="6">
        <v>97</v>
      </c>
      <c r="D23" s="7"/>
      <c r="E23" s="7"/>
      <c r="F23" s="7"/>
      <c r="G23" s="3" t="s">
        <v>26</v>
      </c>
      <c r="H23" s="81" t="s">
        <v>329</v>
      </c>
      <c r="I23" s="7"/>
    </row>
    <row r="24" spans="1:9">
      <c r="A24" s="12" t="s">
        <v>27</v>
      </c>
      <c r="B24" s="12"/>
      <c r="C24" s="82">
        <v>117</v>
      </c>
      <c r="D24" s="7"/>
      <c r="E24" s="7"/>
      <c r="F24" s="7"/>
      <c r="I24" s="7"/>
    </row>
    <row r="25" spans="1:9">
      <c r="A25" s="12" t="s">
        <v>28</v>
      </c>
      <c r="B25" s="12"/>
      <c r="C25" s="82">
        <v>137</v>
      </c>
      <c r="D25" s="7"/>
      <c r="E25" s="7"/>
      <c r="F25" s="7"/>
      <c r="G25" s="2" t="s">
        <v>29</v>
      </c>
      <c r="H25" s="13">
        <v>12</v>
      </c>
      <c r="I25" s="7"/>
    </row>
    <row r="26" spans="1:9">
      <c r="A26" s="12" t="s">
        <v>30</v>
      </c>
      <c r="B26" s="12"/>
      <c r="C26" s="82">
        <f>C25+20+20</f>
        <v>177</v>
      </c>
      <c r="D26" s="7"/>
      <c r="E26" s="7"/>
      <c r="F26" s="7"/>
      <c r="G26" s="2"/>
      <c r="H26" s="13"/>
      <c r="I26" s="7"/>
    </row>
    <row r="27" spans="1:9">
      <c r="A27" s="12" t="s">
        <v>31</v>
      </c>
      <c r="B27" s="12"/>
      <c r="C27" s="82">
        <v>40</v>
      </c>
      <c r="D27" s="7" t="s">
        <v>32</v>
      </c>
      <c r="E27" s="7"/>
      <c r="F27" s="7"/>
      <c r="G27" s="14"/>
      <c r="H27" s="15"/>
      <c r="I27" s="7"/>
    </row>
    <row r="28" spans="1:9">
      <c r="A28" s="12" t="s">
        <v>33</v>
      </c>
      <c r="B28" s="12"/>
      <c r="C28" s="82">
        <v>47</v>
      </c>
      <c r="D28" s="7"/>
      <c r="E28" s="7"/>
      <c r="F28" s="7"/>
      <c r="G28" s="7"/>
      <c r="H28" s="7"/>
      <c r="I28" s="7"/>
    </row>
    <row r="29" spans="1:9">
      <c r="A29" s="12" t="s">
        <v>34</v>
      </c>
      <c r="B29" s="12"/>
      <c r="C29" s="82">
        <f>C21</f>
        <v>51</v>
      </c>
      <c r="D29" s="7"/>
      <c r="E29" s="7"/>
      <c r="F29" s="7"/>
      <c r="G29" s="7"/>
      <c r="H29" s="7"/>
      <c r="I29" s="7"/>
    </row>
    <row r="30" spans="1:9">
      <c r="A30" s="12" t="s">
        <v>35</v>
      </c>
      <c r="B30" s="12"/>
      <c r="C30" s="82">
        <v>68</v>
      </c>
      <c r="D30" s="7"/>
      <c r="E30" s="7"/>
      <c r="F30" s="7"/>
      <c r="G30" s="7"/>
      <c r="H30" s="7"/>
      <c r="I30" s="7"/>
    </row>
    <row r="31" spans="1:9">
      <c r="A31" s="12" t="s">
        <v>36</v>
      </c>
      <c r="B31" s="12"/>
      <c r="C31" s="82">
        <f>C22</f>
        <v>77</v>
      </c>
      <c r="D31" s="7"/>
      <c r="E31" s="7"/>
      <c r="F31" s="7"/>
      <c r="G31" s="7"/>
      <c r="H31" s="7"/>
      <c r="I31" s="7"/>
    </row>
    <row r="32" spans="1:9">
      <c r="A32" s="12" t="s">
        <v>37</v>
      </c>
      <c r="B32" s="12"/>
      <c r="C32" s="82">
        <v>34</v>
      </c>
      <c r="D32" s="7"/>
      <c r="E32" s="7"/>
      <c r="F32" s="7"/>
      <c r="G32" s="7"/>
      <c r="H32" s="7"/>
      <c r="I32" s="7"/>
    </row>
    <row r="33" spans="1:9">
      <c r="A33" s="12" t="s">
        <v>38</v>
      </c>
      <c r="B33" s="12"/>
      <c r="C33" s="82">
        <v>34</v>
      </c>
      <c r="D33" s="7"/>
      <c r="E33" s="7"/>
      <c r="F33" s="7"/>
      <c r="G33" s="7"/>
      <c r="H33" s="7"/>
      <c r="I33" s="7"/>
    </row>
    <row r="34" spans="1:9">
      <c r="A34" s="1" t="s">
        <v>39</v>
      </c>
      <c r="B34" s="1"/>
      <c r="C34" s="82"/>
      <c r="D34" s="7"/>
      <c r="E34" s="7"/>
      <c r="F34" s="7"/>
      <c r="G34" s="7"/>
      <c r="H34" s="7"/>
      <c r="I34" s="7"/>
    </row>
    <row r="35" spans="1:9">
      <c r="A35" s="12" t="s">
        <v>40</v>
      </c>
      <c r="B35" s="12"/>
      <c r="C35" s="82">
        <v>29</v>
      </c>
      <c r="D35" s="7"/>
      <c r="E35" s="7"/>
      <c r="F35" s="7"/>
      <c r="G35" s="7"/>
      <c r="H35" s="7"/>
      <c r="I35" s="7"/>
    </row>
    <row r="36" spans="1:9">
      <c r="A36" s="12" t="s">
        <v>41</v>
      </c>
      <c r="B36" s="12"/>
      <c r="C36" s="82">
        <v>125</v>
      </c>
      <c r="D36" s="7"/>
      <c r="E36" s="7"/>
      <c r="F36" s="7"/>
      <c r="G36" s="7"/>
      <c r="H36" s="7"/>
      <c r="I36" s="7"/>
    </row>
    <row r="37" spans="1:9">
      <c r="A37" s="12" t="s">
        <v>42</v>
      </c>
      <c r="B37" s="12"/>
      <c r="C37" s="82">
        <v>175</v>
      </c>
      <c r="D37" s="7"/>
      <c r="E37" s="7"/>
      <c r="F37" s="7"/>
      <c r="G37" s="7"/>
      <c r="H37" s="7"/>
      <c r="I37" s="7"/>
    </row>
    <row r="38" spans="1:9">
      <c r="A38" s="12" t="s">
        <v>43</v>
      </c>
      <c r="B38" s="12"/>
      <c r="C38" s="82">
        <v>250</v>
      </c>
      <c r="D38" s="7"/>
      <c r="E38" s="7"/>
      <c r="F38" s="7"/>
      <c r="G38" s="7"/>
      <c r="H38" s="7"/>
      <c r="I38" s="7"/>
    </row>
    <row r="39" spans="1:9">
      <c r="A39" s="12" t="s">
        <v>44</v>
      </c>
      <c r="B39" s="12"/>
      <c r="C39" s="82">
        <v>324</v>
      </c>
      <c r="D39" s="7"/>
      <c r="E39" s="7"/>
      <c r="F39" s="7"/>
      <c r="G39" s="7"/>
      <c r="H39" s="7"/>
      <c r="I39" s="7"/>
    </row>
    <row r="40" spans="1:9">
      <c r="A40" s="12" t="s">
        <v>45</v>
      </c>
      <c r="B40" s="12"/>
      <c r="C40" s="82">
        <v>473</v>
      </c>
      <c r="D40" s="7"/>
      <c r="E40" s="7"/>
      <c r="F40" s="7"/>
      <c r="G40" s="7"/>
      <c r="H40" s="7"/>
      <c r="I40" s="7"/>
    </row>
    <row r="41" spans="1:9">
      <c r="A41" s="12" t="s">
        <v>46</v>
      </c>
      <c r="B41" s="12"/>
      <c r="C41" s="82">
        <v>613</v>
      </c>
      <c r="D41" s="7"/>
      <c r="E41" s="7"/>
      <c r="F41" s="7"/>
      <c r="G41" s="7"/>
      <c r="H41" s="7"/>
      <c r="I41" s="7"/>
    </row>
    <row r="42" spans="1:9">
      <c r="A42" s="16" t="s">
        <v>47</v>
      </c>
      <c r="B42" s="16"/>
      <c r="C42" s="82">
        <f>C41+115</f>
        <v>728</v>
      </c>
      <c r="D42" s="7"/>
      <c r="E42" s="7"/>
      <c r="F42" s="7"/>
      <c r="G42" s="7"/>
      <c r="H42" s="7"/>
      <c r="I42" s="7"/>
    </row>
    <row r="43" spans="1:9">
      <c r="A43" s="12" t="s">
        <v>48</v>
      </c>
      <c r="B43" s="12"/>
      <c r="C43" s="82">
        <v>840</v>
      </c>
      <c r="D43" s="7"/>
      <c r="E43" s="7"/>
      <c r="F43" s="7"/>
      <c r="G43" s="7"/>
      <c r="H43" s="7"/>
      <c r="I43" s="7"/>
    </row>
    <row r="44" spans="1:9">
      <c r="A44" s="12" t="s">
        <v>49</v>
      </c>
      <c r="B44" s="12"/>
      <c r="C44" s="82">
        <v>980</v>
      </c>
      <c r="D44" s="7"/>
      <c r="E44" s="7"/>
      <c r="F44" s="7"/>
      <c r="G44" s="7"/>
      <c r="H44" s="7"/>
      <c r="I44" s="7"/>
    </row>
    <row r="45" spans="1:9">
      <c r="A45" s="17" t="s">
        <v>50</v>
      </c>
      <c r="B45" s="17">
        <v>2.25</v>
      </c>
      <c r="C45" s="82"/>
      <c r="D45" s="18"/>
      <c r="E45" s="7"/>
      <c r="F45" s="7"/>
      <c r="G45" s="7"/>
      <c r="H45" s="7"/>
      <c r="I45" s="7"/>
    </row>
    <row r="46" spans="1:9">
      <c r="A46" s="12" t="s">
        <v>51</v>
      </c>
      <c r="B46" s="12"/>
      <c r="C46" s="82">
        <f>C39*$B$45</f>
        <v>729</v>
      </c>
      <c r="D46" s="7" t="s">
        <v>32</v>
      </c>
      <c r="E46" s="7"/>
      <c r="F46" s="7"/>
      <c r="G46" s="7"/>
      <c r="H46" s="7"/>
      <c r="I46" s="7"/>
    </row>
    <row r="47" spans="1:9">
      <c r="A47" s="12" t="s">
        <v>52</v>
      </c>
      <c r="B47" s="12"/>
      <c r="C47" s="6">
        <f>C41*$B$45</f>
        <v>1379.25</v>
      </c>
      <c r="D47" s="7" t="s">
        <v>32</v>
      </c>
      <c r="E47" s="7"/>
      <c r="F47" s="7"/>
      <c r="G47" s="7"/>
      <c r="H47" s="7"/>
      <c r="I47" s="7"/>
    </row>
    <row r="48" spans="1:9">
      <c r="A48" s="12" t="s">
        <v>53</v>
      </c>
      <c r="B48" s="12"/>
      <c r="C48" s="6">
        <f>C43*$B$45</f>
        <v>1890</v>
      </c>
      <c r="D48" s="7" t="s">
        <v>32</v>
      </c>
      <c r="E48" s="7"/>
      <c r="F48" s="7"/>
      <c r="G48" s="7"/>
      <c r="H48" s="7"/>
      <c r="I48" s="7"/>
    </row>
    <row r="49" spans="1:9">
      <c r="A49" s="17" t="s">
        <v>54</v>
      </c>
      <c r="B49" s="17">
        <v>3</v>
      </c>
      <c r="C49" s="6"/>
      <c r="D49" s="7"/>
      <c r="E49" s="7"/>
      <c r="F49" s="7"/>
      <c r="G49" s="7"/>
      <c r="H49" s="7"/>
      <c r="I49" s="7"/>
    </row>
    <row r="50" spans="1:9">
      <c r="A50" s="12" t="s">
        <v>51</v>
      </c>
      <c r="B50" s="12"/>
      <c r="C50" s="19">
        <f>C39*$B$49</f>
        <v>972</v>
      </c>
      <c r="D50" s="7" t="s">
        <v>32</v>
      </c>
      <c r="E50" s="7"/>
      <c r="F50" s="7"/>
      <c r="G50" s="7"/>
      <c r="H50" s="7"/>
      <c r="I50" s="7"/>
    </row>
    <row r="51" spans="1:9">
      <c r="A51" s="12" t="s">
        <v>55</v>
      </c>
      <c r="B51" s="12"/>
      <c r="C51" s="19">
        <f>C40*$B$49</f>
        <v>1419</v>
      </c>
      <c r="D51" s="7" t="s">
        <v>32</v>
      </c>
      <c r="E51" s="7"/>
      <c r="F51" s="7"/>
      <c r="G51" s="7"/>
      <c r="H51" s="7"/>
      <c r="I51" s="7"/>
    </row>
    <row r="52" spans="1:9">
      <c r="A52" s="12" t="s">
        <v>52</v>
      </c>
      <c r="B52" s="12"/>
      <c r="C52" s="19">
        <f>C41*$B$49</f>
        <v>1839</v>
      </c>
      <c r="D52" s="7" t="s">
        <v>32</v>
      </c>
      <c r="E52" s="7"/>
      <c r="F52" s="7"/>
      <c r="G52" s="7"/>
      <c r="H52" s="7"/>
      <c r="I52" s="7"/>
    </row>
    <row r="53" spans="1:9">
      <c r="A53" s="12" t="s">
        <v>53</v>
      </c>
      <c r="B53" s="12"/>
      <c r="C53" s="19">
        <f>C43*$B$49</f>
        <v>2520</v>
      </c>
      <c r="D53" s="7" t="s">
        <v>32</v>
      </c>
      <c r="E53" s="7"/>
      <c r="F53" s="7"/>
      <c r="G53" s="7"/>
      <c r="H53" s="7"/>
      <c r="I53" s="7"/>
    </row>
    <row r="54" spans="1:9">
      <c r="A54" s="17" t="s">
        <v>56</v>
      </c>
      <c r="B54" s="17">
        <v>4</v>
      </c>
      <c r="C54" s="6"/>
      <c r="D54" s="7"/>
      <c r="E54" s="7"/>
      <c r="F54" s="7"/>
      <c r="G54" s="7"/>
      <c r="H54" s="7"/>
      <c r="I54" s="7"/>
    </row>
    <row r="55" spans="1:9">
      <c r="A55" s="12" t="s">
        <v>327</v>
      </c>
      <c r="B55" s="17"/>
      <c r="C55" s="6">
        <f>C38*B54</f>
        <v>1000</v>
      </c>
      <c r="D55" s="7" t="s">
        <v>32</v>
      </c>
      <c r="E55" s="7"/>
      <c r="F55" s="7"/>
      <c r="G55" s="7"/>
      <c r="H55" s="7"/>
      <c r="I55" s="7"/>
    </row>
    <row r="56" spans="1:9">
      <c r="A56" s="12" t="s">
        <v>51</v>
      </c>
      <c r="B56" s="17"/>
      <c r="C56" s="6">
        <f>C39*B54</f>
        <v>1296</v>
      </c>
      <c r="D56" s="7" t="s">
        <v>32</v>
      </c>
      <c r="E56" s="7"/>
      <c r="F56" s="7"/>
      <c r="G56" s="7"/>
      <c r="H56" s="7"/>
      <c r="I56" s="7"/>
    </row>
    <row r="57" spans="1:9">
      <c r="A57" s="12" t="s">
        <v>55</v>
      </c>
      <c r="B57" s="12"/>
      <c r="C57" s="19">
        <f>C40*$B$54</f>
        <v>1892</v>
      </c>
      <c r="D57" s="7" t="s">
        <v>32</v>
      </c>
      <c r="E57" s="7"/>
      <c r="F57" s="7"/>
      <c r="G57" s="7"/>
      <c r="H57" s="7"/>
      <c r="I57" s="7"/>
    </row>
    <row r="58" spans="1:9">
      <c r="A58" s="12" t="s">
        <v>52</v>
      </c>
      <c r="B58" s="12"/>
      <c r="C58" s="19">
        <f>C41*$B$54</f>
        <v>2452</v>
      </c>
      <c r="D58" s="7" t="s">
        <v>32</v>
      </c>
      <c r="E58" s="7"/>
      <c r="F58" s="7"/>
      <c r="G58" s="7"/>
      <c r="H58" s="7"/>
      <c r="I58" s="7"/>
    </row>
    <row r="59" spans="1:9">
      <c r="A59" s="12" t="s">
        <v>53</v>
      </c>
      <c r="B59" s="12"/>
      <c r="C59" s="19">
        <f>C43*$B$54</f>
        <v>3360</v>
      </c>
      <c r="D59" s="7" t="s">
        <v>32</v>
      </c>
      <c r="E59" s="7"/>
      <c r="F59" s="7"/>
      <c r="G59" s="7"/>
      <c r="H59" s="7"/>
      <c r="I59" s="7"/>
    </row>
    <row r="60" spans="1:9">
      <c r="A60" s="17" t="s">
        <v>57</v>
      </c>
      <c r="B60" s="17">
        <v>5</v>
      </c>
      <c r="C60" s="6"/>
      <c r="D60" s="7"/>
      <c r="E60" s="7"/>
      <c r="F60" s="7"/>
      <c r="G60" s="7"/>
      <c r="H60" s="7"/>
      <c r="I60" s="7"/>
    </row>
    <row r="61" spans="1:9">
      <c r="A61" s="12" t="s">
        <v>52</v>
      </c>
      <c r="B61" s="12"/>
      <c r="C61" s="19">
        <f>C41*$B$60</f>
        <v>3065</v>
      </c>
      <c r="D61" s="7" t="s">
        <v>32</v>
      </c>
      <c r="E61" s="7"/>
      <c r="F61" s="7"/>
      <c r="G61" s="7"/>
      <c r="H61" s="7"/>
      <c r="I61" s="7"/>
    </row>
    <row r="62" spans="1:9">
      <c r="A62" s="12" t="s">
        <v>53</v>
      </c>
      <c r="B62" s="12"/>
      <c r="C62" s="19">
        <f>C43*$B$60</f>
        <v>4200</v>
      </c>
      <c r="D62" s="7" t="s">
        <v>32</v>
      </c>
      <c r="E62" s="7"/>
      <c r="F62" s="7"/>
      <c r="G62" s="7"/>
      <c r="H62" s="7"/>
      <c r="I62" s="7"/>
    </row>
    <row r="63" spans="1:9">
      <c r="C63" s="264" t="s">
        <v>330</v>
      </c>
      <c r="D63" s="264"/>
    </row>
    <row r="64" spans="1:9">
      <c r="C64" s="264"/>
      <c r="D64" s="264"/>
    </row>
    <row r="66" spans="1:13">
      <c r="A66" s="20" t="s">
        <v>58</v>
      </c>
      <c r="B66" s="20"/>
      <c r="C66" s="21" t="s">
        <v>239</v>
      </c>
      <c r="D66" s="21" t="s">
        <v>59</v>
      </c>
      <c r="E66" s="21" t="s">
        <v>240</v>
      </c>
      <c r="F66" s="21" t="s">
        <v>59</v>
      </c>
      <c r="G66" s="8"/>
      <c r="H66" s="8"/>
    </row>
    <row r="67" spans="1:13">
      <c r="A67" s="22" t="s">
        <v>359</v>
      </c>
      <c r="B67" s="22"/>
      <c r="C67" s="226">
        <f ca="1">C91</f>
        <v>99.88000000000001</v>
      </c>
      <c r="D67" s="24">
        <f ca="1">C67/2000</f>
        <v>4.9940000000000005E-2</v>
      </c>
      <c r="E67" s="226">
        <f ca="1">B91</f>
        <v>88.720000000000013</v>
      </c>
      <c r="F67" s="24">
        <f ca="1">E67/2000</f>
        <v>4.4360000000000004E-2</v>
      </c>
    </row>
    <row r="68" spans="1:13">
      <c r="A68" s="22" t="s">
        <v>360</v>
      </c>
      <c r="B68" s="22"/>
      <c r="C68" s="227">
        <f>H90</f>
        <v>106.34000000000002</v>
      </c>
      <c r="D68" s="153">
        <f>C68/2000</f>
        <v>5.3170000000000009E-2</v>
      </c>
      <c r="E68" s="227">
        <f>G90</f>
        <v>94.460000000000008</v>
      </c>
      <c r="F68" s="26">
        <f>E68/2000</f>
        <v>4.7230000000000001E-2</v>
      </c>
      <c r="G68" s="14"/>
      <c r="M68" s="34"/>
    </row>
    <row r="69" spans="1:13">
      <c r="A69" s="12" t="s">
        <v>63</v>
      </c>
      <c r="B69" s="12"/>
      <c r="C69" s="23">
        <f ca="1">C68-C67</f>
        <v>6.460000000000008</v>
      </c>
      <c r="D69" s="28">
        <f ca="1">D68-D67</f>
        <v>3.2300000000000037E-3</v>
      </c>
      <c r="E69" s="23">
        <f ca="1">E68-E67</f>
        <v>5.7399999999999949</v>
      </c>
      <c r="F69" s="28">
        <f ca="1">F68-F67</f>
        <v>2.8699999999999976E-3</v>
      </c>
    </row>
    <row r="70" spans="1:13">
      <c r="C70" s="30">
        <f ca="1">C69/C67</f>
        <v>6.4677613135762993E-2</v>
      </c>
      <c r="D70" s="31"/>
      <c r="E70" s="30">
        <f ca="1">E69/E67</f>
        <v>6.4697926059513008E-2</v>
      </c>
      <c r="F70" s="30"/>
      <c r="L70" s="33"/>
    </row>
    <row r="72" spans="1:13">
      <c r="A72" s="8"/>
      <c r="B72" s="8"/>
      <c r="C72" s="21" t="s">
        <v>65</v>
      </c>
      <c r="E72" s="263" t="s">
        <v>60</v>
      </c>
      <c r="F72" s="263"/>
    </row>
    <row r="73" spans="1:13">
      <c r="A73" s="3" t="s">
        <v>66</v>
      </c>
      <c r="C73" s="34">
        <f ca="1">C69</f>
        <v>6.460000000000008</v>
      </c>
      <c r="E73" s="3" t="s">
        <v>61</v>
      </c>
      <c r="F73" s="25">
        <f>0.0175</f>
        <v>1.7500000000000002E-2</v>
      </c>
    </row>
    <row r="74" spans="1:13">
      <c r="A74" s="3" t="s">
        <v>356</v>
      </c>
      <c r="C74" s="36">
        <f ca="1">C73/$F$78</f>
        <v>6.6037976948043733</v>
      </c>
      <c r="D74" s="34"/>
      <c r="E74" s="3" t="s">
        <v>62</v>
      </c>
      <c r="F74" s="27">
        <f>0.004275</f>
        <v>4.2750000000000002E-3</v>
      </c>
    </row>
    <row r="75" spans="1:13">
      <c r="A75" s="8" t="s">
        <v>357</v>
      </c>
      <c r="B75" s="8"/>
      <c r="C75" s="83">
        <f>+'Regulated DF Calc'!H112</f>
        <v>83053.402324556257</v>
      </c>
      <c r="E75" s="3" t="s">
        <v>358</v>
      </c>
      <c r="F75" s="29"/>
    </row>
    <row r="76" spans="1:13">
      <c r="A76" s="1" t="s">
        <v>68</v>
      </c>
      <c r="B76" s="1"/>
      <c r="C76" s="37">
        <f ca="1">C74*C75</f>
        <v>548467.86681656481</v>
      </c>
      <c r="E76" s="3" t="s">
        <v>64</v>
      </c>
      <c r="F76" s="32">
        <f>SUM(F73:F75)</f>
        <v>2.1775000000000003E-2</v>
      </c>
    </row>
    <row r="78" spans="1:13">
      <c r="E78" s="3" t="s">
        <v>67</v>
      </c>
      <c r="F78" s="35">
        <f>1-F76</f>
        <v>0.97822500000000001</v>
      </c>
    </row>
    <row r="79" spans="1:13">
      <c r="A79" s="1"/>
      <c r="B79" s="1"/>
      <c r="C79" s="38"/>
      <c r="G79" s="34"/>
    </row>
    <row r="80" spans="1:13">
      <c r="A80" s="1" t="s">
        <v>386</v>
      </c>
    </row>
    <row r="81" spans="1:9">
      <c r="A81" s="165">
        <v>2022</v>
      </c>
      <c r="B81" s="165"/>
      <c r="C81" s="163"/>
      <c r="F81" s="165">
        <v>2023</v>
      </c>
      <c r="G81" s="163"/>
      <c r="H81" s="163"/>
    </row>
    <row r="82" spans="1:9">
      <c r="A82" s="4"/>
      <c r="B82" s="164" t="s">
        <v>298</v>
      </c>
      <c r="C82" s="164" t="s">
        <v>379</v>
      </c>
      <c r="F82" s="4"/>
      <c r="G82" s="164" t="s">
        <v>298</v>
      </c>
      <c r="H82" s="164" t="s">
        <v>379</v>
      </c>
    </row>
    <row r="83" spans="1:9">
      <c r="A83" s="3" t="s">
        <v>378</v>
      </c>
      <c r="B83" s="3">
        <v>83.52</v>
      </c>
      <c r="C83" s="3">
        <v>94.25</v>
      </c>
      <c r="F83" s="3" t="s">
        <v>395</v>
      </c>
      <c r="G83" s="3">
        <f>+B85+B86</f>
        <v>86.92</v>
      </c>
      <c r="H83" s="3">
        <f>+C85+C86</f>
        <v>98.08</v>
      </c>
      <c r="I83" s="3" t="s">
        <v>404</v>
      </c>
    </row>
    <row r="84" spans="1:9">
      <c r="A84" s="3" t="s">
        <v>380</v>
      </c>
      <c r="B84" s="151">
        <v>1.31</v>
      </c>
      <c r="C84" s="151">
        <v>1.47</v>
      </c>
      <c r="F84" s="3" t="s">
        <v>399</v>
      </c>
      <c r="G84" s="151">
        <v>5.6</v>
      </c>
      <c r="H84" s="151">
        <v>6.32</v>
      </c>
      <c r="I84" s="3" t="s">
        <v>404</v>
      </c>
    </row>
    <row r="85" spans="1:9">
      <c r="A85" s="3" t="s">
        <v>387</v>
      </c>
      <c r="B85" s="3">
        <f>+B83+B84</f>
        <v>84.83</v>
      </c>
      <c r="C85" s="3">
        <f>+C83+C84</f>
        <v>95.72</v>
      </c>
      <c r="F85" s="3" t="s">
        <v>400</v>
      </c>
      <c r="G85" s="3">
        <f>+G84+G83</f>
        <v>92.52</v>
      </c>
      <c r="H85" s="3">
        <f>+H84+H83</f>
        <v>104.4</v>
      </c>
      <c r="I85" s="3" t="s">
        <v>404</v>
      </c>
    </row>
    <row r="86" spans="1:9">
      <c r="A86" s="3" t="s">
        <v>381</v>
      </c>
      <c r="B86" s="3">
        <v>2.09</v>
      </c>
      <c r="C86" s="3">
        <v>2.36</v>
      </c>
      <c r="F86" s="3" t="s">
        <v>382</v>
      </c>
      <c r="G86" s="3">
        <v>1.43</v>
      </c>
      <c r="H86" s="3">
        <v>1.43</v>
      </c>
      <c r="I86" s="3" t="s">
        <v>404</v>
      </c>
    </row>
    <row r="87" spans="1:9">
      <c r="A87" s="3" t="s">
        <v>382</v>
      </c>
      <c r="B87" s="151">
        <v>1.43</v>
      </c>
      <c r="C87" s="151">
        <v>1.43</v>
      </c>
      <c r="F87" s="3" t="s">
        <v>401</v>
      </c>
      <c r="G87" s="3">
        <v>0.06</v>
      </c>
      <c r="H87" s="3">
        <v>0.06</v>
      </c>
      <c r="I87" s="3" t="s">
        <v>405</v>
      </c>
    </row>
    <row r="88" spans="1:9">
      <c r="A88" s="3" t="s">
        <v>389</v>
      </c>
      <c r="B88" s="3">
        <f>+SUM(B85:B87)</f>
        <v>88.350000000000009</v>
      </c>
      <c r="C88" s="3">
        <f>+SUM(C85:C87)</f>
        <v>99.51</v>
      </c>
      <c r="D88" s="3" t="s">
        <v>383</v>
      </c>
      <c r="F88" s="3" t="s">
        <v>402</v>
      </c>
      <c r="G88" s="3">
        <v>0.31</v>
      </c>
      <c r="H88" s="3">
        <v>0.31</v>
      </c>
      <c r="I88" s="3" t="s">
        <v>405</v>
      </c>
    </row>
    <row r="89" spans="1:9">
      <c r="A89" s="3" t="s">
        <v>384</v>
      </c>
      <c r="B89" s="3">
        <v>0.06</v>
      </c>
      <c r="C89" s="3">
        <v>0.06</v>
      </c>
      <c r="F89" s="3" t="s">
        <v>394</v>
      </c>
      <c r="G89" s="151">
        <v>0.14000000000000001</v>
      </c>
      <c r="H89" s="151">
        <v>0.14000000000000001</v>
      </c>
      <c r="I89" s="3" t="s">
        <v>405</v>
      </c>
    </row>
    <row r="90" spans="1:9">
      <c r="A90" s="3" t="s">
        <v>385</v>
      </c>
      <c r="B90" s="151">
        <v>0.31</v>
      </c>
      <c r="C90" s="151">
        <v>0.31</v>
      </c>
      <c r="F90" s="3" t="s">
        <v>403</v>
      </c>
      <c r="G90" s="3">
        <f>SUM(G85:G89)</f>
        <v>94.460000000000008</v>
      </c>
      <c r="H90" s="3">
        <f>SUM(H85:H89)</f>
        <v>106.34000000000002</v>
      </c>
    </row>
    <row r="91" spans="1:9">
      <c r="A91" s="3" t="s">
        <v>388</v>
      </c>
      <c r="B91" s="162">
        <f ca="1">SUM(B88:OFFSET(B91,-1,0))</f>
        <v>88.720000000000013</v>
      </c>
      <c r="C91" s="162">
        <f ca="1">SUM(C88:OFFSET(C91,-1,0))</f>
        <v>99.88000000000001</v>
      </c>
      <c r="D91" s="3" t="s">
        <v>383</v>
      </c>
      <c r="G91" s="162"/>
      <c r="H91" s="162"/>
    </row>
    <row r="94" spans="1:9">
      <c r="B94" s="5"/>
      <c r="C94" s="5"/>
    </row>
  </sheetData>
  <mergeCells count="5">
    <mergeCell ref="A4:I4"/>
    <mergeCell ref="A6:I6"/>
    <mergeCell ref="A17:C17"/>
    <mergeCell ref="E72:F72"/>
    <mergeCell ref="C63:D64"/>
  </mergeCells>
  <pageMargins left="0.7" right="0.7" top="0.75" bottom="0.75" header="0.3" footer="0.3"/>
  <pageSetup scale="58" orientation="portrait" r:id="rId1"/>
  <headerFooter>
    <oddFooter xml:space="preserve">&amp;L&amp;F - &amp;A
&amp;R&amp;P of &amp;N
</oddFooter>
  </headerFooter>
  <rowBreaks count="1" manualBreakCount="1">
    <brk id="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2"/>
  <sheetViews>
    <sheetView showGridLines="0" view="pageBreakPreview" topLeftCell="A4" zoomScaleNormal="85" zoomScaleSheetLayoutView="100" workbookViewId="0">
      <pane xSplit="3" ySplit="2" topLeftCell="D6" activePane="bottomRight" state="frozen"/>
      <selection activeCell="C57" sqref="C57"/>
      <selection pane="topRight" activeCell="C57" sqref="C57"/>
      <selection pane="bottomLeft" activeCell="C57" sqref="C57"/>
      <selection pane="bottomRight" activeCell="C57" sqref="C57"/>
    </sheetView>
  </sheetViews>
  <sheetFormatPr defaultColWidth="9.140625" defaultRowHeight="13.5" customHeight="1" outlineLevelCol="1"/>
  <cols>
    <col min="1" max="1" width="11.140625" style="108" customWidth="1"/>
    <col min="2" max="2" width="25.85546875" style="108" customWidth="1"/>
    <col min="3" max="3" width="2.5703125" style="88" customWidth="1"/>
    <col min="4" max="4" width="2.7109375" style="88" customWidth="1" outlineLevel="1"/>
    <col min="5" max="5" width="14.7109375" style="88" customWidth="1" outlineLevel="1"/>
    <col min="6" max="6" width="2.7109375" style="88" customWidth="1" outlineLevel="1"/>
    <col min="7" max="7" width="16.42578125" style="88" bestFit="1" customWidth="1"/>
    <col min="8" max="13" width="14.7109375" style="88" customWidth="1" outlineLevel="1"/>
    <col min="14" max="22" width="14.7109375" style="88" customWidth="1"/>
    <col min="23" max="16384" width="9.140625" style="88"/>
  </cols>
  <sheetData>
    <row r="1" spans="1:23" ht="13.5" customHeight="1">
      <c r="A1" s="84" t="s">
        <v>367</v>
      </c>
      <c r="B1" s="85"/>
      <c r="C1" s="86"/>
      <c r="D1" s="267"/>
      <c r="E1" s="267"/>
      <c r="F1" s="267"/>
      <c r="G1" s="267"/>
      <c r="H1" s="267"/>
      <c r="I1" s="267"/>
      <c r="J1" s="267"/>
      <c r="K1" s="268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23" ht="13.5" customHeight="1" thickBot="1">
      <c r="A2" s="84" t="s">
        <v>326</v>
      </c>
      <c r="B2" s="85"/>
      <c r="C2" s="86"/>
      <c r="D2" s="269"/>
      <c r="E2" s="269"/>
      <c r="F2" s="269"/>
      <c r="G2" s="269"/>
      <c r="H2" s="269"/>
      <c r="I2" s="269"/>
      <c r="J2" s="269"/>
      <c r="K2" s="270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3" ht="13.5" customHeight="1">
      <c r="A3" s="161" t="s">
        <v>392</v>
      </c>
      <c r="B3" s="161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3" ht="9" customHeight="1">
      <c r="A4" s="265"/>
      <c r="B4" s="265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3" s="143" customFormat="1" ht="39.75" customHeight="1">
      <c r="A5" s="139"/>
      <c r="B5" s="140"/>
      <c r="C5" s="141"/>
      <c r="D5" s="142"/>
      <c r="E5" s="159" t="s">
        <v>70</v>
      </c>
      <c r="F5" s="142"/>
      <c r="G5" s="90" t="s">
        <v>71</v>
      </c>
      <c r="H5" s="90" t="s">
        <v>72</v>
      </c>
      <c r="I5" s="90" t="s">
        <v>17</v>
      </c>
      <c r="J5" s="90" t="s">
        <v>73</v>
      </c>
      <c r="K5" s="90" t="s">
        <v>74</v>
      </c>
      <c r="L5" s="90" t="s">
        <v>63</v>
      </c>
      <c r="M5" s="90" t="s">
        <v>287</v>
      </c>
      <c r="N5" s="90" t="s">
        <v>288</v>
      </c>
      <c r="O5" s="238" t="s">
        <v>362</v>
      </c>
      <c r="P5" s="90" t="s">
        <v>291</v>
      </c>
      <c r="Q5" s="238" t="s">
        <v>363</v>
      </c>
      <c r="R5" s="90" t="s">
        <v>355</v>
      </c>
      <c r="S5" s="90" t="s">
        <v>361</v>
      </c>
      <c r="T5" s="90" t="s">
        <v>294</v>
      </c>
      <c r="U5" s="142"/>
      <c r="V5" s="142"/>
    </row>
    <row r="6" spans="1:23" ht="9" customHeight="1">
      <c r="A6" s="91"/>
      <c r="B6" s="92"/>
      <c r="E6" s="93"/>
      <c r="G6" s="94"/>
      <c r="H6" s="94"/>
      <c r="I6" s="94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3" ht="13.5" customHeight="1">
      <c r="A7" s="95" t="s">
        <v>75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</row>
    <row r="8" spans="1:23" ht="13.5" customHeight="1">
      <c r="A8" s="91"/>
      <c r="B8" s="92"/>
    </row>
    <row r="9" spans="1:23" ht="13.5" customHeight="1">
      <c r="A9" s="97" t="s">
        <v>76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3" s="86" customFormat="1" ht="13.5" customHeight="1">
      <c r="A10" s="98" t="s">
        <v>77</v>
      </c>
      <c r="B10" s="98" t="s">
        <v>78</v>
      </c>
      <c r="D10" s="232"/>
      <c r="E10" s="115">
        <f>INDEX([33]Regulated!$D:$D,MATCH(A10,[33]Regulated!$A:$A,0))</f>
        <v>1762.9493750000001</v>
      </c>
      <c r="G10" s="100">
        <f>+References!C13</f>
        <v>2.17</v>
      </c>
      <c r="H10" s="101">
        <f>+E10*G10</f>
        <v>3825.6001437500004</v>
      </c>
      <c r="I10" s="86">
        <f>+References!C19</f>
        <v>20</v>
      </c>
      <c r="J10" s="87">
        <f>+H10*I10</f>
        <v>76512.002875000006</v>
      </c>
      <c r="K10" s="87">
        <f t="shared" ref="K10:K29" si="0">+J10*$H$114</f>
        <v>58068.00607128338</v>
      </c>
      <c r="L10" s="99">
        <f ca="1">+K10*References!$D$69</f>
        <v>187.55965961024555</v>
      </c>
      <c r="M10" s="99">
        <f ca="1">+L10/References!$F$78</f>
        <v>191.73468231771375</v>
      </c>
      <c r="N10" s="99">
        <f ca="1">IFERROR(+M10/E10,)</f>
        <v>0.10875790594821461</v>
      </c>
      <c r="O10" s="99">
        <f>+'Proposed Rates'!B13</f>
        <v>8.98</v>
      </c>
      <c r="P10" s="99">
        <f t="shared" ref="P10:P28" ca="1" si="1">+O10+N10</f>
        <v>9.0887579059482153</v>
      </c>
      <c r="Q10" s="99">
        <f ca="1">+'Proposed Rates'!H13</f>
        <v>9.0887579059482153</v>
      </c>
      <c r="R10" s="99">
        <f t="shared" ref="R10:R28" si="2">+E10*O10</f>
        <v>15831.285387500002</v>
      </c>
      <c r="S10" s="99">
        <f t="shared" ref="S10:S28" ca="1" si="3">+E10*P10</f>
        <v>16023.020069817716</v>
      </c>
      <c r="T10" s="99">
        <f t="shared" ref="T10:T28" ca="1" si="4">+S10-R10</f>
        <v>191.73468231771403</v>
      </c>
      <c r="V10" s="100">
        <f ca="1">((I10*$H$114)*(References!$D$69/References!$F$78))*'Regulated DF Calc'!G10</f>
        <v>0.10875790594821461</v>
      </c>
      <c r="W10" s="122">
        <f ca="1">N10-V10</f>
        <v>0</v>
      </c>
    </row>
    <row r="11" spans="1:23" s="86" customFormat="1" ht="13.5" customHeight="1">
      <c r="A11" s="98" t="s">
        <v>79</v>
      </c>
      <c r="B11" s="98" t="s">
        <v>80</v>
      </c>
      <c r="D11" s="232"/>
      <c r="E11" s="115">
        <f>INDEX([33]Regulated!$D:$D,MATCH(A11,[33]Regulated!$A:$A,0))</f>
        <v>6808.343632958803</v>
      </c>
      <c r="G11" s="100">
        <f>+References!C12</f>
        <v>4.33</v>
      </c>
      <c r="H11" s="101">
        <f t="shared" ref="H11:H28" si="5">+E11*G11</f>
        <v>29480.127930711617</v>
      </c>
      <c r="I11" s="86">
        <f>+References!C19</f>
        <v>20</v>
      </c>
      <c r="J11" s="87">
        <f t="shared" ref="J11:J28" si="6">+H11*I11</f>
        <v>589602.55861423234</v>
      </c>
      <c r="K11" s="87">
        <f t="shared" si="0"/>
        <v>447472.8626460029</v>
      </c>
      <c r="L11" s="99">
        <f ca="1">+K11*References!$D$69</f>
        <v>1445.3373463465909</v>
      </c>
      <c r="M11" s="99">
        <f ca="1">+L11/References!$F$78</f>
        <v>1477.5101294145936</v>
      </c>
      <c r="N11" s="99">
        <f t="shared" ref="N11:N28" ca="1" si="7">IFERROR(+M11/E11,)</f>
        <v>0.21701462338975538</v>
      </c>
      <c r="O11" s="99">
        <f>+'Proposed Rates'!B12</f>
        <v>12.06</v>
      </c>
      <c r="P11" s="99">
        <f t="shared" ca="1" si="1"/>
        <v>12.277014623389755</v>
      </c>
      <c r="Q11" s="99">
        <f ca="1">+'Proposed Rates'!H12</f>
        <v>12.277014623389755</v>
      </c>
      <c r="R11" s="99">
        <f t="shared" si="2"/>
        <v>82108.62421348317</v>
      </c>
      <c r="S11" s="99">
        <f t="shared" ca="1" si="3"/>
        <v>83586.134342897756</v>
      </c>
      <c r="T11" s="99">
        <f t="shared" ca="1" si="4"/>
        <v>1477.5101294145861</v>
      </c>
      <c r="U11" s="99" t="str">
        <f t="shared" ref="U11:U79" ca="1" si="8">IF(P11=Q11," ","Difference between Calculated Rate and Proposed Tariff")</f>
        <v xml:space="preserve"> </v>
      </c>
      <c r="V11" s="100">
        <f ca="1">((I11*$H$114)*(References!$D$69/References!$F$78))*'Regulated DF Calc'!G11</f>
        <v>0.21701462338975541</v>
      </c>
      <c r="W11" s="122">
        <f t="shared" ref="W11:W29" ca="1" si="9">N11-V11</f>
        <v>0</v>
      </c>
    </row>
    <row r="12" spans="1:23" s="86" customFormat="1" ht="13.5" customHeight="1">
      <c r="A12" s="98" t="s">
        <v>81</v>
      </c>
      <c r="B12" s="98" t="s">
        <v>82</v>
      </c>
      <c r="D12" s="232"/>
      <c r="E12" s="115">
        <f>INDEX([33]Regulated!$D:$D,MATCH(A12,[33]Regulated!$A:$A,0))</f>
        <v>97124.550320857292</v>
      </c>
      <c r="G12" s="100">
        <f>+References!C13</f>
        <v>2.17</v>
      </c>
      <c r="H12" s="101">
        <f t="shared" si="5"/>
        <v>210760.27419626032</v>
      </c>
      <c r="I12" s="86">
        <f>+References!C20</f>
        <v>34</v>
      </c>
      <c r="J12" s="87">
        <f t="shared" si="6"/>
        <v>7165849.3226728505</v>
      </c>
      <c r="K12" s="87">
        <f t="shared" si="0"/>
        <v>5438448.4308256181</v>
      </c>
      <c r="L12" s="99">
        <f ca="1">+K12*References!$D$69</f>
        <v>17566.188431566767</v>
      </c>
      <c r="M12" s="99">
        <f ca="1">+L12/References!$F$78</f>
        <v>17957.206605399337</v>
      </c>
      <c r="N12" s="99">
        <f t="shared" ca="1" si="7"/>
        <v>0.18488844011196481</v>
      </c>
      <c r="O12" s="99">
        <f>+'Proposed Rates'!B25</f>
        <v>10.39</v>
      </c>
      <c r="P12" s="99">
        <f t="shared" ca="1" si="1"/>
        <v>10.574888440111966</v>
      </c>
      <c r="Q12" s="99">
        <f ca="1">+'Proposed Rates'!H25</f>
        <v>10.574888440111966</v>
      </c>
      <c r="R12" s="99">
        <f t="shared" si="2"/>
        <v>1009124.0778337073</v>
      </c>
      <c r="S12" s="99">
        <f t="shared" ca="1" si="3"/>
        <v>1027081.2844391067</v>
      </c>
      <c r="T12" s="99">
        <f t="shared" ca="1" si="4"/>
        <v>17957.206605399377</v>
      </c>
      <c r="U12" s="99" t="str">
        <f t="shared" ca="1" si="8"/>
        <v xml:space="preserve"> </v>
      </c>
      <c r="V12" s="100">
        <f ca="1">((I12*$H$114)*(References!$D$69/References!$F$78))*'Regulated DF Calc'!G12</f>
        <v>0.18488844011196484</v>
      </c>
      <c r="W12" s="122">
        <f t="shared" ca="1" si="9"/>
        <v>0</v>
      </c>
    </row>
    <row r="13" spans="1:23" s="86" customFormat="1" ht="13.5" customHeight="1">
      <c r="A13" s="98" t="s">
        <v>83</v>
      </c>
      <c r="B13" s="98" t="s">
        <v>84</v>
      </c>
      <c r="D13" s="232"/>
      <c r="E13" s="115">
        <f>INDEX([33]Regulated!$D:$D,MATCH(A13,[33]Regulated!$A:$A,0))</f>
        <v>14781.400801603206</v>
      </c>
      <c r="G13" s="100">
        <f>+References!C14</f>
        <v>1</v>
      </c>
      <c r="H13" s="101">
        <f t="shared" si="5"/>
        <v>14781.400801603206</v>
      </c>
      <c r="I13" s="86">
        <f>+References!C20</f>
        <v>34</v>
      </c>
      <c r="J13" s="87">
        <f t="shared" si="6"/>
        <v>502567.62725450902</v>
      </c>
      <c r="K13" s="87">
        <f t="shared" si="0"/>
        <v>381418.58707218309</v>
      </c>
      <c r="L13" s="99">
        <f ca="1">+K13*References!$D$69</f>
        <v>1231.9820362431528</v>
      </c>
      <c r="M13" s="99">
        <f ca="1">+L13/References!$F$78</f>
        <v>1259.4055930314119</v>
      </c>
      <c r="N13" s="99">
        <f t="shared" ca="1" si="7"/>
        <v>8.5202046134546017E-2</v>
      </c>
      <c r="O13" s="99">
        <f>+'Proposed Rates'!B24</f>
        <v>5.61</v>
      </c>
      <c r="P13" s="99">
        <f t="shared" ca="1" si="1"/>
        <v>5.6952020461345461</v>
      </c>
      <c r="Q13" s="99">
        <f ca="1">+'Proposed Rates'!H24</f>
        <v>5.6952020461345461</v>
      </c>
      <c r="R13" s="99">
        <f t="shared" si="2"/>
        <v>82923.658496993987</v>
      </c>
      <c r="S13" s="99">
        <f t="shared" ca="1" si="3"/>
        <v>84183.064090025393</v>
      </c>
      <c r="T13" s="99">
        <f t="shared" ca="1" si="4"/>
        <v>1259.4055930314062</v>
      </c>
      <c r="U13" s="99"/>
      <c r="V13" s="100">
        <f ca="1">((I13*$H$114)*(References!$D$69/References!$F$78))*'Regulated DF Calc'!G13</f>
        <v>8.5202046134546017E-2</v>
      </c>
      <c r="W13" s="122">
        <f t="shared" ca="1" si="9"/>
        <v>0</v>
      </c>
    </row>
    <row r="14" spans="1:23" s="86" customFormat="1" ht="13.5" customHeight="1">
      <c r="A14" s="98" t="s">
        <v>85</v>
      </c>
      <c r="B14" s="98" t="s">
        <v>86</v>
      </c>
      <c r="D14" s="232"/>
      <c r="E14" s="115">
        <f>INDEX([33]Regulated!$D:$D,MATCH(A14,[33]Regulated!$A:$A,0))</f>
        <v>580808.38230994134</v>
      </c>
      <c r="G14" s="100">
        <f>+References!C12</f>
        <v>4.33</v>
      </c>
      <c r="H14" s="101">
        <f>+E14*G14</f>
        <v>2514900.2954020458</v>
      </c>
      <c r="I14" s="86">
        <f>+References!C20</f>
        <v>34</v>
      </c>
      <c r="J14" s="87">
        <f t="shared" si="6"/>
        <v>85506610.043669552</v>
      </c>
      <c r="K14" s="87">
        <f t="shared" si="0"/>
        <v>64894371.661691569</v>
      </c>
      <c r="L14" s="99">
        <f ca="1">+K14*References!$D$69</f>
        <v>209608.82046726401</v>
      </c>
      <c r="M14" s="99">
        <f ca="1">+L14/References!$F$78</f>
        <v>214274.65099262851</v>
      </c>
      <c r="N14" s="99">
        <f t="shared" ca="1" si="7"/>
        <v>0.36892485976258421</v>
      </c>
      <c r="O14" s="99">
        <f>+'Proposed Rates'!B14</f>
        <v>15.52</v>
      </c>
      <c r="P14" s="99">
        <f t="shared" ca="1" si="1"/>
        <v>15.888924859762584</v>
      </c>
      <c r="Q14" s="99">
        <f ca="1">+'Proposed Rates'!H14</f>
        <v>15.888924859762584</v>
      </c>
      <c r="R14" s="99">
        <f t="shared" si="2"/>
        <v>9014146.0934502892</v>
      </c>
      <c r="S14" s="99">
        <f t="shared" ca="1" si="3"/>
        <v>9228420.7444429174</v>
      </c>
      <c r="T14" s="99">
        <f t="shared" ca="1" si="4"/>
        <v>214274.65099262819</v>
      </c>
      <c r="U14" s="160" t="str">
        <f t="shared" ca="1" si="8"/>
        <v xml:space="preserve"> </v>
      </c>
      <c r="V14" s="100">
        <f ca="1">((I14*$H$114)*(References!$D$69/References!$F$78))*'Regulated DF Calc'!G14</f>
        <v>0.36892485976258427</v>
      </c>
      <c r="W14" s="122">
        <f t="shared" ca="1" si="9"/>
        <v>0</v>
      </c>
    </row>
    <row r="15" spans="1:23" s="232" customFormat="1" ht="13.5" customHeight="1">
      <c r="A15" s="231" t="s">
        <v>312</v>
      </c>
      <c r="B15" s="231" t="s">
        <v>86</v>
      </c>
      <c r="E15" s="115">
        <f>INDEX([33]Regulated!$D:$D,MATCH(A15,[33]Regulated!$A:$A,0))</f>
        <v>1.172514619883041</v>
      </c>
      <c r="G15" s="233">
        <v>4.33</v>
      </c>
      <c r="H15" s="234">
        <f>+E15*G15</f>
        <v>5.0769883040935673</v>
      </c>
      <c r="I15" s="232">
        <f>+References!C20</f>
        <v>34</v>
      </c>
      <c r="J15" s="115">
        <f t="shared" ref="J15" si="10">+H15*I15</f>
        <v>172.61760233918127</v>
      </c>
      <c r="K15" s="115">
        <f t="shared" si="0"/>
        <v>131.00637290880692</v>
      </c>
      <c r="L15" s="114">
        <f ca="1">+K15*References!$D$69</f>
        <v>0.42315058449544685</v>
      </c>
      <c r="M15" s="114">
        <f ca="1">+L15/References!$F$78</f>
        <v>0.4325697917099306</v>
      </c>
      <c r="N15" s="114">
        <f ca="1">IFERROR(+M15/E15,)</f>
        <v>0.36892485976258421</v>
      </c>
      <c r="O15" s="114">
        <f>+'Proposed Rates'!B14</f>
        <v>15.52</v>
      </c>
      <c r="P15" s="114">
        <f ca="1">+O15+N15</f>
        <v>15.888924859762584</v>
      </c>
      <c r="Q15" s="114">
        <f ca="1">+'Proposed Rates'!H14</f>
        <v>15.888924859762584</v>
      </c>
      <c r="R15" s="114">
        <f>+E15*O15</f>
        <v>18.197426900584794</v>
      </c>
      <c r="S15" s="114">
        <f t="shared" ref="S15" ca="1" si="11">+E15*P15</f>
        <v>18.629996692294725</v>
      </c>
      <c r="T15" s="114">
        <f t="shared" ref="T15" ca="1" si="12">+S15-R15</f>
        <v>0.43256979170993048</v>
      </c>
      <c r="U15" s="114" t="str">
        <f t="shared" ca="1" si="8"/>
        <v xml:space="preserve"> </v>
      </c>
      <c r="V15" s="100">
        <f ca="1">((I15*$H$114)*(References!$D$69/References!$F$78))*'Regulated DF Calc'!G15</f>
        <v>0.36892485976258427</v>
      </c>
      <c r="W15" s="122">
        <f t="shared" ca="1" si="9"/>
        <v>0</v>
      </c>
    </row>
    <row r="16" spans="1:23" s="86" customFormat="1" ht="13.5" customHeight="1">
      <c r="A16" s="98" t="s">
        <v>87</v>
      </c>
      <c r="B16" s="98" t="s">
        <v>88</v>
      </c>
      <c r="D16" s="232"/>
      <c r="E16" s="115">
        <f>INDEX([33]Regulated!$D:$D,MATCH(A16,[33]Regulated!$A:$A,0))</f>
        <v>166072.11941796288</v>
      </c>
      <c r="G16" s="100">
        <f>+References!C12</f>
        <v>4.33</v>
      </c>
      <c r="H16" s="101">
        <f t="shared" si="5"/>
        <v>719092.27707977931</v>
      </c>
      <c r="I16" s="86">
        <f>+References!C21</f>
        <v>51</v>
      </c>
      <c r="J16" s="87">
        <f t="shared" si="6"/>
        <v>36673706.131068744</v>
      </c>
      <c r="K16" s="87">
        <f t="shared" si="0"/>
        <v>27833136.11270253</v>
      </c>
      <c r="L16" s="99">
        <f ca="1">+K16*References!$D$69</f>
        <v>89901.029644029273</v>
      </c>
      <c r="M16" s="99">
        <f ca="1">+L16/References!$F$78</f>
        <v>91902.200050120649</v>
      </c>
      <c r="N16" s="99">
        <f t="shared" ca="1" si="7"/>
        <v>0.5533872896438764</v>
      </c>
      <c r="O16" s="99">
        <f>+'Proposed Rates'!B15</f>
        <v>22.6</v>
      </c>
      <c r="P16" s="99">
        <f t="shared" ca="1" si="1"/>
        <v>23.153387289643877</v>
      </c>
      <c r="Q16" s="99">
        <f ca="1">+'Proposed Rates'!H15</f>
        <v>23.153387289643877</v>
      </c>
      <c r="R16" s="99">
        <f t="shared" si="2"/>
        <v>3753229.8988459613</v>
      </c>
      <c r="S16" s="99">
        <f t="shared" ca="1" si="3"/>
        <v>3845132.098896082</v>
      </c>
      <c r="T16" s="99">
        <f t="shared" ca="1" si="4"/>
        <v>91902.200050120708</v>
      </c>
      <c r="U16" s="160" t="str">
        <f t="shared" ca="1" si="8"/>
        <v xml:space="preserve"> </v>
      </c>
      <c r="V16" s="100">
        <f ca="1">((I16*$H$114)*(References!$D$69/References!$F$78))*'Regulated DF Calc'!G16</f>
        <v>0.5533872896438764</v>
      </c>
      <c r="W16" s="122">
        <f t="shared" ca="1" si="9"/>
        <v>0</v>
      </c>
    </row>
    <row r="17" spans="1:23" s="86" customFormat="1" ht="13.5" customHeight="1">
      <c r="A17" s="98" t="s">
        <v>89</v>
      </c>
      <c r="B17" s="98" t="s">
        <v>90</v>
      </c>
      <c r="D17" s="232"/>
      <c r="E17" s="115">
        <f>INDEX([33]Regulated!$D:$D,MATCH(A17,[33]Regulated!$A:$A,0))</f>
        <v>15836.878131347328</v>
      </c>
      <c r="G17" s="100">
        <f>+References!C12</f>
        <v>4.33</v>
      </c>
      <c r="H17" s="101">
        <f t="shared" si="5"/>
        <v>68573.682308733929</v>
      </c>
      <c r="I17" s="86">
        <f>+References!C22</f>
        <v>77</v>
      </c>
      <c r="J17" s="87">
        <f t="shared" si="6"/>
        <v>5280173.5377725121</v>
      </c>
      <c r="K17" s="87">
        <f t="shared" si="0"/>
        <v>4007333.9806529544</v>
      </c>
      <c r="L17" s="99">
        <f ca="1">+K17*References!$D$69</f>
        <v>12943.688757509057</v>
      </c>
      <c r="M17" s="99">
        <f ca="1">+L17/References!$F$78</f>
        <v>13231.811451873604</v>
      </c>
      <c r="N17" s="99">
        <f t="shared" ca="1" si="7"/>
        <v>0.83550630005055815</v>
      </c>
      <c r="O17" s="99">
        <f>+'Proposed Rates'!B16</f>
        <v>33.53</v>
      </c>
      <c r="P17" s="99">
        <f t="shared" ca="1" si="1"/>
        <v>34.365506300050562</v>
      </c>
      <c r="Q17" s="99">
        <f ca="1">+'Proposed Rates'!H16</f>
        <v>34.365506300050562</v>
      </c>
      <c r="R17" s="99">
        <f t="shared" si="2"/>
        <v>531010.52374407591</v>
      </c>
      <c r="S17" s="99">
        <f t="shared" ca="1" si="3"/>
        <v>544242.33519594953</v>
      </c>
      <c r="T17" s="99">
        <f t="shared" ca="1" si="4"/>
        <v>13231.811451873626</v>
      </c>
      <c r="U17" s="160" t="str">
        <f t="shared" ca="1" si="8"/>
        <v xml:space="preserve"> </v>
      </c>
      <c r="V17" s="100">
        <f ca="1">((I17*$H$114)*(References!$D$69/References!$F$78))*'Regulated DF Calc'!G17</f>
        <v>0.83550630005055837</v>
      </c>
      <c r="W17" s="122">
        <f t="shared" ca="1" si="9"/>
        <v>0</v>
      </c>
    </row>
    <row r="18" spans="1:23" s="86" customFormat="1" ht="13.5" customHeight="1">
      <c r="A18" s="98" t="s">
        <v>91</v>
      </c>
      <c r="B18" s="98" t="s">
        <v>92</v>
      </c>
      <c r="D18" s="232"/>
      <c r="E18" s="115">
        <f>INDEX([33]Regulated!$D:$D,MATCH(A18,[33]Regulated!$A:$A,0))</f>
        <v>2915.4092022869595</v>
      </c>
      <c r="G18" s="100">
        <f>+References!C12</f>
        <v>4.33</v>
      </c>
      <c r="H18" s="101">
        <f t="shared" si="5"/>
        <v>12623.721845902535</v>
      </c>
      <c r="I18" s="86">
        <f>+References!C23</f>
        <v>97</v>
      </c>
      <c r="J18" s="87">
        <f t="shared" si="6"/>
        <v>1224501.019052546</v>
      </c>
      <c r="K18" s="87">
        <f t="shared" si="0"/>
        <v>929322.58909495873</v>
      </c>
      <c r="L18" s="99">
        <f ca="1">+K18*References!$D$69</f>
        <v>3001.7119627767202</v>
      </c>
      <c r="M18" s="99">
        <f ca="1">+L18/References!$F$78</f>
        <v>3068.5291857974598</v>
      </c>
      <c r="N18" s="99">
        <f t="shared" ca="1" si="7"/>
        <v>1.0525209234403141</v>
      </c>
      <c r="O18" s="99">
        <f>+'Proposed Rates'!B17</f>
        <v>41.7</v>
      </c>
      <c r="P18" s="99">
        <f t="shared" ca="1" si="1"/>
        <v>42.752520923440315</v>
      </c>
      <c r="Q18" s="99">
        <f ca="1">+'Proposed Rates'!H17</f>
        <v>42.752520923440315</v>
      </c>
      <c r="R18" s="99">
        <f t="shared" si="2"/>
        <v>121572.56373536622</v>
      </c>
      <c r="S18" s="99">
        <f t="shared" ca="1" si="3"/>
        <v>124641.09292116367</v>
      </c>
      <c r="T18" s="99">
        <f t="shared" ca="1" si="4"/>
        <v>3068.5291857974516</v>
      </c>
      <c r="U18" s="160" t="str">
        <f t="shared" ca="1" si="8"/>
        <v xml:space="preserve"> </v>
      </c>
      <c r="V18" s="100">
        <f ca="1">((I18*$H$114)*(References!$D$69/References!$F$78))*'Regulated DF Calc'!G18</f>
        <v>1.0525209234403139</v>
      </c>
      <c r="W18" s="122">
        <f t="shared" ca="1" si="9"/>
        <v>0</v>
      </c>
    </row>
    <row r="19" spans="1:23" s="86" customFormat="1" ht="13.5" customHeight="1">
      <c r="A19" s="98" t="s">
        <v>93</v>
      </c>
      <c r="B19" s="98" t="s">
        <v>94</v>
      </c>
      <c r="D19" s="232"/>
      <c r="E19" s="115">
        <f>INDEX([33]Regulated!$D:$D,MATCH(A19,[33]Regulated!$A:$A,0))</f>
        <v>582.90851528384269</v>
      </c>
      <c r="G19" s="100">
        <f>+References!C12</f>
        <v>4.33</v>
      </c>
      <c r="H19" s="101">
        <f t="shared" si="5"/>
        <v>2523.9938711790387</v>
      </c>
      <c r="I19" s="86">
        <f>+References!C24</f>
        <v>117</v>
      </c>
      <c r="J19" s="87">
        <f t="shared" si="6"/>
        <v>295307.28292794753</v>
      </c>
      <c r="K19" s="87">
        <f t="shared" si="0"/>
        <v>224120.45762243751</v>
      </c>
      <c r="L19" s="99">
        <f ca="1">+K19*References!$D$69</f>
        <v>723.90907812047396</v>
      </c>
      <c r="M19" s="99">
        <f ca="1">+L19/References!$F$78</f>
        <v>740.02308070277695</v>
      </c>
      <c r="N19" s="99">
        <f t="shared" ca="1" si="7"/>
        <v>1.2695355468300691</v>
      </c>
      <c r="O19" s="99">
        <f>+'Proposed Rates'!B18</f>
        <v>51.95</v>
      </c>
      <c r="P19" s="99">
        <f t="shared" ca="1" si="1"/>
        <v>53.219535546830073</v>
      </c>
      <c r="Q19" s="99">
        <f ca="1">+'Proposed Rates'!H18</f>
        <v>53.219535546830073</v>
      </c>
      <c r="R19" s="99">
        <f t="shared" si="2"/>
        <v>30282.09736899563</v>
      </c>
      <c r="S19" s="99">
        <f t="shared" ca="1" si="3"/>
        <v>31022.120449698406</v>
      </c>
      <c r="T19" s="99">
        <f t="shared" ca="1" si="4"/>
        <v>740.0230807027765</v>
      </c>
      <c r="U19" s="160" t="str">
        <f t="shared" ca="1" si="8"/>
        <v xml:space="preserve"> </v>
      </c>
      <c r="V19" s="100">
        <f ca="1">((I19*$H$114)*(References!$D$69/References!$F$78))*'Regulated DF Calc'!G19</f>
        <v>1.2695355468300693</v>
      </c>
      <c r="W19" s="122">
        <f t="shared" ca="1" si="9"/>
        <v>0</v>
      </c>
    </row>
    <row r="20" spans="1:23" s="86" customFormat="1" ht="13.5" customHeight="1">
      <c r="A20" s="98" t="s">
        <v>95</v>
      </c>
      <c r="B20" s="98" t="s">
        <v>96</v>
      </c>
      <c r="D20" s="232"/>
      <c r="E20" s="115">
        <f>INDEX([33]Regulated!$D:$D,MATCH(A20,[33]Regulated!$A:$A,0))</f>
        <v>259.59414225941418</v>
      </c>
      <c r="G20" s="100">
        <f>+References!C12</f>
        <v>4.33</v>
      </c>
      <c r="H20" s="101">
        <f t="shared" si="5"/>
        <v>1124.0426359832634</v>
      </c>
      <c r="I20" s="86">
        <f>+References!C25</f>
        <v>137</v>
      </c>
      <c r="J20" s="87">
        <f t="shared" si="6"/>
        <v>153993.84112970709</v>
      </c>
      <c r="K20" s="87">
        <f t="shared" si="0"/>
        <v>116872.05883590691</v>
      </c>
      <c r="L20" s="99">
        <f ca="1">+K20*References!$D$69</f>
        <v>377.49675003997976</v>
      </c>
      <c r="M20" s="99">
        <f ca="1">+L20/References!$F$78</f>
        <v>385.89971636380153</v>
      </c>
      <c r="N20" s="99">
        <f t="shared" ca="1" si="7"/>
        <v>1.4865501702198247</v>
      </c>
      <c r="O20" s="99">
        <f>+'Proposed Rates'!B19</f>
        <v>62.33</v>
      </c>
      <c r="P20" s="99">
        <f t="shared" ca="1" si="1"/>
        <v>63.81655017021982</v>
      </c>
      <c r="Q20" s="99">
        <f ca="1">+'Proposed Rates'!H19</f>
        <v>63.81655017021982</v>
      </c>
      <c r="R20" s="99">
        <f t="shared" si="2"/>
        <v>16180.502887029286</v>
      </c>
      <c r="S20" s="99">
        <f t="shared" ca="1" si="3"/>
        <v>16566.402603393086</v>
      </c>
      <c r="T20" s="99">
        <f t="shared" ca="1" si="4"/>
        <v>385.8997163637996</v>
      </c>
      <c r="U20" s="160" t="str">
        <f t="shared" ca="1" si="8"/>
        <v xml:space="preserve"> </v>
      </c>
      <c r="V20" s="100">
        <f ca="1">((I20*$H$114)*(References!$D$69/References!$F$78))*'Regulated DF Calc'!G20</f>
        <v>1.4865501702198245</v>
      </c>
      <c r="W20" s="122">
        <f t="shared" ca="1" si="9"/>
        <v>0</v>
      </c>
    </row>
    <row r="21" spans="1:23" s="86" customFormat="1" ht="13.5" customHeight="1">
      <c r="A21" s="98" t="s">
        <v>97</v>
      </c>
      <c r="B21" s="98" t="s">
        <v>98</v>
      </c>
      <c r="D21" s="232"/>
      <c r="E21" s="115">
        <f>INDEX([33]Regulated!$D:$D,MATCH(A21,[33]Regulated!$A:$A,0))</f>
        <v>8.4202511773940341</v>
      </c>
      <c r="G21" s="100">
        <f>+References!C12</f>
        <v>4.33</v>
      </c>
      <c r="H21" s="101">
        <f t="shared" si="5"/>
        <v>36.459687598116169</v>
      </c>
      <c r="I21" s="102">
        <f>+(((References!C25-References!C24)/References!C24)*References!C25)+References!C25</f>
        <v>160.41880341880341</v>
      </c>
      <c r="J21" s="87">
        <f t="shared" si="6"/>
        <v>5848.819457513182</v>
      </c>
      <c r="K21" s="87">
        <f t="shared" si="0"/>
        <v>4438.9020154599602</v>
      </c>
      <c r="L21" s="99">
        <f ca="1">+K21*References!$D$69</f>
        <v>14.337653509935688</v>
      </c>
      <c r="M21" s="99">
        <f ca="1">+L21/References!$F$78</f>
        <v>14.656805448578485</v>
      </c>
      <c r="N21" s="99">
        <f t="shared" ca="1" si="7"/>
        <v>1.7406613104283415</v>
      </c>
      <c r="O21" s="99">
        <f>+'Proposed Rates'!B20</f>
        <v>72.239999999999995</v>
      </c>
      <c r="P21" s="99">
        <f t="shared" ca="1" si="1"/>
        <v>73.980661310428331</v>
      </c>
      <c r="Q21" s="99">
        <f ca="1">+'Proposed Rates'!H20</f>
        <v>73.980661310428331</v>
      </c>
      <c r="R21" s="99">
        <f t="shared" si="2"/>
        <v>608.27894505494498</v>
      </c>
      <c r="S21" s="99">
        <f t="shared" ca="1" si="3"/>
        <v>622.93575050352342</v>
      </c>
      <c r="T21" s="99">
        <f t="shared" ca="1" si="4"/>
        <v>14.656805448578439</v>
      </c>
      <c r="U21" s="160" t="str">
        <f t="shared" ca="1" si="8"/>
        <v xml:space="preserve"> </v>
      </c>
      <c r="V21" s="100">
        <f ca="1">((I21*$H$114)*(References!$D$69/References!$F$78))*'Regulated DF Calc'!G21</f>
        <v>1.7406613104283417</v>
      </c>
      <c r="W21" s="122">
        <f t="shared" ca="1" si="9"/>
        <v>0</v>
      </c>
    </row>
    <row r="22" spans="1:23" s="86" customFormat="1" ht="13.5" customHeight="1">
      <c r="A22" s="98" t="s">
        <v>99</v>
      </c>
      <c r="B22" s="98" t="s">
        <v>100</v>
      </c>
      <c r="D22" s="232"/>
      <c r="E22" s="115">
        <f>INDEX([33]Regulated!$D:$D,MATCH(A22,[33]Regulated!$A:$A,0))</f>
        <v>12.193797341717882</v>
      </c>
      <c r="G22" s="100">
        <f>+References!C12</f>
        <v>4.33</v>
      </c>
      <c r="H22" s="101">
        <f t="shared" si="5"/>
        <v>52.799142489638434</v>
      </c>
      <c r="I22" s="86">
        <f>+References!C26</f>
        <v>177</v>
      </c>
      <c r="J22" s="87">
        <f t="shared" si="6"/>
        <v>9345.4482206660032</v>
      </c>
      <c r="K22" s="87">
        <f t="shared" si="0"/>
        <v>7092.6328370082929</v>
      </c>
      <c r="L22" s="99">
        <f ca="1">+K22*References!$D$69</f>
        <v>22.909204063536812</v>
      </c>
      <c r="M22" s="99">
        <f ca="1">+L22/References!$F$78</f>
        <v>23.419156189564582</v>
      </c>
      <c r="N22" s="99">
        <f t="shared" ca="1" si="7"/>
        <v>1.9205794169993358</v>
      </c>
      <c r="O22" s="99">
        <f>+'Proposed Rates'!B21</f>
        <v>79.349999999999994</v>
      </c>
      <c r="P22" s="99">
        <f t="shared" ca="1" si="1"/>
        <v>81.270579416999325</v>
      </c>
      <c r="Q22" s="99">
        <f ca="1">+'Proposed Rates'!H21</f>
        <v>81.270579416999325</v>
      </c>
      <c r="R22" s="99">
        <f t="shared" si="2"/>
        <v>967.57781906531386</v>
      </c>
      <c r="S22" s="99">
        <f t="shared" ca="1" si="3"/>
        <v>990.99697525487841</v>
      </c>
      <c r="T22" s="99">
        <f t="shared" ca="1" si="4"/>
        <v>23.419156189564546</v>
      </c>
      <c r="U22" s="160" t="str">
        <f t="shared" ca="1" si="8"/>
        <v xml:space="preserve"> </v>
      </c>
      <c r="V22" s="100">
        <f ca="1">((I22*$H$114)*(References!$D$69/References!$F$78))*'Regulated DF Calc'!G22</f>
        <v>1.9205794169993355</v>
      </c>
      <c r="W22" s="122">
        <f t="shared" ca="1" si="9"/>
        <v>0</v>
      </c>
    </row>
    <row r="23" spans="1:23" s="232" customFormat="1" ht="13.5" customHeight="1">
      <c r="A23" s="235" t="s">
        <v>408</v>
      </c>
      <c r="B23" s="235" t="s">
        <v>101</v>
      </c>
      <c r="E23" s="115">
        <f>INDEX([33]Regulated!$D:$D,MATCH(A23,[33]Regulated!$A:$A,0))</f>
        <v>12.953128804480155</v>
      </c>
      <c r="G23" s="233">
        <f>+References!C12</f>
        <v>4.33</v>
      </c>
      <c r="H23" s="234">
        <f t="shared" ref="H23" si="13">+E23*G23</f>
        <v>56.087047723399074</v>
      </c>
      <c r="I23" s="232">
        <v>197</v>
      </c>
      <c r="J23" s="115">
        <f t="shared" ref="J23" si="14">+H23*I23</f>
        <v>11049.148401509618</v>
      </c>
      <c r="K23" s="115">
        <f t="shared" si="0"/>
        <v>8385.638754086418</v>
      </c>
      <c r="L23" s="114">
        <f ca="1">+K23*References!$D$69</f>
        <v>27.085613175699162</v>
      </c>
      <c r="M23" s="114">
        <f ca="1">+L23/References!$F$78</f>
        <v>27.688530936849052</v>
      </c>
      <c r="N23" s="114">
        <f ca="1">IFERROR(+M23/E23,)</f>
        <v>2.1375940403890912</v>
      </c>
      <c r="O23" s="114">
        <f>+'Proposed Rates'!B22</f>
        <v>93.18</v>
      </c>
      <c r="P23" s="114">
        <f t="shared" ref="P23" ca="1" si="15">+O23+N23</f>
        <v>95.317594040389096</v>
      </c>
      <c r="Q23" s="114">
        <f ca="1">+'Proposed Rates'!H22</f>
        <v>95.317594040389096</v>
      </c>
      <c r="R23" s="114">
        <f t="shared" ref="R23" si="16">+E23*O23</f>
        <v>1206.9725420014609</v>
      </c>
      <c r="S23" s="114">
        <f t="shared" ref="S23" ca="1" si="17">+E23*P23</f>
        <v>1234.6610729383099</v>
      </c>
      <c r="T23" s="114">
        <f t="shared" ref="T23" ca="1" si="18">+S23-R23</f>
        <v>27.68853093684902</v>
      </c>
      <c r="U23" s="114" t="str">
        <f t="shared" ca="1" si="8"/>
        <v xml:space="preserve"> </v>
      </c>
      <c r="V23" s="100">
        <f ca="1">((I23*$H$114)*(References!$D$69/References!$F$78))*'Regulated DF Calc'!G23</f>
        <v>2.1375940403890912</v>
      </c>
      <c r="W23" s="122">
        <f t="shared" ca="1" si="9"/>
        <v>0</v>
      </c>
    </row>
    <row r="24" spans="1:23" s="86" customFormat="1" ht="13.5" customHeight="1">
      <c r="A24" s="98" t="s">
        <v>102</v>
      </c>
      <c r="B24" s="98" t="s">
        <v>103</v>
      </c>
      <c r="D24" s="232"/>
      <c r="E24" s="115">
        <f>INDEX([33]Regulated!$D:$D,MATCH(A24,[33]Regulated!$A:$A,0))</f>
        <v>252306.79365079367</v>
      </c>
      <c r="G24" s="100">
        <f>+References!C15</f>
        <v>1</v>
      </c>
      <c r="H24" s="101">
        <f t="shared" si="5"/>
        <v>252306.79365079367</v>
      </c>
      <c r="I24" s="86">
        <f>+References!C33</f>
        <v>34</v>
      </c>
      <c r="J24" s="87">
        <f t="shared" si="6"/>
        <v>8578430.9841269851</v>
      </c>
      <c r="K24" s="87">
        <f t="shared" si="0"/>
        <v>6510512.9097480997</v>
      </c>
      <c r="L24" s="99">
        <f ca="1">+K24*References!$D$69</f>
        <v>21028.956698486385</v>
      </c>
      <c r="M24" s="99">
        <f ca="1">+L24/References!$F$78</f>
        <v>21497.055072694304</v>
      </c>
      <c r="N24" s="99">
        <f t="shared" ca="1" si="7"/>
        <v>8.5202046134546017E-2</v>
      </c>
      <c r="O24" s="99">
        <f>+'Proposed Rates'!B36</f>
        <v>4.2300000000000004</v>
      </c>
      <c r="P24" s="99">
        <f t="shared" ca="1" si="1"/>
        <v>4.3152020461345462</v>
      </c>
      <c r="Q24" s="99">
        <f ca="1">+'Proposed Rates'!H36</f>
        <v>4.3152020461345462</v>
      </c>
      <c r="R24" s="99">
        <f t="shared" si="2"/>
        <v>1067257.7371428574</v>
      </c>
      <c r="S24" s="99">
        <f t="shared" ca="1" si="3"/>
        <v>1088754.7922155515</v>
      </c>
      <c r="T24" s="99">
        <f t="shared" ca="1" si="4"/>
        <v>21497.055072694086</v>
      </c>
      <c r="U24" s="160" t="str">
        <f t="shared" ca="1" si="8"/>
        <v xml:space="preserve"> </v>
      </c>
      <c r="V24" s="100">
        <f ca="1">((I24*$H$114)*(References!$D$69/References!$F$78))*'Regulated DF Calc'!G24</f>
        <v>8.5202046134546017E-2</v>
      </c>
      <c r="W24" s="122">
        <f t="shared" ca="1" si="9"/>
        <v>0</v>
      </c>
    </row>
    <row r="25" spans="1:23" s="86" customFormat="1" ht="13.5" customHeight="1">
      <c r="A25" s="98" t="s">
        <v>104</v>
      </c>
      <c r="B25" s="98" t="s">
        <v>105</v>
      </c>
      <c r="D25" s="232"/>
      <c r="E25" s="115">
        <f>INDEX([33]Regulated!$D:$D,MATCH(A25,[33]Regulated!$A:$A,0))</f>
        <v>3478.9561752988047</v>
      </c>
      <c r="G25" s="100">
        <f>+References!C15</f>
        <v>1</v>
      </c>
      <c r="H25" s="101">
        <f t="shared" si="5"/>
        <v>3478.9561752988047</v>
      </c>
      <c r="I25" s="86">
        <f>+References!C33</f>
        <v>34</v>
      </c>
      <c r="J25" s="87">
        <f t="shared" si="6"/>
        <v>118284.50996015937</v>
      </c>
      <c r="K25" s="87">
        <f t="shared" si="0"/>
        <v>89770.825287722066</v>
      </c>
      <c r="L25" s="99">
        <f ca="1">+K25*References!$D$69</f>
        <v>289.95976567934258</v>
      </c>
      <c r="M25" s="99">
        <f ca="1">+L25/References!$F$78</f>
        <v>296.41418454787248</v>
      </c>
      <c r="N25" s="99">
        <f t="shared" ca="1" si="7"/>
        <v>8.5202046134546003E-2</v>
      </c>
      <c r="O25" s="99">
        <f>+'Proposed Rates'!B41</f>
        <v>5.61</v>
      </c>
      <c r="P25" s="99">
        <f t="shared" ca="1" si="1"/>
        <v>5.6952020461345461</v>
      </c>
      <c r="Q25" s="99">
        <f ca="1">+'Proposed Rates'!H41</f>
        <v>5.6952020461345461</v>
      </c>
      <c r="R25" s="99">
        <f t="shared" si="2"/>
        <v>19516.944143426295</v>
      </c>
      <c r="S25" s="99">
        <f t="shared" ca="1" si="3"/>
        <v>19813.358327974169</v>
      </c>
      <c r="T25" s="99">
        <f t="shared" ca="1" si="4"/>
        <v>296.41418454787345</v>
      </c>
      <c r="U25" s="160" t="str">
        <f t="shared" ca="1" si="8"/>
        <v xml:space="preserve"> </v>
      </c>
      <c r="V25" s="100">
        <f ca="1">((I25*$H$114)*(References!$D$69/References!$F$78))*'Regulated DF Calc'!G25</f>
        <v>8.5202046134546017E-2</v>
      </c>
      <c r="W25" s="122">
        <f t="shared" ca="1" si="9"/>
        <v>0</v>
      </c>
    </row>
    <row r="26" spans="1:23" s="232" customFormat="1" ht="13.5" customHeight="1">
      <c r="A26" s="231" t="s">
        <v>406</v>
      </c>
      <c r="B26" s="231" t="s">
        <v>407</v>
      </c>
      <c r="E26" s="115">
        <f>INDEX([33]Regulated!$D:$D,MATCH(A26,[33]Regulated!$A:$A,0))</f>
        <v>37.077689243027891</v>
      </c>
      <c r="G26" s="233">
        <f>+References!C15</f>
        <v>1</v>
      </c>
      <c r="H26" s="234">
        <f t="shared" ref="H26" si="19">+E26*G26</f>
        <v>37.077689243027891</v>
      </c>
      <c r="I26" s="232">
        <f>+References!C33</f>
        <v>34</v>
      </c>
      <c r="J26" s="115">
        <f t="shared" ref="J26" si="20">+H26*I26</f>
        <v>1260.6414342629482</v>
      </c>
      <c r="K26" s="115">
        <f t="shared" si="0"/>
        <v>956.75098948966388</v>
      </c>
      <c r="L26" s="114">
        <f ca="1">+K26*References!$D$69</f>
        <v>3.090305696051618</v>
      </c>
      <c r="M26" s="114">
        <f ca="1">+L26/References!$F$78</f>
        <v>3.1590949894468223</v>
      </c>
      <c r="N26" s="114">
        <f t="shared" ref="N26" ca="1" si="21">IFERROR(+M26/E26,)</f>
        <v>8.5202046134546003E-2</v>
      </c>
      <c r="O26" s="114">
        <f>+'Proposed Rates'!B41</f>
        <v>5.61</v>
      </c>
      <c r="P26" s="114">
        <f t="shared" ref="P26" ca="1" si="22">+O26+N26</f>
        <v>5.6952020461345461</v>
      </c>
      <c r="Q26" s="114">
        <f ca="1">+'Proposed Rates'!H41</f>
        <v>5.6952020461345461</v>
      </c>
      <c r="R26" s="114">
        <f t="shared" ref="R26" si="23">+E26*O26</f>
        <v>208.00583665338647</v>
      </c>
      <c r="S26" s="114">
        <f t="shared" ref="S26" ca="1" si="24">+E26*P26</f>
        <v>211.1649316428333</v>
      </c>
      <c r="T26" s="114">
        <f t="shared" ref="T26" ca="1" si="25">+S26-R26</f>
        <v>3.1590949894468281</v>
      </c>
      <c r="U26" s="114" t="str">
        <f t="shared" ca="1" si="8"/>
        <v xml:space="preserve"> </v>
      </c>
      <c r="V26" s="100">
        <f ca="1">((I26*$H$114)*(References!$D$69/References!$F$78))*'Regulated DF Calc'!G26</f>
        <v>8.5202046134546017E-2</v>
      </c>
      <c r="W26" s="122">
        <f t="shared" ca="1" si="9"/>
        <v>0</v>
      </c>
    </row>
    <row r="27" spans="1:23" s="86" customFormat="1" ht="13.5" customHeight="1">
      <c r="A27" s="98" t="s">
        <v>106</v>
      </c>
      <c r="B27" s="98" t="s">
        <v>107</v>
      </c>
      <c r="D27" s="232"/>
      <c r="E27" s="115">
        <f>INDEX([33]Regulated!$D:$D,MATCH(A27,[33]Regulated!$A:$A,0))</f>
        <v>44607.160164271052</v>
      </c>
      <c r="G27" s="100">
        <f>+References!C15</f>
        <v>1</v>
      </c>
      <c r="H27" s="101">
        <f t="shared" si="5"/>
        <v>44607.160164271052</v>
      </c>
      <c r="I27" s="86">
        <f>+References!C33</f>
        <v>34</v>
      </c>
      <c r="J27" s="87">
        <f t="shared" si="6"/>
        <v>1516643.4455852157</v>
      </c>
      <c r="K27" s="87">
        <f t="shared" si="0"/>
        <v>1151041.1111586581</v>
      </c>
      <c r="L27" s="99">
        <f ca="1">+K27*References!$D$69</f>
        <v>3717.8627890424696</v>
      </c>
      <c r="M27" s="99">
        <f ca="1">+L27/References!$F$78</f>
        <v>3800.6213182473048</v>
      </c>
      <c r="N27" s="99">
        <f t="shared" ca="1" si="7"/>
        <v>8.5202046134546003E-2</v>
      </c>
      <c r="O27" s="99">
        <f>+'Proposed Rates'!B9</f>
        <v>5.45</v>
      </c>
      <c r="P27" s="99">
        <f t="shared" ca="1" si="1"/>
        <v>5.5352020461345459</v>
      </c>
      <c r="Q27" s="99">
        <f ca="1">+'Proposed Rates'!H9</f>
        <v>5.5352020461345459</v>
      </c>
      <c r="R27" s="99">
        <f t="shared" si="2"/>
        <v>243109.02289527724</v>
      </c>
      <c r="S27" s="99">
        <f t="shared" ca="1" si="3"/>
        <v>246909.64421352453</v>
      </c>
      <c r="T27" s="99">
        <f t="shared" ca="1" si="4"/>
        <v>3800.6213182472857</v>
      </c>
      <c r="U27" s="160" t="str">
        <f t="shared" ca="1" si="8"/>
        <v xml:space="preserve"> </v>
      </c>
      <c r="V27" s="100">
        <f ca="1">((I27*$H$114)*(References!$D$69/References!$F$78))*'Regulated DF Calc'!G27</f>
        <v>8.5202046134546017E-2</v>
      </c>
      <c r="W27" s="122">
        <f t="shared" ca="1" si="9"/>
        <v>0</v>
      </c>
    </row>
    <row r="28" spans="1:23" s="86" customFormat="1" ht="13.5" customHeight="1">
      <c r="A28" s="98" t="s">
        <v>108</v>
      </c>
      <c r="B28" s="98" t="s">
        <v>107</v>
      </c>
      <c r="D28" s="232"/>
      <c r="E28" s="115">
        <f>INDEX([33]Regulated!$D:$D,MATCH(A28,[33]Regulated!$A:$A,0))</f>
        <v>184.73511293634499</v>
      </c>
      <c r="G28" s="100">
        <f>+References!C15</f>
        <v>1</v>
      </c>
      <c r="H28" s="101">
        <f t="shared" si="5"/>
        <v>184.73511293634499</v>
      </c>
      <c r="I28" s="86">
        <f>+References!C33</f>
        <v>34</v>
      </c>
      <c r="J28" s="87">
        <f t="shared" si="6"/>
        <v>6280.9938398357299</v>
      </c>
      <c r="K28" s="87">
        <f t="shared" si="0"/>
        <v>4766.8963655432817</v>
      </c>
      <c r="L28" s="99">
        <f ca="1">+K28*References!$D$69</f>
        <v>15.397075260704817</v>
      </c>
      <c r="M28" s="99">
        <f ca="1">+L28/References!$F$78</f>
        <v>15.739809615073032</v>
      </c>
      <c r="N28" s="99">
        <f t="shared" ca="1" si="7"/>
        <v>8.5202046134546003E-2</v>
      </c>
      <c r="O28" s="99">
        <f>+'Proposed Rates'!B9</f>
        <v>5.45</v>
      </c>
      <c r="P28" s="99">
        <f t="shared" ca="1" si="1"/>
        <v>5.5352020461345459</v>
      </c>
      <c r="Q28" s="99">
        <f ca="1">+'Proposed Rates'!H9</f>
        <v>5.5352020461345459</v>
      </c>
      <c r="R28" s="99">
        <f t="shared" si="2"/>
        <v>1006.8063655030802</v>
      </c>
      <c r="S28" s="99">
        <f t="shared" ca="1" si="3"/>
        <v>1022.5461751181532</v>
      </c>
      <c r="T28" s="99">
        <f t="shared" ca="1" si="4"/>
        <v>15.739809615073</v>
      </c>
      <c r="U28" s="160" t="str">
        <f t="shared" ca="1" si="8"/>
        <v xml:space="preserve"> </v>
      </c>
      <c r="V28" s="100">
        <f ca="1">((I28*$H$114)*(References!$D$69/References!$F$78))*'Regulated DF Calc'!G28</f>
        <v>8.5202046134546017E-2</v>
      </c>
      <c r="W28" s="122">
        <f t="shared" ca="1" si="9"/>
        <v>0</v>
      </c>
    </row>
    <row r="29" spans="1:23" s="232" customFormat="1" ht="13.5" customHeight="1">
      <c r="A29" s="231" t="s">
        <v>313</v>
      </c>
      <c r="B29" s="231" t="s">
        <v>314</v>
      </c>
      <c r="E29" s="115">
        <f>INDEX([33]Regulated!$D:$D,MATCH(A29,[33]Regulated!$A:$A,0))</f>
        <v>4120.2730496453896</v>
      </c>
      <c r="G29" s="233">
        <f>+References!C15</f>
        <v>1</v>
      </c>
      <c r="H29" s="234">
        <f t="shared" ref="H29" si="26">+E29*G29</f>
        <v>4120.2730496453896</v>
      </c>
      <c r="I29" s="86">
        <f>References!C36</f>
        <v>125</v>
      </c>
      <c r="J29" s="115">
        <f t="shared" ref="J29" si="27">+H29*I29</f>
        <v>515034.13120567368</v>
      </c>
      <c r="K29" s="115">
        <f t="shared" si="0"/>
        <v>390879.91339906771</v>
      </c>
      <c r="L29" s="114">
        <f ca="1">+K29*References!$D$69</f>
        <v>1262.5421202789901</v>
      </c>
      <c r="M29" s="114">
        <f ca="1">+L29/References!$F$78</f>
        <v>1290.6459355250479</v>
      </c>
      <c r="N29" s="114">
        <f ca="1">IFERROR(+M29/E29,)</f>
        <v>0.31324281667112502</v>
      </c>
      <c r="O29" s="114">
        <f>+'Proposed Rates'!B49</f>
        <v>18.93</v>
      </c>
      <c r="P29" s="114">
        <f t="shared" ref="P29" ca="1" si="28">+O29+N29</f>
        <v>19.243242816671124</v>
      </c>
      <c r="Q29" s="114">
        <f ca="1">+'Proposed Rates'!H49</f>
        <v>19.243242816671124</v>
      </c>
      <c r="R29" s="114">
        <f t="shared" ref="R29" si="29">+E29*O29</f>
        <v>77996.768829787223</v>
      </c>
      <c r="S29" s="114">
        <f t="shared" ref="S29" ca="1" si="30">+E29*P29</f>
        <v>79287.414765312264</v>
      </c>
      <c r="T29" s="114">
        <f t="shared" ref="T29" ca="1" si="31">+S29-R29</f>
        <v>1290.6459355250408</v>
      </c>
      <c r="U29" s="114" t="str">
        <f t="shared" ref="U29" ca="1" si="32">IF(P29=Q29," ","Difference between Calculated Rate and Proposed Tariff")</f>
        <v xml:space="preserve"> </v>
      </c>
      <c r="V29" s="100">
        <f ca="1">((I29*$H$114)*(References!$D$69/References!$F$78))*'Regulated DF Calc'!G29</f>
        <v>0.31324281667112502</v>
      </c>
      <c r="W29" s="122">
        <f t="shared" ca="1" si="9"/>
        <v>0</v>
      </c>
    </row>
    <row r="30" spans="1:23" s="86" customFormat="1" ht="13.5" customHeight="1">
      <c r="A30" s="103"/>
      <c r="B30" s="103"/>
      <c r="U30" s="99" t="str">
        <f t="shared" si="8"/>
        <v xml:space="preserve"> </v>
      </c>
    </row>
    <row r="31" spans="1:23" s="86" customFormat="1" ht="13.5" customHeight="1">
      <c r="A31" s="85"/>
      <c r="B31" s="104" t="s">
        <v>109</v>
      </c>
      <c r="D31" s="106"/>
      <c r="E31" s="107">
        <f>+SUM(E10:E30)</f>
        <v>1191722.2713836327</v>
      </c>
      <c r="F31" s="107"/>
      <c r="G31" s="107"/>
      <c r="H31" s="107">
        <f>+SUM(H10:H30)</f>
        <v>3882570.8349242527</v>
      </c>
      <c r="I31" s="107">
        <f>SUM(I10:I28)</f>
        <v>1359.4188034188035</v>
      </c>
      <c r="J31" s="107">
        <f>+SUM(J10:J30)</f>
        <v>148231174.10687172</v>
      </c>
      <c r="K31" s="107">
        <f>+SUM(K10:K30)</f>
        <v>112498541.33414352</v>
      </c>
      <c r="L31" s="248">
        <f ca="1">+SUM(L10:L30)</f>
        <v>363370.28850928391</v>
      </c>
      <c r="M31" s="248">
        <f ca="1">+SUM(M10:M30)</f>
        <v>371458.8039656356</v>
      </c>
      <c r="N31" s="248"/>
      <c r="O31" s="248"/>
      <c r="P31" s="248"/>
      <c r="Q31" s="248"/>
      <c r="R31" s="248">
        <f>+SUM(R10:R30)</f>
        <v>16068305.637909926</v>
      </c>
      <c r="S31" s="248">
        <f ca="1">+SUM(S10:S30)</f>
        <v>16439764.441875562</v>
      </c>
      <c r="T31" s="248">
        <f ca="1">+SUM(T10:T30)</f>
        <v>371458.80396563513</v>
      </c>
      <c r="U31" s="99" t="str">
        <f t="shared" si="8"/>
        <v xml:space="preserve"> </v>
      </c>
      <c r="V31" s="149"/>
    </row>
    <row r="32" spans="1:23" ht="13.5" customHeight="1">
      <c r="U32" s="99" t="str">
        <f t="shared" si="8"/>
        <v xml:space="preserve"> </v>
      </c>
    </row>
    <row r="33" spans="1:23" ht="13.5" customHeight="1">
      <c r="A33" s="95" t="s">
        <v>110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9" t="str">
        <f t="shared" si="8"/>
        <v xml:space="preserve"> </v>
      </c>
      <c r="V33" s="96"/>
    </row>
    <row r="34" spans="1:23" ht="13.5" customHeight="1">
      <c r="A34" s="91"/>
      <c r="B34" s="91"/>
      <c r="U34" s="99" t="str">
        <f t="shared" si="8"/>
        <v xml:space="preserve"> </v>
      </c>
    </row>
    <row r="35" spans="1:23" ht="13.5" customHeight="1">
      <c r="A35" s="97" t="s">
        <v>111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9" t="str">
        <f t="shared" si="8"/>
        <v xml:space="preserve"> </v>
      </c>
      <c r="V35" s="97"/>
    </row>
    <row r="36" spans="1:23" s="86" customFormat="1" ht="13.5" customHeight="1">
      <c r="A36" s="98" t="s">
        <v>112</v>
      </c>
      <c r="B36" s="98" t="s">
        <v>113</v>
      </c>
      <c r="D36" s="232"/>
      <c r="E36" s="115">
        <f>INDEX([33]Regulated!$D:$D,MATCH(A36,[33]Regulated!$A:$A,0))</f>
        <v>4869.294502571006</v>
      </c>
      <c r="G36" s="100">
        <f>+References!C12</f>
        <v>4.33</v>
      </c>
      <c r="H36" s="101">
        <f t="shared" ref="H36:H99" si="33">+E36*G36</f>
        <v>21084.045196132458</v>
      </c>
      <c r="I36" s="86">
        <f>+References!C37</f>
        <v>175</v>
      </c>
      <c r="J36" s="87">
        <f t="shared" ref="J36:J99" si="34">+H36*I36</f>
        <v>3689707.9093231801</v>
      </c>
      <c r="K36" s="87">
        <f t="shared" ref="K36:K67" si="35">+J36*$H$114</f>
        <v>2800266.2749513169</v>
      </c>
      <c r="L36" s="99">
        <f ca="1">+K36*References!$D$69</f>
        <v>9044.8600680927648</v>
      </c>
      <c r="M36" s="99">
        <f ca="1">+L36/References!$F$78</f>
        <v>9246.1959856809681</v>
      </c>
      <c r="N36" s="99">
        <f ca="1">IFERROR(+M36/H36,0)</f>
        <v>0.43853994333957508</v>
      </c>
      <c r="O36" s="99">
        <f>+'Proposed Rates'!B83</f>
        <v>20.079999999999998</v>
      </c>
      <c r="P36" s="99">
        <f t="shared" ref="P36:P69" ca="1" si="36">+O36+N36</f>
        <v>20.518539943339572</v>
      </c>
      <c r="Q36" s="99">
        <f ca="1">+'Proposed Rates'!H83</f>
        <v>20.518539943339572</v>
      </c>
      <c r="R36" s="99">
        <f t="shared" ref="R36:R69" si="37">+E36*O36*G36</f>
        <v>423367.6275383397</v>
      </c>
      <c r="S36" s="99">
        <f t="shared" ref="S36:S69" ca="1" si="38">+E36*P36*G36</f>
        <v>432613.82352402067</v>
      </c>
      <c r="T36" s="99">
        <f t="shared" ref="T36:T69" ca="1" si="39">+S36-R36</f>
        <v>9246.1959856809699</v>
      </c>
      <c r="U36" s="99" t="str">
        <f t="shared" ca="1" si="8"/>
        <v xml:space="preserve"> </v>
      </c>
      <c r="V36" s="100">
        <f ca="1">((I36*$H$114)*(References!$D$69/References!$F$78))</f>
        <v>0.43853994333957508</v>
      </c>
      <c r="W36" s="122">
        <f t="shared" ref="W36" ca="1" si="40">N36-V36</f>
        <v>0</v>
      </c>
    </row>
    <row r="37" spans="1:23" s="86" customFormat="1" ht="13.5" customHeight="1">
      <c r="A37" s="98" t="s">
        <v>114</v>
      </c>
      <c r="B37" s="98" t="s">
        <v>115</v>
      </c>
      <c r="D37" s="232"/>
      <c r="E37" s="115">
        <f>INDEX([33]Regulated!$D:$D,MATCH(A37,[33]Regulated!$A:$A,0))</f>
        <v>127.57787906710337</v>
      </c>
      <c r="G37" s="100">
        <f>+References!C11</f>
        <v>8.66</v>
      </c>
      <c r="H37" s="110">
        <f>+E37*G37</f>
        <v>1104.8244327211153</v>
      </c>
      <c r="I37" s="86">
        <f>+References!C37</f>
        <v>175</v>
      </c>
      <c r="J37" s="87">
        <f t="shared" si="34"/>
        <v>193344.27572619516</v>
      </c>
      <c r="K37" s="87">
        <f t="shared" si="35"/>
        <v>146736.67078168993</v>
      </c>
      <c r="L37" s="99">
        <f ca="1">+K37*References!$D$69</f>
        <v>473.95944662485903</v>
      </c>
      <c r="M37" s="99">
        <f ca="1">+L37/References!$F$78</f>
        <v>484.50964412569607</v>
      </c>
      <c r="N37" s="99">
        <f t="shared" ref="N37:N101" ca="1" si="41">IFERROR(+M37/H37,0)</f>
        <v>0.43853994333957508</v>
      </c>
      <c r="O37" s="99">
        <f>+'Proposed Rates'!B83</f>
        <v>20.079999999999998</v>
      </c>
      <c r="P37" s="99">
        <f t="shared" ca="1" si="36"/>
        <v>20.518539943339572</v>
      </c>
      <c r="Q37" s="99">
        <f ca="1">+'Proposed Rates'!H83</f>
        <v>20.518539943339572</v>
      </c>
      <c r="R37" s="99">
        <f t="shared" si="37"/>
        <v>22184.874609039991</v>
      </c>
      <c r="S37" s="99">
        <f t="shared" ca="1" si="38"/>
        <v>22669.384253165685</v>
      </c>
      <c r="T37" s="99">
        <f t="shared" ca="1" si="39"/>
        <v>484.50964412569374</v>
      </c>
      <c r="U37" s="99" t="str">
        <f t="shared" ca="1" si="8"/>
        <v xml:space="preserve"> </v>
      </c>
      <c r="V37" s="100">
        <f ca="1">((I37*$H$114)*(References!$D$69/References!$F$78))</f>
        <v>0.43853994333957508</v>
      </c>
      <c r="W37" s="122">
        <f t="shared" ref="W37:W98" ca="1" si="42">N37-V37</f>
        <v>0</v>
      </c>
    </row>
    <row r="38" spans="1:23" s="86" customFormat="1" ht="13.5" customHeight="1">
      <c r="A38" s="98" t="s">
        <v>116</v>
      </c>
      <c r="B38" s="98" t="s">
        <v>117</v>
      </c>
      <c r="D38" s="232"/>
      <c r="E38" s="115">
        <f>INDEX([33]Regulated!$D:$D,MATCH(A38,[33]Regulated!$A:$A,0))</f>
        <v>8786.4593676430995</v>
      </c>
      <c r="G38" s="100">
        <f>+References!C13</f>
        <v>2.17</v>
      </c>
      <c r="H38" s="110">
        <f t="shared" si="33"/>
        <v>19066.616827785525</v>
      </c>
      <c r="I38" s="86">
        <f>+References!C37</f>
        <v>175</v>
      </c>
      <c r="J38" s="87">
        <f t="shared" si="34"/>
        <v>3336657.9448624668</v>
      </c>
      <c r="K38" s="87">
        <f t="shared" si="35"/>
        <v>2532322.5967121781</v>
      </c>
      <c r="L38" s="99">
        <f ca="1">+K38*References!$D$69</f>
        <v>8179.4019873803445</v>
      </c>
      <c r="M38" s="99">
        <f ca="1">+L38/References!$F$78</f>
        <v>8361.4730633344516</v>
      </c>
      <c r="N38" s="99">
        <f t="shared" ca="1" si="41"/>
        <v>0.43853994333957502</v>
      </c>
      <c r="O38" s="99">
        <f>+'Proposed Rates'!B83</f>
        <v>20.079999999999998</v>
      </c>
      <c r="P38" s="99">
        <f t="shared" ca="1" si="36"/>
        <v>20.518539943339572</v>
      </c>
      <c r="Q38" s="99">
        <f ca="1">+'Proposed Rates'!H83</f>
        <v>20.518539943339572</v>
      </c>
      <c r="R38" s="99">
        <f t="shared" si="37"/>
        <v>382857.66590193327</v>
      </c>
      <c r="S38" s="99">
        <f t="shared" ca="1" si="38"/>
        <v>391219.13896526775</v>
      </c>
      <c r="T38" s="99">
        <f t="shared" ca="1" si="39"/>
        <v>8361.4730633344734</v>
      </c>
      <c r="U38" s="99" t="str">
        <f t="shared" ca="1" si="8"/>
        <v xml:space="preserve"> </v>
      </c>
      <c r="V38" s="100">
        <f ca="1">((I38*$H$114)*(References!$D$69/References!$F$78))</f>
        <v>0.43853994333957508</v>
      </c>
      <c r="W38" s="122">
        <f t="shared" ca="1" si="42"/>
        <v>0</v>
      </c>
    </row>
    <row r="39" spans="1:23" s="113" customFormat="1" ht="13.5" customHeight="1">
      <c r="A39" s="112" t="s">
        <v>118</v>
      </c>
      <c r="B39" s="112" t="s">
        <v>119</v>
      </c>
      <c r="D39" s="232"/>
      <c r="E39" s="115">
        <f>INDEX([33]Regulated!$D:$D,MATCH(A39,[33]Regulated!$A:$A,0))</f>
        <v>1590.0403948223945</v>
      </c>
      <c r="G39" s="116">
        <f>+References!C12</f>
        <v>4.33</v>
      </c>
      <c r="H39" s="110">
        <f t="shared" si="33"/>
        <v>6884.8749095809681</v>
      </c>
      <c r="I39" s="113">
        <f>+References!C38</f>
        <v>250</v>
      </c>
      <c r="J39" s="115">
        <f t="shared" si="34"/>
        <v>1721218.7273952421</v>
      </c>
      <c r="K39" s="115">
        <f t="shared" si="35"/>
        <v>1306301.4397320279</v>
      </c>
      <c r="L39" s="114">
        <f ca="1">+K39*References!$D$69</f>
        <v>4219.3536503344549</v>
      </c>
      <c r="M39" s="114">
        <f ca="1">+L39/References!$F$78</f>
        <v>4313.2752182109989</v>
      </c>
      <c r="N39" s="99">
        <f t="shared" ca="1" si="41"/>
        <v>0.62648563334224994</v>
      </c>
      <c r="O39" s="114">
        <f>+'Proposed Rates'!B84</f>
        <v>27.08</v>
      </c>
      <c r="P39" s="114">
        <f t="shared" ca="1" si="36"/>
        <v>27.706485633342247</v>
      </c>
      <c r="Q39" s="114">
        <f ca="1">+'Proposed Rates'!H84</f>
        <v>27.706485633342247</v>
      </c>
      <c r="R39" s="114">
        <f t="shared" si="37"/>
        <v>186442.41255145261</v>
      </c>
      <c r="S39" s="114">
        <f t="shared" ca="1" si="38"/>
        <v>190755.68776966358</v>
      </c>
      <c r="T39" s="114">
        <f t="shared" ca="1" si="39"/>
        <v>4313.2752182109689</v>
      </c>
      <c r="U39" s="99" t="str">
        <f t="shared" ca="1" si="8"/>
        <v xml:space="preserve"> </v>
      </c>
      <c r="V39" s="100">
        <f ca="1">((I39*$H$114)*(References!$D$69/References!$F$78))</f>
        <v>0.62648563334225005</v>
      </c>
      <c r="W39" s="122">
        <f t="shared" ca="1" si="42"/>
        <v>0</v>
      </c>
    </row>
    <row r="40" spans="1:23" s="86" customFormat="1" ht="13.5" customHeight="1">
      <c r="A40" s="98" t="s">
        <v>120</v>
      </c>
      <c r="B40" s="98" t="s">
        <v>121</v>
      </c>
      <c r="D40" s="232"/>
      <c r="E40" s="115">
        <f>INDEX([33]Regulated!$D:$D,MATCH(A40,[33]Regulated!$A:$A,0))</f>
        <v>24.096590360282043</v>
      </c>
      <c r="G40" s="100">
        <f>+References!C11</f>
        <v>8.66</v>
      </c>
      <c r="H40" s="110">
        <f t="shared" si="33"/>
        <v>208.67647252004249</v>
      </c>
      <c r="I40" s="86">
        <f>+References!C38</f>
        <v>250</v>
      </c>
      <c r="J40" s="87">
        <f t="shared" si="34"/>
        <v>52169.118130010625</v>
      </c>
      <c r="K40" s="87">
        <f t="shared" si="35"/>
        <v>39593.221383265962</v>
      </c>
      <c r="L40" s="99">
        <f ca="1">+K40*References!$D$69</f>
        <v>127.8861050679492</v>
      </c>
      <c r="M40" s="99">
        <f ca="1">+L40/References!$F$78</f>
        <v>130.73281205034547</v>
      </c>
      <c r="N40" s="99">
        <f t="shared" ca="1" si="41"/>
        <v>0.62648563334225016</v>
      </c>
      <c r="O40" s="111">
        <f>+'Proposed Rates'!B84</f>
        <v>27.08</v>
      </c>
      <c r="P40" s="99">
        <f t="shared" ca="1" si="36"/>
        <v>27.706485633342247</v>
      </c>
      <c r="Q40" s="111">
        <f ca="1">+'Proposed Rates'!H84</f>
        <v>27.706485633342247</v>
      </c>
      <c r="R40" s="99">
        <f t="shared" si="37"/>
        <v>5650.9588758427508</v>
      </c>
      <c r="S40" s="99">
        <f t="shared" ca="1" si="38"/>
        <v>5781.6916878930951</v>
      </c>
      <c r="T40" s="99">
        <f t="shared" ca="1" si="39"/>
        <v>130.73281205034436</v>
      </c>
      <c r="U40" s="99" t="str">
        <f t="shared" ca="1" si="8"/>
        <v xml:space="preserve"> </v>
      </c>
      <c r="V40" s="100">
        <f ca="1">((I40*$H$114)*(References!$D$69/References!$F$78))</f>
        <v>0.62648563334225005</v>
      </c>
      <c r="W40" s="122">
        <f t="shared" ca="1" si="42"/>
        <v>0</v>
      </c>
    </row>
    <row r="41" spans="1:23" s="86" customFormat="1" ht="13.5" customHeight="1">
      <c r="A41" s="98" t="s">
        <v>122</v>
      </c>
      <c r="B41" s="98" t="s">
        <v>123</v>
      </c>
      <c r="D41" s="232"/>
      <c r="E41" s="115">
        <f>INDEX([33]Regulated!$D:$D,MATCH(A41,[33]Regulated!$A:$A,0))</f>
        <v>2415.9820702473889</v>
      </c>
      <c r="G41" s="100">
        <f>+References!C13</f>
        <v>2.17</v>
      </c>
      <c r="H41" s="110">
        <f t="shared" si="33"/>
        <v>5242.6810924368338</v>
      </c>
      <c r="I41" s="86">
        <f>+References!C38</f>
        <v>250</v>
      </c>
      <c r="J41" s="87">
        <f t="shared" si="34"/>
        <v>1310670.2731092083</v>
      </c>
      <c r="K41" s="87">
        <f t="shared" si="35"/>
        <v>994719.86768789904</v>
      </c>
      <c r="L41" s="99">
        <f ca="1">+K41*References!$D$69</f>
        <v>3212.9451726319176</v>
      </c>
      <c r="M41" s="99">
        <f ca="1">+L41/References!$F$78</f>
        <v>3284.4643846067293</v>
      </c>
      <c r="N41" s="99">
        <f t="shared" ca="1" si="41"/>
        <v>0.62648563334225005</v>
      </c>
      <c r="O41" s="99">
        <f>+'Proposed Rates'!B84</f>
        <v>27.08</v>
      </c>
      <c r="P41" s="99">
        <f t="shared" ca="1" si="36"/>
        <v>27.706485633342247</v>
      </c>
      <c r="Q41" s="99">
        <f ca="1">+'Proposed Rates'!H84</f>
        <v>27.706485633342247</v>
      </c>
      <c r="R41" s="99">
        <f t="shared" si="37"/>
        <v>141971.80398318946</v>
      </c>
      <c r="S41" s="99">
        <f t="shared" ca="1" si="38"/>
        <v>145256.26836779618</v>
      </c>
      <c r="T41" s="99">
        <f t="shared" ca="1" si="39"/>
        <v>3284.4643846067192</v>
      </c>
      <c r="U41" s="99" t="str">
        <f t="shared" ca="1" si="8"/>
        <v xml:space="preserve"> </v>
      </c>
      <c r="V41" s="100">
        <f ca="1">((I41*$H$114)*(References!$D$69/References!$F$78))</f>
        <v>0.62648563334225005</v>
      </c>
      <c r="W41" s="122">
        <f t="shared" ca="1" si="42"/>
        <v>0</v>
      </c>
    </row>
    <row r="42" spans="1:23" s="113" customFormat="1" ht="13.5" customHeight="1">
      <c r="A42" s="112" t="s">
        <v>124</v>
      </c>
      <c r="B42" s="112" t="s">
        <v>125</v>
      </c>
      <c r="D42" s="232"/>
      <c r="E42" s="115">
        <f>INDEX([33]Regulated!$D:$D,MATCH(A42,[33]Regulated!$A:$A,0))</f>
        <v>6124.9531973661769</v>
      </c>
      <c r="G42" s="116">
        <f>+References!C12</f>
        <v>4.33</v>
      </c>
      <c r="H42" s="110">
        <f t="shared" si="33"/>
        <v>26521.047344595547</v>
      </c>
      <c r="I42" s="113">
        <f>+References!C39</f>
        <v>324</v>
      </c>
      <c r="J42" s="115">
        <f t="shared" si="34"/>
        <v>8592819.3396489564</v>
      </c>
      <c r="K42" s="115">
        <f t="shared" si="35"/>
        <v>6521432.8057697816</v>
      </c>
      <c r="L42" s="114">
        <f ca="1">+K42*References!$D$69</f>
        <v>21064.227962636418</v>
      </c>
      <c r="M42" s="114">
        <f ca="1">+L42/References!$F$78</f>
        <v>21533.111464782047</v>
      </c>
      <c r="N42" s="99">
        <f t="shared" ca="1" si="41"/>
        <v>0.81192538081155607</v>
      </c>
      <c r="O42" s="114">
        <f>+'Proposed Rates'!$B$85</f>
        <v>32.35</v>
      </c>
      <c r="P42" s="114">
        <f t="shared" ca="1" si="36"/>
        <v>33.16192538081156</v>
      </c>
      <c r="Q42" s="114">
        <f ca="1">+'Proposed Rates'!$H$85</f>
        <v>33.16192538081156</v>
      </c>
      <c r="R42" s="114">
        <f t="shared" si="37"/>
        <v>857955.88159766595</v>
      </c>
      <c r="S42" s="114">
        <f t="shared" ca="1" si="38"/>
        <v>879488.99306244811</v>
      </c>
      <c r="T42" s="114">
        <f t="shared" ca="1" si="39"/>
        <v>21533.111464782152</v>
      </c>
      <c r="U42" s="99" t="str">
        <f t="shared" ca="1" si="8"/>
        <v xml:space="preserve"> </v>
      </c>
      <c r="V42" s="100">
        <f ca="1">((I42*$H$114)*(References!$D$69/References!$F$78))</f>
        <v>0.81192538081155607</v>
      </c>
      <c r="W42" s="122">
        <f t="shared" ca="1" si="42"/>
        <v>0</v>
      </c>
    </row>
    <row r="43" spans="1:23" s="86" customFormat="1" ht="13.5" customHeight="1">
      <c r="A43" s="98" t="s">
        <v>126</v>
      </c>
      <c r="B43" s="98" t="s">
        <v>127</v>
      </c>
      <c r="D43" s="232"/>
      <c r="E43" s="115">
        <f>INDEX([33]Regulated!$D:$D,MATCH(A43,[33]Regulated!$A:$A,0))</f>
        <v>548.92209537758583</v>
      </c>
      <c r="G43" s="100">
        <f>+References!C11</f>
        <v>8.66</v>
      </c>
      <c r="H43" s="110">
        <f t="shared" si="33"/>
        <v>4753.6653459698937</v>
      </c>
      <c r="I43" s="86">
        <f>+References!C39</f>
        <v>324</v>
      </c>
      <c r="J43" s="87">
        <f t="shared" si="34"/>
        <v>1540187.5720942456</v>
      </c>
      <c r="K43" s="87">
        <f t="shared" si="35"/>
        <v>1168909.6864108702</v>
      </c>
      <c r="L43" s="99">
        <f ca="1">+K43*References!$D$69</f>
        <v>3775.5782871071151</v>
      </c>
      <c r="M43" s="99">
        <f ca="1">+L43/References!$F$78</f>
        <v>3859.6215462773034</v>
      </c>
      <c r="N43" s="99">
        <f t="shared" ca="1" si="41"/>
        <v>0.81192538081155607</v>
      </c>
      <c r="O43" s="99">
        <f>+'Proposed Rates'!$B$85</f>
        <v>32.35</v>
      </c>
      <c r="P43" s="99">
        <f t="shared" ca="1" si="36"/>
        <v>33.16192538081156</v>
      </c>
      <c r="Q43" s="99">
        <f ca="1">+'Proposed Rates'!$H$85</f>
        <v>33.16192538081156</v>
      </c>
      <c r="R43" s="99">
        <f t="shared" si="37"/>
        <v>153781.07394212607</v>
      </c>
      <c r="S43" s="99">
        <f t="shared" ca="1" si="38"/>
        <v>157640.69548840338</v>
      </c>
      <c r="T43" s="99">
        <f t="shared" ca="1" si="39"/>
        <v>3859.6215462773107</v>
      </c>
      <c r="U43" s="99" t="str">
        <f t="shared" ca="1" si="8"/>
        <v xml:space="preserve"> </v>
      </c>
      <c r="V43" s="100">
        <f ca="1">((I43*$H$114)*(References!$D$69/References!$F$78))</f>
        <v>0.81192538081155607</v>
      </c>
      <c r="W43" s="122">
        <f t="shared" ca="1" si="42"/>
        <v>0</v>
      </c>
    </row>
    <row r="44" spans="1:23" s="86" customFormat="1" ht="13.5" customHeight="1">
      <c r="A44" s="98" t="s">
        <v>128</v>
      </c>
      <c r="B44" s="98" t="s">
        <v>129</v>
      </c>
      <c r="D44" s="232"/>
      <c r="E44" s="115">
        <f>INDEX([33]Regulated!$D:$D,MATCH(A44,[33]Regulated!$A:$A,0))</f>
        <v>71.79250041230874</v>
      </c>
      <c r="G44" s="100">
        <f>+References!C10</f>
        <v>12.99</v>
      </c>
      <c r="H44" s="110">
        <f t="shared" si="33"/>
        <v>932.58458035589058</v>
      </c>
      <c r="I44" s="86">
        <f>+References!C39</f>
        <v>324</v>
      </c>
      <c r="J44" s="87">
        <f t="shared" si="34"/>
        <v>302157.40403530857</v>
      </c>
      <c r="K44" s="87">
        <f t="shared" si="35"/>
        <v>229319.28733679123</v>
      </c>
      <c r="L44" s="99">
        <f ca="1">+K44*References!$D$69</f>
        <v>740.70129809783646</v>
      </c>
      <c r="M44" s="99">
        <f ca="1">+L44/References!$F$78</f>
        <v>757.18909054444168</v>
      </c>
      <c r="N44" s="99">
        <f t="shared" ca="1" si="41"/>
        <v>0.81192538081155607</v>
      </c>
      <c r="O44" s="99">
        <f>+'Proposed Rates'!$B$85</f>
        <v>32.35</v>
      </c>
      <c r="P44" s="99">
        <f t="shared" ca="1" si="36"/>
        <v>33.16192538081156</v>
      </c>
      <c r="Q44" s="99">
        <f ca="1">+'Proposed Rates'!$H$85</f>
        <v>33.16192538081156</v>
      </c>
      <c r="R44" s="99">
        <f t="shared" si="37"/>
        <v>30169.111174513062</v>
      </c>
      <c r="S44" s="99">
        <f t="shared" ca="1" si="38"/>
        <v>30926.300265057504</v>
      </c>
      <c r="T44" s="99">
        <f t="shared" ca="1" si="39"/>
        <v>757.18909054444157</v>
      </c>
      <c r="U44" s="99" t="str">
        <f t="shared" ca="1" si="8"/>
        <v xml:space="preserve"> </v>
      </c>
      <c r="V44" s="100">
        <f ca="1">((I44*$H$114)*(References!$D$69/References!$F$78))</f>
        <v>0.81192538081155607</v>
      </c>
      <c r="W44" s="122">
        <f t="shared" ca="1" si="42"/>
        <v>0</v>
      </c>
    </row>
    <row r="45" spans="1:23" s="86" customFormat="1" ht="13.5" customHeight="1">
      <c r="A45" s="98" t="s">
        <v>130</v>
      </c>
      <c r="B45" s="98" t="s">
        <v>131</v>
      </c>
      <c r="D45" s="232"/>
      <c r="E45" s="115">
        <f>INDEX([33]Regulated!$D:$D,MATCH(A45,[33]Regulated!$A:$A,0))</f>
        <v>12.052469510959847</v>
      </c>
      <c r="G45" s="100">
        <f>+References!C9</f>
        <v>17.32</v>
      </c>
      <c r="H45" s="101">
        <f t="shared" si="33"/>
        <v>208.74877192982456</v>
      </c>
      <c r="I45" s="86">
        <f>+References!C39</f>
        <v>324</v>
      </c>
      <c r="J45" s="87">
        <f t="shared" si="34"/>
        <v>67634.602105263155</v>
      </c>
      <c r="K45" s="87">
        <f t="shared" si="35"/>
        <v>51330.593084768421</v>
      </c>
      <c r="L45" s="99">
        <f ca="1">+K45*References!$D$69</f>
        <v>165.7978156638022</v>
      </c>
      <c r="M45" s="99">
        <f ca="1">+L45/References!$F$78</f>
        <v>169.4884261430675</v>
      </c>
      <c r="N45" s="99">
        <f t="shared" ca="1" si="41"/>
        <v>0.81192538081155619</v>
      </c>
      <c r="O45" s="99">
        <f>+'Proposed Rates'!$B$85</f>
        <v>32.35</v>
      </c>
      <c r="P45" s="99">
        <f t="shared" ca="1" si="36"/>
        <v>33.16192538081156</v>
      </c>
      <c r="Q45" s="99">
        <f ca="1">+'Proposed Rates'!$H$85</f>
        <v>33.16192538081156</v>
      </c>
      <c r="R45" s="99">
        <f t="shared" si="37"/>
        <v>6753.0227719298246</v>
      </c>
      <c r="S45" s="99">
        <f t="shared" ca="1" si="38"/>
        <v>6922.5111980728934</v>
      </c>
      <c r="T45" s="99">
        <f t="shared" ca="1" si="39"/>
        <v>169.48842614306886</v>
      </c>
      <c r="U45" s="99" t="str">
        <f t="shared" ca="1" si="8"/>
        <v xml:space="preserve"> </v>
      </c>
      <c r="V45" s="100">
        <f ca="1">((I45*$H$114)*(References!$D$69/References!$F$78))</f>
        <v>0.81192538081155607</v>
      </c>
      <c r="W45" s="122">
        <f t="shared" ca="1" si="42"/>
        <v>0</v>
      </c>
    </row>
    <row r="46" spans="1:23" s="86" customFormat="1" ht="13.5" customHeight="1">
      <c r="A46" s="85" t="s">
        <v>132</v>
      </c>
      <c r="B46" s="98" t="s">
        <v>133</v>
      </c>
      <c r="D46" s="232"/>
      <c r="E46" s="115">
        <f>INDEX([33]Regulated!$D:$D,MATCH(A46,[33]Regulated!$A:$A,0))</f>
        <v>12.052428569113333</v>
      </c>
      <c r="G46" s="100">
        <f>+References!C8</f>
        <v>21.65</v>
      </c>
      <c r="H46" s="101">
        <f t="shared" si="33"/>
        <v>260.93507852130364</v>
      </c>
      <c r="I46" s="86">
        <f>+References!C39</f>
        <v>324</v>
      </c>
      <c r="J46" s="87">
        <f t="shared" si="34"/>
        <v>84542.965440902379</v>
      </c>
      <c r="K46" s="87">
        <f t="shared" si="35"/>
        <v>64163.023395518714</v>
      </c>
      <c r="L46" s="99">
        <f ca="1">+K46*References!$D$69</f>
        <v>207.24656556752569</v>
      </c>
      <c r="M46" s="99">
        <f ca="1">+L46/References!$F$78</f>
        <v>211.85981299550275</v>
      </c>
      <c r="N46" s="99">
        <f t="shared" ca="1" si="41"/>
        <v>0.81192538081155607</v>
      </c>
      <c r="O46" s="99">
        <f>+'Proposed Rates'!$B$85</f>
        <v>32.35</v>
      </c>
      <c r="P46" s="99">
        <f t="shared" ca="1" si="36"/>
        <v>33.16192538081156</v>
      </c>
      <c r="Q46" s="99">
        <f ca="1">+'Proposed Rates'!$H$85</f>
        <v>33.16192538081156</v>
      </c>
      <c r="R46" s="99">
        <f t="shared" si="37"/>
        <v>8441.2497901641727</v>
      </c>
      <c r="S46" s="99">
        <f t="shared" ca="1" si="38"/>
        <v>8653.1096031596771</v>
      </c>
      <c r="T46" s="99">
        <f t="shared" ca="1" si="39"/>
        <v>211.8598129955044</v>
      </c>
      <c r="U46" s="99" t="str">
        <f t="shared" ca="1" si="8"/>
        <v xml:space="preserve"> </v>
      </c>
      <c r="V46" s="100">
        <f ca="1">((I46*$H$114)*(References!$D$69/References!$F$78))</f>
        <v>0.81192538081155607</v>
      </c>
      <c r="W46" s="122">
        <f t="shared" ca="1" si="42"/>
        <v>0</v>
      </c>
    </row>
    <row r="47" spans="1:23" s="86" customFormat="1" ht="13.5" customHeight="1">
      <c r="A47" s="98" t="s">
        <v>134</v>
      </c>
      <c r="B47" s="98" t="s">
        <v>135</v>
      </c>
      <c r="D47" s="232"/>
      <c r="E47" s="115">
        <f>INDEX([33]Regulated!$D:$D,MATCH(A47,[33]Regulated!$A:$A,0))</f>
        <v>4816.224879453267</v>
      </c>
      <c r="G47" s="100">
        <f>+References!C13</f>
        <v>2.17</v>
      </c>
      <c r="H47" s="101">
        <f t="shared" si="33"/>
        <v>10451.207988413589</v>
      </c>
      <c r="I47" s="86">
        <f>+References!C39</f>
        <v>324</v>
      </c>
      <c r="J47" s="87">
        <f t="shared" si="34"/>
        <v>3386191.3882460031</v>
      </c>
      <c r="K47" s="87">
        <f t="shared" si="35"/>
        <v>2569915.4995646346</v>
      </c>
      <c r="L47" s="99">
        <f ca="1">+K47*References!$D$69</f>
        <v>8300.8270635937788</v>
      </c>
      <c r="M47" s="99">
        <f ca="1">+L47/References!$F$78</f>
        <v>8485.6010259334798</v>
      </c>
      <c r="N47" s="99">
        <f t="shared" ca="1" si="41"/>
        <v>0.81192538081155607</v>
      </c>
      <c r="O47" s="99">
        <f>+'Proposed Rates'!B85</f>
        <v>32.35</v>
      </c>
      <c r="P47" s="99">
        <f t="shared" ca="1" si="36"/>
        <v>33.16192538081156</v>
      </c>
      <c r="Q47" s="99">
        <f ca="1">+'Proposed Rates'!H85</f>
        <v>33.16192538081156</v>
      </c>
      <c r="R47" s="99">
        <f t="shared" si="37"/>
        <v>338096.57842517964</v>
      </c>
      <c r="S47" s="99">
        <f t="shared" ca="1" si="38"/>
        <v>346582.1794511131</v>
      </c>
      <c r="T47" s="99">
        <f t="shared" ca="1" si="39"/>
        <v>8485.601025933458</v>
      </c>
      <c r="U47" s="99" t="str">
        <f t="shared" ca="1" si="8"/>
        <v xml:space="preserve"> </v>
      </c>
      <c r="V47" s="100">
        <f ca="1">((I47*$H$114)*(References!$D$69/References!$F$78))</f>
        <v>0.81192538081155607</v>
      </c>
      <c r="W47" s="122">
        <f t="shared" ca="1" si="42"/>
        <v>0</v>
      </c>
    </row>
    <row r="48" spans="1:23" s="113" customFormat="1" ht="13.5" customHeight="1">
      <c r="A48" s="112" t="s">
        <v>136</v>
      </c>
      <c r="B48" s="112" t="s">
        <v>137</v>
      </c>
      <c r="D48" s="232"/>
      <c r="E48" s="115">
        <f>INDEX([33]Regulated!$D:$D,MATCH(A48,[33]Regulated!$A:$A,0))</f>
        <v>2275.4968206974927</v>
      </c>
      <c r="G48" s="116">
        <f>+References!C12</f>
        <v>4.33</v>
      </c>
      <c r="H48" s="110">
        <f t="shared" si="33"/>
        <v>9852.9012336201431</v>
      </c>
      <c r="I48" s="113">
        <f>+References!C40</f>
        <v>473</v>
      </c>
      <c r="J48" s="115">
        <f t="shared" si="34"/>
        <v>4660422.2835023273</v>
      </c>
      <c r="K48" s="115">
        <f t="shared" si="35"/>
        <v>3536980.0722022657</v>
      </c>
      <c r="L48" s="114">
        <f ca="1">+K48*References!$D$69</f>
        <v>11424.445633213332</v>
      </c>
      <c r="M48" s="114">
        <f ca="1">+L48/References!$F$78</f>
        <v>11678.750423689164</v>
      </c>
      <c r="N48" s="99">
        <f t="shared" ca="1" si="41"/>
        <v>1.185310818283537</v>
      </c>
      <c r="O48" s="114">
        <f>+'Proposed Rates'!$B$86</f>
        <v>45.19</v>
      </c>
      <c r="P48" s="114">
        <f t="shared" ca="1" si="36"/>
        <v>46.375310818283538</v>
      </c>
      <c r="Q48" s="114">
        <f ca="1">+'Proposed Rates'!$H$86</f>
        <v>46.375310818283538</v>
      </c>
      <c r="R48" s="114">
        <f t="shared" si="37"/>
        <v>445252.60674729425</v>
      </c>
      <c r="S48" s="114">
        <f t="shared" ca="1" si="38"/>
        <v>456931.35717098351</v>
      </c>
      <c r="T48" s="114">
        <f t="shared" ca="1" si="39"/>
        <v>11678.750423689256</v>
      </c>
      <c r="U48" s="99" t="str">
        <f t="shared" ca="1" si="8"/>
        <v xml:space="preserve"> </v>
      </c>
      <c r="V48" s="100">
        <f ca="1">((I48*$H$114)*(References!$D$69/References!$F$78))</f>
        <v>1.1853108182835372</v>
      </c>
      <c r="W48" s="122">
        <f t="shared" ca="1" si="42"/>
        <v>0</v>
      </c>
    </row>
    <row r="49" spans="1:23" s="86" customFormat="1" ht="13.5" customHeight="1">
      <c r="A49" s="98" t="s">
        <v>138</v>
      </c>
      <c r="B49" s="98" t="s">
        <v>139</v>
      </c>
      <c r="D49" s="232"/>
      <c r="E49" s="115">
        <f>INDEX([33]Regulated!$D:$D,MATCH(A49,[33]Regulated!$A:$A,0))</f>
        <v>665.85965212963697</v>
      </c>
      <c r="G49" s="100">
        <f>+References!C11</f>
        <v>8.66</v>
      </c>
      <c r="H49" s="101">
        <f t="shared" si="33"/>
        <v>5766.3445874426561</v>
      </c>
      <c r="I49" s="86">
        <f>+References!C40</f>
        <v>473</v>
      </c>
      <c r="J49" s="87">
        <f t="shared" si="34"/>
        <v>2727480.9898603763</v>
      </c>
      <c r="K49" s="87">
        <f t="shared" si="35"/>
        <v>2069993.9450973668</v>
      </c>
      <c r="L49" s="99">
        <f ca="1">+K49*References!$D$69</f>
        <v>6686.0804426645027</v>
      </c>
      <c r="M49" s="99">
        <f ca="1">+L49/References!$F$78</f>
        <v>6834.9106214465</v>
      </c>
      <c r="N49" s="99">
        <f t="shared" ca="1" si="41"/>
        <v>1.1853108182835372</v>
      </c>
      <c r="O49" s="99">
        <f>+'Proposed Rates'!$B$86</f>
        <v>45.19</v>
      </c>
      <c r="P49" s="99">
        <f t="shared" ca="1" si="36"/>
        <v>46.375310818283538</v>
      </c>
      <c r="Q49" s="99">
        <f ca="1">+'Proposed Rates'!$H$86</f>
        <v>46.375310818283538</v>
      </c>
      <c r="R49" s="99">
        <f t="shared" si="37"/>
        <v>260581.11190653362</v>
      </c>
      <c r="S49" s="99">
        <f t="shared" ca="1" si="38"/>
        <v>267416.02252798015</v>
      </c>
      <c r="T49" s="99">
        <f t="shared" ca="1" si="39"/>
        <v>6834.9106214465282</v>
      </c>
      <c r="U49" s="99" t="str">
        <f t="shared" ca="1" si="8"/>
        <v xml:space="preserve"> </v>
      </c>
      <c r="V49" s="100">
        <f ca="1">((I49*$H$114)*(References!$D$69/References!$F$78))</f>
        <v>1.1853108182835372</v>
      </c>
      <c r="W49" s="122">
        <f t="shared" ca="1" si="42"/>
        <v>0</v>
      </c>
    </row>
    <row r="50" spans="1:23" s="232" customFormat="1" ht="13.5" customHeight="1">
      <c r="A50" s="231" t="s">
        <v>317</v>
      </c>
      <c r="B50" s="231" t="s">
        <v>139</v>
      </c>
      <c r="E50" s="115">
        <f>INDEX([33]Regulated!$D:$D,MATCH(A50,[33]Regulated!$A:$A,0))</f>
        <v>6.9677091565992999</v>
      </c>
      <c r="G50" s="233">
        <f>+References!C11</f>
        <v>8.66</v>
      </c>
      <c r="H50" s="234">
        <f t="shared" ref="H50" si="43">+E50*G50</f>
        <v>60.340361296149936</v>
      </c>
      <c r="I50" s="232">
        <f>+References!C40</f>
        <v>473</v>
      </c>
      <c r="J50" s="115">
        <f t="shared" ref="J50" si="44">+H50*I50</f>
        <v>28540.990893078921</v>
      </c>
      <c r="K50" s="115">
        <f t="shared" si="35"/>
        <v>21660.894633321284</v>
      </c>
      <c r="L50" s="114">
        <f ca="1">+K50*References!$D$69</f>
        <v>69.96468966562783</v>
      </c>
      <c r="M50" s="114">
        <f ca="1">+L50/References!$F$78</f>
        <v>71.52208302346375</v>
      </c>
      <c r="N50" s="114">
        <f ca="1">IFERROR(+M50/H50,0)</f>
        <v>1.185310818283537</v>
      </c>
      <c r="O50" s="114">
        <f>+'Proposed Rates'!$B$86</f>
        <v>45.19</v>
      </c>
      <c r="P50" s="114">
        <f t="shared" ref="P50" ca="1" si="45">+O50+N50</f>
        <v>46.375310818283538</v>
      </c>
      <c r="Q50" s="114">
        <f ca="1">+'Proposed Rates'!$H$86</f>
        <v>46.375310818283538</v>
      </c>
      <c r="R50" s="114">
        <f t="shared" ref="R50" si="46">+E50*O50*G50</f>
        <v>2726.7809269730155</v>
      </c>
      <c r="S50" s="114">
        <f t="shared" ref="S50" ca="1" si="47">+E50*P50*G50</f>
        <v>2798.3030099964794</v>
      </c>
      <c r="T50" s="114">
        <f t="shared" ref="T50" ca="1" si="48">+S50-R50</f>
        <v>71.522083023463892</v>
      </c>
      <c r="U50" s="114" t="str">
        <f t="shared" ca="1" si="8"/>
        <v xml:space="preserve"> </v>
      </c>
      <c r="V50" s="100">
        <f ca="1">((I50*$H$114)*(References!$D$69/References!$F$78))</f>
        <v>1.1853108182835372</v>
      </c>
      <c r="W50" s="122">
        <f t="shared" ca="1" si="42"/>
        <v>0</v>
      </c>
    </row>
    <row r="51" spans="1:23" s="86" customFormat="1" ht="13.5" customHeight="1">
      <c r="A51" s="98" t="s">
        <v>140</v>
      </c>
      <c r="B51" s="98" t="s">
        <v>141</v>
      </c>
      <c r="D51" s="232"/>
      <c r="E51" s="115">
        <f>INDEX([33]Regulated!$D:$D,MATCH(A51,[33]Regulated!$A:$A,0))</f>
        <v>159.44137033857069</v>
      </c>
      <c r="G51" s="100">
        <f>+References!C10</f>
        <v>12.99</v>
      </c>
      <c r="H51" s="101">
        <f t="shared" si="33"/>
        <v>2071.1434006980335</v>
      </c>
      <c r="I51" s="86">
        <f>+References!C40</f>
        <v>473</v>
      </c>
      <c r="J51" s="87">
        <f t="shared" si="34"/>
        <v>979650.82853016979</v>
      </c>
      <c r="K51" s="87">
        <f t="shared" si="35"/>
        <v>743496.0283521096</v>
      </c>
      <c r="L51" s="99">
        <f ca="1">+K51*References!$D$69</f>
        <v>2401.4921715773166</v>
      </c>
      <c r="M51" s="99">
        <f ca="1">+L51/References!$F$78</f>
        <v>2454.9486790639339</v>
      </c>
      <c r="N51" s="99">
        <f t="shared" ca="1" si="41"/>
        <v>1.1853108182835372</v>
      </c>
      <c r="O51" s="99">
        <f>+'Proposed Rates'!$B$86</f>
        <v>45.19</v>
      </c>
      <c r="P51" s="99">
        <f t="shared" ca="1" si="36"/>
        <v>46.375310818283538</v>
      </c>
      <c r="Q51" s="99">
        <f ca="1">+'Proposed Rates'!$H$86</f>
        <v>46.375310818283538</v>
      </c>
      <c r="R51" s="99">
        <f t="shared" si="37"/>
        <v>93594.970277544126</v>
      </c>
      <c r="S51" s="99">
        <f t="shared" ca="1" si="38"/>
        <v>96049.91895660806</v>
      </c>
      <c r="T51" s="99">
        <f t="shared" ca="1" si="39"/>
        <v>2454.9486790639348</v>
      </c>
      <c r="U51" s="99" t="str">
        <f t="shared" ca="1" si="8"/>
        <v xml:space="preserve"> </v>
      </c>
      <c r="V51" s="100">
        <f ca="1">((I51*$H$114)*(References!$D$69/References!$F$78))</f>
        <v>1.1853108182835372</v>
      </c>
      <c r="W51" s="122">
        <f t="shared" ca="1" si="42"/>
        <v>0</v>
      </c>
    </row>
    <row r="52" spans="1:23" s="86" customFormat="1" ht="13.5" customHeight="1">
      <c r="A52" s="98" t="s">
        <v>142</v>
      </c>
      <c r="B52" s="98" t="s">
        <v>143</v>
      </c>
      <c r="D52" s="232"/>
      <c r="E52" s="115">
        <f>INDEX([33]Regulated!$D:$D,MATCH(A52,[33]Regulated!$A:$A,0))</f>
        <v>15.086503432560706</v>
      </c>
      <c r="G52" s="100">
        <f>+References!C9</f>
        <v>17.32</v>
      </c>
      <c r="H52" s="101">
        <f t="shared" si="33"/>
        <v>261.29823945195142</v>
      </c>
      <c r="I52" s="86">
        <f>+References!C40</f>
        <v>473</v>
      </c>
      <c r="J52" s="87">
        <f t="shared" si="34"/>
        <v>123594.06726077302</v>
      </c>
      <c r="K52" s="87">
        <f t="shared" si="35"/>
        <v>93800.459776203104</v>
      </c>
      <c r="L52" s="99">
        <f ca="1">+K52*References!$D$69</f>
        <v>302.9754850771364</v>
      </c>
      <c r="M52" s="99">
        <f ca="1">+L52/References!$F$78</f>
        <v>309.71963002084021</v>
      </c>
      <c r="N52" s="99">
        <f t="shared" ca="1" si="41"/>
        <v>1.1853108182835372</v>
      </c>
      <c r="O52" s="99">
        <f>+'Proposed Rates'!$B$86</f>
        <v>45.19</v>
      </c>
      <c r="P52" s="99">
        <f t="shared" ca="1" si="36"/>
        <v>46.375310818283538</v>
      </c>
      <c r="Q52" s="99">
        <f ca="1">+'Proposed Rates'!$H$86</f>
        <v>46.375310818283538</v>
      </c>
      <c r="R52" s="99">
        <f t="shared" si="37"/>
        <v>11808.067440833685</v>
      </c>
      <c r="S52" s="99">
        <f t="shared" ca="1" si="38"/>
        <v>12117.787070854525</v>
      </c>
      <c r="T52" s="99">
        <f t="shared" ca="1" si="39"/>
        <v>309.71963002083976</v>
      </c>
      <c r="U52" s="99" t="str">
        <f t="shared" ca="1" si="8"/>
        <v xml:space="preserve"> </v>
      </c>
      <c r="V52" s="100">
        <f ca="1">((I52*$H$114)*(References!$D$69/References!$F$78))</f>
        <v>1.1853108182835372</v>
      </c>
      <c r="W52" s="122">
        <f t="shared" ca="1" si="42"/>
        <v>0</v>
      </c>
    </row>
    <row r="53" spans="1:23" s="86" customFormat="1" ht="13.5" customHeight="1">
      <c r="A53" s="98" t="s">
        <v>144</v>
      </c>
      <c r="B53" s="98" t="s">
        <v>145</v>
      </c>
      <c r="D53" s="232"/>
      <c r="E53" s="115">
        <f>INDEX([33]Regulated!$D:$D,MATCH(A53,[33]Regulated!$A:$A,0))</f>
        <v>17.108099948910869</v>
      </c>
      <c r="G53" s="100">
        <f>+References!C8</f>
        <v>21.65</v>
      </c>
      <c r="H53" s="101">
        <f t="shared" si="33"/>
        <v>370.39036389392027</v>
      </c>
      <c r="I53" s="86">
        <f>+References!C40</f>
        <v>473</v>
      </c>
      <c r="J53" s="87">
        <f t="shared" si="34"/>
        <v>175194.64212182429</v>
      </c>
      <c r="K53" s="87">
        <f t="shared" si="35"/>
        <v>132962.19103042808</v>
      </c>
      <c r="L53" s="99">
        <f ca="1">+K53*References!$D$69</f>
        <v>429.46787702828317</v>
      </c>
      <c r="M53" s="99">
        <f ca="1">+L53/References!$F$78</f>
        <v>439.02770531143977</v>
      </c>
      <c r="N53" s="99">
        <f t="shared" ca="1" si="41"/>
        <v>1.1853108182835372</v>
      </c>
      <c r="O53" s="99">
        <f>+'Proposed Rates'!$B$86</f>
        <v>45.19</v>
      </c>
      <c r="P53" s="99">
        <f t="shared" ca="1" si="36"/>
        <v>46.375310818283538</v>
      </c>
      <c r="Q53" s="99">
        <f ca="1">+'Proposed Rates'!$H$86</f>
        <v>46.375310818283538</v>
      </c>
      <c r="R53" s="99">
        <f t="shared" si="37"/>
        <v>16737.940544366258</v>
      </c>
      <c r="S53" s="99">
        <f t="shared" ca="1" si="38"/>
        <v>17176.968249677699</v>
      </c>
      <c r="T53" s="99">
        <f t="shared" ca="1" si="39"/>
        <v>439.02770531144051</v>
      </c>
      <c r="U53" s="99" t="str">
        <f t="shared" ca="1" si="8"/>
        <v xml:space="preserve"> </v>
      </c>
      <c r="V53" s="100">
        <f ca="1">((I53*$H$114)*(References!$D$69/References!$F$78))</f>
        <v>1.1853108182835372</v>
      </c>
      <c r="W53" s="122">
        <f t="shared" ca="1" si="42"/>
        <v>0</v>
      </c>
    </row>
    <row r="54" spans="1:23" s="232" customFormat="1" ht="13.5" customHeight="1">
      <c r="A54" s="235" t="s">
        <v>409</v>
      </c>
      <c r="B54" s="235" t="s">
        <v>318</v>
      </c>
      <c r="E54" s="115">
        <f>INDEX([33]Regulated!$D:$D,MATCH(A54,[33]Regulated!$A:$A,0))</f>
        <v>12.054089097031389</v>
      </c>
      <c r="G54" s="109">
        <f>+References!C12*6</f>
        <v>25.98</v>
      </c>
      <c r="H54" s="234">
        <f t="shared" ref="H54" si="49">+E54*G54</f>
        <v>313.16523474087546</v>
      </c>
      <c r="I54" s="232">
        <f>+References!C40</f>
        <v>473</v>
      </c>
      <c r="J54" s="115">
        <f t="shared" ref="J54" si="50">+H54*I54</f>
        <v>148127.15603243408</v>
      </c>
      <c r="K54" s="115">
        <f t="shared" si="35"/>
        <v>112419.59787493436</v>
      </c>
      <c r="L54" s="114">
        <f ca="1">+K54*References!$D$69</f>
        <v>363.1153011360384</v>
      </c>
      <c r="M54" s="114">
        <f ca="1">+L54/References!$F$78</f>
        <v>371.19814064866301</v>
      </c>
      <c r="N54" s="114">
        <f t="shared" ref="N54" ca="1" si="51">IFERROR(+M54/H54,0)</f>
        <v>1.185310818283537</v>
      </c>
      <c r="O54" s="114">
        <f>+'Proposed Rates'!$B$86</f>
        <v>45.19</v>
      </c>
      <c r="P54" s="114">
        <f t="shared" ref="P54" ca="1" si="52">+O54+N54</f>
        <v>46.375310818283538</v>
      </c>
      <c r="Q54" s="114">
        <f ca="1">+'Proposed Rates'!$H$86</f>
        <v>46.375310818283538</v>
      </c>
      <c r="R54" s="114">
        <f t="shared" ref="R54" si="53">+E54*O54*G54</f>
        <v>14151.936957940163</v>
      </c>
      <c r="S54" s="114">
        <f t="shared" ref="S54" ca="1" si="54">+E54*P54*G54</f>
        <v>14523.135098588828</v>
      </c>
      <c r="T54" s="114">
        <f t="shared" ref="T54" ca="1" si="55">+S54-R54</f>
        <v>371.19814064866478</v>
      </c>
      <c r="U54" s="114" t="str">
        <f t="shared" ca="1" si="8"/>
        <v xml:space="preserve"> </v>
      </c>
      <c r="V54" s="100">
        <f ca="1">((I54*$H$114)*(References!$D$69/References!$F$78))</f>
        <v>1.1853108182835372</v>
      </c>
      <c r="W54" s="122">
        <f t="shared" ca="1" si="42"/>
        <v>0</v>
      </c>
    </row>
    <row r="55" spans="1:23" s="86" customFormat="1" ht="13.5" customHeight="1">
      <c r="A55" s="98" t="s">
        <v>146</v>
      </c>
      <c r="B55" s="98" t="s">
        <v>147</v>
      </c>
      <c r="D55" s="232"/>
      <c r="E55" s="115">
        <f>INDEX([33]Regulated!$D:$D,MATCH(A55,[33]Regulated!$A:$A,0))</f>
        <v>417.26720436005792</v>
      </c>
      <c r="G55" s="100">
        <f>+References!C13</f>
        <v>2.17</v>
      </c>
      <c r="H55" s="101">
        <f t="shared" si="33"/>
        <v>905.46983346132561</v>
      </c>
      <c r="I55" s="86">
        <f>+References!C40</f>
        <v>473</v>
      </c>
      <c r="J55" s="87">
        <f t="shared" si="34"/>
        <v>428287.231227207</v>
      </c>
      <c r="K55" s="87">
        <f t="shared" si="35"/>
        <v>325044.23631132924</v>
      </c>
      <c r="L55" s="99">
        <f ca="1">+K55*References!$D$69</f>
        <v>1049.8928832855947</v>
      </c>
      <c r="M55" s="99">
        <f ca="1">+L55/References!$F$78</f>
        <v>1073.2631892311019</v>
      </c>
      <c r="N55" s="99">
        <f t="shared" ca="1" si="41"/>
        <v>1.185310818283537</v>
      </c>
      <c r="O55" s="99">
        <f>+'Proposed Rates'!B86</f>
        <v>45.19</v>
      </c>
      <c r="P55" s="99">
        <f t="shared" ca="1" si="36"/>
        <v>46.375310818283538</v>
      </c>
      <c r="Q55" s="99">
        <f ca="1">+'Proposed Rates'!H86</f>
        <v>46.375310818283538</v>
      </c>
      <c r="R55" s="99">
        <f t="shared" si="37"/>
        <v>40918.181774117307</v>
      </c>
      <c r="S55" s="99">
        <f t="shared" ca="1" si="38"/>
        <v>41991.444963348411</v>
      </c>
      <c r="T55" s="99">
        <f t="shared" ca="1" si="39"/>
        <v>1073.2631892311038</v>
      </c>
      <c r="U55" s="99" t="str">
        <f t="shared" ca="1" si="8"/>
        <v xml:space="preserve"> </v>
      </c>
      <c r="V55" s="100">
        <f ca="1">((I55*$H$114)*(References!$D$69/References!$F$78))</f>
        <v>1.1853108182835372</v>
      </c>
      <c r="W55" s="122">
        <f t="shared" ca="1" si="42"/>
        <v>0</v>
      </c>
    </row>
    <row r="56" spans="1:23" s="113" customFormat="1" ht="13.5" customHeight="1">
      <c r="A56" s="112" t="s">
        <v>148</v>
      </c>
      <c r="B56" s="112" t="s">
        <v>149</v>
      </c>
      <c r="D56" s="232"/>
      <c r="E56" s="115">
        <f>INDEX([33]Regulated!$D:$D,MATCH(A56,[33]Regulated!$A:$A,0))</f>
        <v>2411.9176613535287</v>
      </c>
      <c r="G56" s="116">
        <f>+References!C12</f>
        <v>4.33</v>
      </c>
      <c r="H56" s="110">
        <f t="shared" si="33"/>
        <v>10443.60347366078</v>
      </c>
      <c r="I56" s="113">
        <f>+References!C41</f>
        <v>613</v>
      </c>
      <c r="J56" s="115">
        <f t="shared" si="34"/>
        <v>6401928.9293540576</v>
      </c>
      <c r="K56" s="115">
        <f t="shared" si="35"/>
        <v>4858678.8212169921</v>
      </c>
      <c r="L56" s="114">
        <f ca="1">+K56*References!$D$69</f>
        <v>15693.532592530903</v>
      </c>
      <c r="M56" s="114">
        <f ca="1">+L56/References!$F$78</f>
        <v>16042.865999673799</v>
      </c>
      <c r="N56" s="99">
        <f t="shared" ca="1" si="41"/>
        <v>1.5361427729551971</v>
      </c>
      <c r="O56" s="114">
        <f>+'Proposed Rates'!$B$87</f>
        <v>58.49</v>
      </c>
      <c r="P56" s="114">
        <f t="shared" ca="1" si="36"/>
        <v>60.026142772955197</v>
      </c>
      <c r="Q56" s="114">
        <f ca="1">+'Proposed Rates'!$H$87</f>
        <v>60.026142772955197</v>
      </c>
      <c r="R56" s="114">
        <f t="shared" si="37"/>
        <v>610846.36717441899</v>
      </c>
      <c r="S56" s="114">
        <f t="shared" ca="1" si="38"/>
        <v>626889.23317409283</v>
      </c>
      <c r="T56" s="114">
        <f t="shared" ca="1" si="39"/>
        <v>16042.865999673842</v>
      </c>
      <c r="U56" s="99" t="str">
        <f t="shared" ca="1" si="8"/>
        <v xml:space="preserve"> </v>
      </c>
      <c r="V56" s="100">
        <f ca="1">((I56*$H$114)*(References!$D$69/References!$F$78))</f>
        <v>1.5361427729551971</v>
      </c>
      <c r="W56" s="122">
        <f t="shared" ca="1" si="42"/>
        <v>0</v>
      </c>
    </row>
    <row r="57" spans="1:23" s="86" customFormat="1" ht="13.5" customHeight="1">
      <c r="A57" s="98" t="s">
        <v>150</v>
      </c>
      <c r="B57" s="98" t="s">
        <v>151</v>
      </c>
      <c r="D57" s="232"/>
      <c r="E57" s="115">
        <f>INDEX([33]Regulated!$D:$D,MATCH(A57,[33]Regulated!$A:$A,0))</f>
        <v>1397.5075524733015</v>
      </c>
      <c r="G57" s="100">
        <f>+References!C11</f>
        <v>8.66</v>
      </c>
      <c r="H57" s="101">
        <f t="shared" si="33"/>
        <v>12102.415404418791</v>
      </c>
      <c r="I57" s="86">
        <f>+References!C41</f>
        <v>613</v>
      </c>
      <c r="J57" s="87">
        <f t="shared" si="34"/>
        <v>7418780.6429087184</v>
      </c>
      <c r="K57" s="87">
        <f t="shared" si="35"/>
        <v>5630408.0827389145</v>
      </c>
      <c r="L57" s="99">
        <f ca="1">+K57*References!$D$69</f>
        <v>18186.218107246714</v>
      </c>
      <c r="M57" s="99">
        <f ca="1">+L57/References!$F$78</f>
        <v>18591.037958799574</v>
      </c>
      <c r="N57" s="99">
        <f t="shared" ca="1" si="41"/>
        <v>1.5361427729551971</v>
      </c>
      <c r="O57" s="99">
        <f>+'Proposed Rates'!$B$87</f>
        <v>58.49</v>
      </c>
      <c r="P57" s="99">
        <f t="shared" ca="1" si="36"/>
        <v>60.026142772955197</v>
      </c>
      <c r="Q57" s="99">
        <f ca="1">+'Proposed Rates'!$H$87</f>
        <v>60.026142772955197</v>
      </c>
      <c r="R57" s="99">
        <f t="shared" si="37"/>
        <v>707870.2770044551</v>
      </c>
      <c r="S57" s="99">
        <f t="shared" ca="1" si="38"/>
        <v>726461.31496325473</v>
      </c>
      <c r="T57" s="99">
        <f t="shared" ca="1" si="39"/>
        <v>18591.037958799629</v>
      </c>
      <c r="U57" s="99" t="str">
        <f t="shared" ca="1" si="8"/>
        <v xml:space="preserve"> </v>
      </c>
      <c r="V57" s="100">
        <f ca="1">((I57*$H$114)*(References!$D$69/References!$F$78))</f>
        <v>1.5361427729551971</v>
      </c>
      <c r="W57" s="122">
        <f t="shared" ca="1" si="42"/>
        <v>0</v>
      </c>
    </row>
    <row r="58" spans="1:23" s="86" customFormat="1" ht="13.5" customHeight="1">
      <c r="A58" s="98" t="s">
        <v>152</v>
      </c>
      <c r="B58" s="98" t="s">
        <v>153</v>
      </c>
      <c r="D58" s="232"/>
      <c r="E58" s="115">
        <f>INDEX([33]Regulated!$D:$D,MATCH(A58,[33]Regulated!$A:$A,0))</f>
        <v>417.40331004197725</v>
      </c>
      <c r="G58" s="100">
        <f>+References!C10</f>
        <v>12.99</v>
      </c>
      <c r="H58" s="101">
        <f t="shared" si="33"/>
        <v>5422.0689974452844</v>
      </c>
      <c r="I58" s="86">
        <f>+References!C41</f>
        <v>613</v>
      </c>
      <c r="J58" s="87">
        <f t="shared" si="34"/>
        <v>3323728.2954339595</v>
      </c>
      <c r="K58" s="87">
        <f t="shared" si="35"/>
        <v>2522509.7708377759</v>
      </c>
      <c r="L58" s="99">
        <f ca="1">+K58*References!$D$69</f>
        <v>8147.7065598060253</v>
      </c>
      <c r="M58" s="99">
        <f ca="1">+L58/References!$F$78</f>
        <v>8329.072104890005</v>
      </c>
      <c r="N58" s="99">
        <f t="shared" ca="1" si="41"/>
        <v>1.5361427729551971</v>
      </c>
      <c r="O58" s="99">
        <f>+'Proposed Rates'!$B$87</f>
        <v>58.49</v>
      </c>
      <c r="P58" s="99">
        <f t="shared" ca="1" si="36"/>
        <v>60.026142772955197</v>
      </c>
      <c r="Q58" s="99">
        <f ca="1">+'Proposed Rates'!$H$87</f>
        <v>60.026142772955197</v>
      </c>
      <c r="R58" s="99">
        <f t="shared" si="37"/>
        <v>317136.81566057471</v>
      </c>
      <c r="S58" s="99">
        <f t="shared" ca="1" si="38"/>
        <v>325465.88776546472</v>
      </c>
      <c r="T58" s="99">
        <f t="shared" ca="1" si="39"/>
        <v>8329.0721048900159</v>
      </c>
      <c r="U58" s="99" t="str">
        <f t="shared" ca="1" si="8"/>
        <v xml:space="preserve"> </v>
      </c>
      <c r="V58" s="100">
        <f ca="1">((I58*$H$114)*(References!$D$69/References!$F$78))</f>
        <v>1.5361427729551971</v>
      </c>
      <c r="W58" s="122">
        <f t="shared" ca="1" si="42"/>
        <v>0</v>
      </c>
    </row>
    <row r="59" spans="1:23" s="86" customFormat="1" ht="13.5" customHeight="1">
      <c r="A59" s="98" t="s">
        <v>154</v>
      </c>
      <c r="B59" s="98" t="s">
        <v>155</v>
      </c>
      <c r="D59" s="232"/>
      <c r="E59" s="115">
        <f>INDEX([33]Regulated!$D:$D,MATCH(A59,[33]Regulated!$A:$A,0))</f>
        <v>51.755391810504364</v>
      </c>
      <c r="G59" s="100">
        <f>+References!C9</f>
        <v>17.32</v>
      </c>
      <c r="H59" s="101">
        <f t="shared" si="33"/>
        <v>896.40338615793564</v>
      </c>
      <c r="I59" s="86">
        <f>+References!C41</f>
        <v>613</v>
      </c>
      <c r="J59" s="87">
        <f t="shared" si="34"/>
        <v>549495.27571481455</v>
      </c>
      <c r="K59" s="87">
        <f t="shared" si="35"/>
        <v>417033.84838165349</v>
      </c>
      <c r="L59" s="99">
        <f ca="1">+K59*References!$D$69</f>
        <v>1347.0193302727423</v>
      </c>
      <c r="M59" s="99">
        <f ca="1">+L59/References!$F$78</f>
        <v>1377.0035832990798</v>
      </c>
      <c r="N59" s="99">
        <f t="shared" ca="1" si="41"/>
        <v>1.5361427729551973</v>
      </c>
      <c r="O59" s="99">
        <f>+'Proposed Rates'!$B$87</f>
        <v>58.49</v>
      </c>
      <c r="P59" s="99">
        <f t="shared" ca="1" si="36"/>
        <v>60.026142772955197</v>
      </c>
      <c r="Q59" s="99">
        <f ca="1">+'Proposed Rates'!$H$87</f>
        <v>60.026142772955197</v>
      </c>
      <c r="R59" s="99">
        <f t="shared" si="37"/>
        <v>52430.634056377654</v>
      </c>
      <c r="S59" s="99">
        <f t="shared" ca="1" si="38"/>
        <v>53807.63763967673</v>
      </c>
      <c r="T59" s="99">
        <f t="shared" ca="1" si="39"/>
        <v>1377.0035832990761</v>
      </c>
      <c r="U59" s="99" t="str">
        <f t="shared" ca="1" si="8"/>
        <v xml:space="preserve"> </v>
      </c>
      <c r="V59" s="100">
        <f ca="1">((I59*$H$114)*(References!$D$69/References!$F$78))</f>
        <v>1.5361427729551971</v>
      </c>
      <c r="W59" s="122">
        <f t="shared" ca="1" si="42"/>
        <v>0</v>
      </c>
    </row>
    <row r="60" spans="1:23" s="86" customFormat="1" ht="13.5" customHeight="1">
      <c r="A60" s="98" t="s">
        <v>156</v>
      </c>
      <c r="B60" s="98" t="s">
        <v>157</v>
      </c>
      <c r="D60" s="232"/>
      <c r="E60" s="115">
        <f>INDEX([33]Regulated!$D:$D,MATCH(A60,[33]Regulated!$A:$A,0))</f>
        <v>36.162982037432485</v>
      </c>
      <c r="G60" s="100">
        <f>+References!C8</f>
        <v>21.65</v>
      </c>
      <c r="H60" s="101">
        <f t="shared" si="33"/>
        <v>782.92856111041328</v>
      </c>
      <c r="I60" s="86">
        <f>+References!C41</f>
        <v>613</v>
      </c>
      <c r="J60" s="87">
        <f t="shared" si="34"/>
        <v>479935.20796068333</v>
      </c>
      <c r="K60" s="87">
        <f t="shared" si="35"/>
        <v>364241.94273431652</v>
      </c>
      <c r="L60" s="99">
        <f ca="1">+K60*References!$D$69</f>
        <v>1176.5014750318437</v>
      </c>
      <c r="M60" s="99">
        <f ca="1">+L60/References!$F$78</f>
        <v>1202.6900508899728</v>
      </c>
      <c r="N60" s="99">
        <f t="shared" ca="1" si="41"/>
        <v>1.5361427729551971</v>
      </c>
      <c r="O60" s="99">
        <f>+'Proposed Rates'!$B$87</f>
        <v>58.49</v>
      </c>
      <c r="P60" s="99">
        <f t="shared" ca="1" si="36"/>
        <v>60.026142772955197</v>
      </c>
      <c r="Q60" s="99">
        <f ca="1">+'Proposed Rates'!$H$87</f>
        <v>60.026142772955197</v>
      </c>
      <c r="R60" s="99">
        <f t="shared" si="37"/>
        <v>45793.491539348077</v>
      </c>
      <c r="S60" s="99">
        <f t="shared" ca="1" si="38"/>
        <v>46996.18159023804</v>
      </c>
      <c r="T60" s="99">
        <f t="shared" ca="1" si="39"/>
        <v>1202.6900508899635</v>
      </c>
      <c r="U60" s="99" t="str">
        <f t="shared" ca="1" si="8"/>
        <v xml:space="preserve"> </v>
      </c>
      <c r="V60" s="100">
        <f ca="1">((I60*$H$114)*(References!$D$69/References!$F$78))</f>
        <v>1.5361427729551971</v>
      </c>
      <c r="W60" s="122">
        <f t="shared" ca="1" si="42"/>
        <v>0</v>
      </c>
    </row>
    <row r="61" spans="1:23" s="86" customFormat="1" ht="13.5" customHeight="1">
      <c r="A61" s="98" t="s">
        <v>158</v>
      </c>
      <c r="B61" s="98" t="s">
        <v>159</v>
      </c>
      <c r="D61" s="232"/>
      <c r="E61" s="115">
        <f>INDEX([33]Regulated!$D:$D,MATCH(A61,[33]Regulated!$A:$A,0))</f>
        <v>11.907546553413916</v>
      </c>
      <c r="G61" s="109">
        <f>+References!C12*6</f>
        <v>25.98</v>
      </c>
      <c r="H61" s="101">
        <f t="shared" si="33"/>
        <v>309.35805945769351</v>
      </c>
      <c r="I61" s="86">
        <f>+References!C41</f>
        <v>613</v>
      </c>
      <c r="J61" s="87">
        <f t="shared" si="34"/>
        <v>189636.49044756612</v>
      </c>
      <c r="K61" s="87">
        <f t="shared" si="35"/>
        <v>143922.68487124139</v>
      </c>
      <c r="L61" s="99">
        <f ca="1">+K61*References!$D$69</f>
        <v>464.87027213411022</v>
      </c>
      <c r="M61" s="99">
        <f ca="1">+L61/References!$F$78</f>
        <v>475.21814729138003</v>
      </c>
      <c r="N61" s="99">
        <f t="shared" ca="1" si="41"/>
        <v>1.5361427729551971</v>
      </c>
      <c r="O61" s="99">
        <f>+'Proposed Rates'!$B$87</f>
        <v>58.49</v>
      </c>
      <c r="P61" s="99">
        <f t="shared" ca="1" si="36"/>
        <v>60.026142772955197</v>
      </c>
      <c r="Q61" s="99">
        <f ca="1">+'Proposed Rates'!$H$87</f>
        <v>60.026142772955197</v>
      </c>
      <c r="R61" s="99">
        <f t="shared" si="37"/>
        <v>18094.352897680496</v>
      </c>
      <c r="S61" s="99">
        <f t="shared" ca="1" si="38"/>
        <v>18569.571044971875</v>
      </c>
      <c r="T61" s="99">
        <f t="shared" ca="1" si="39"/>
        <v>475.21814729137986</v>
      </c>
      <c r="U61" s="99" t="str">
        <f t="shared" ca="1" si="8"/>
        <v xml:space="preserve"> </v>
      </c>
      <c r="V61" s="100">
        <f ca="1">((I61*$H$114)*(References!$D$69/References!$F$78))</f>
        <v>1.5361427729551971</v>
      </c>
      <c r="W61" s="122">
        <f t="shared" ca="1" si="42"/>
        <v>0</v>
      </c>
    </row>
    <row r="62" spans="1:23" s="86" customFormat="1" ht="13.5" customHeight="1">
      <c r="A62" s="98" t="s">
        <v>160</v>
      </c>
      <c r="B62" s="98" t="s">
        <v>161</v>
      </c>
      <c r="D62" s="232"/>
      <c r="E62" s="115">
        <f>INDEX([33]Regulated!$D:$D,MATCH(A62,[33]Regulated!$A:$A,0))</f>
        <v>282.35349279695572</v>
      </c>
      <c r="G62" s="100">
        <f>+References!C13</f>
        <v>2.17</v>
      </c>
      <c r="H62" s="101">
        <f t="shared" si="33"/>
        <v>612.70707936939391</v>
      </c>
      <c r="I62" s="86">
        <f>+References!C41</f>
        <v>613</v>
      </c>
      <c r="J62" s="87">
        <f t="shared" si="34"/>
        <v>375589.43965343846</v>
      </c>
      <c r="K62" s="87">
        <f t="shared" si="35"/>
        <v>285049.78359718289</v>
      </c>
      <c r="L62" s="99">
        <f ca="1">+K62*References!$D$69</f>
        <v>920.71080101890175</v>
      </c>
      <c r="M62" s="99">
        <f ca="1">+L62/References!$F$78</f>
        <v>941.20555191178073</v>
      </c>
      <c r="N62" s="99">
        <f t="shared" ca="1" si="41"/>
        <v>1.5361427729551971</v>
      </c>
      <c r="O62" s="99">
        <f>+'Proposed Rates'!B87</f>
        <v>58.49</v>
      </c>
      <c r="P62" s="99">
        <f t="shared" ca="1" si="36"/>
        <v>60.026142772955197</v>
      </c>
      <c r="Q62" s="99">
        <f ca="1">+'Proposed Rates'!H87</f>
        <v>60.026142772955197</v>
      </c>
      <c r="R62" s="99">
        <f t="shared" si="37"/>
        <v>35837.237072315846</v>
      </c>
      <c r="S62" s="99">
        <f t="shared" ca="1" si="38"/>
        <v>36778.442624227631</v>
      </c>
      <c r="T62" s="99">
        <f t="shared" ca="1" si="39"/>
        <v>941.20555191178573</v>
      </c>
      <c r="U62" s="99" t="str">
        <f t="shared" ca="1" si="8"/>
        <v xml:space="preserve"> </v>
      </c>
      <c r="V62" s="100">
        <f ca="1">((I62*$H$114)*(References!$D$69/References!$F$78))</f>
        <v>1.5361427729551971</v>
      </c>
      <c r="W62" s="122">
        <f t="shared" ca="1" si="42"/>
        <v>0</v>
      </c>
    </row>
    <row r="63" spans="1:23" s="113" customFormat="1" ht="13.5" customHeight="1">
      <c r="A63" s="112" t="s">
        <v>162</v>
      </c>
      <c r="B63" s="112" t="s">
        <v>163</v>
      </c>
      <c r="D63" s="232"/>
      <c r="E63" s="115">
        <f>INDEX([33]Regulated!$D:$D,MATCH(A63,[33]Regulated!$A:$A,0))</f>
        <v>39.413979375182862</v>
      </c>
      <c r="G63" s="116">
        <f>+References!C12</f>
        <v>4.33</v>
      </c>
      <c r="H63" s="110">
        <f t="shared" si="33"/>
        <v>170.6625306945418</v>
      </c>
      <c r="I63" s="113">
        <f>+References!C42</f>
        <v>728</v>
      </c>
      <c r="J63" s="115">
        <f t="shared" si="34"/>
        <v>124242.32234562642</v>
      </c>
      <c r="K63" s="115">
        <f t="shared" si="35"/>
        <v>94292.446376848049</v>
      </c>
      <c r="L63" s="114">
        <f ca="1">+K63*References!$D$69</f>
        <v>304.56460179721955</v>
      </c>
      <c r="M63" s="114">
        <f ca="1">+L63/References!$F$78</f>
        <v>311.34412001044706</v>
      </c>
      <c r="N63" s="99">
        <f t="shared" ca="1" si="41"/>
        <v>1.8243261642926323</v>
      </c>
      <c r="O63" s="114">
        <f>+'Proposed Rates'!$B$88</f>
        <v>71.7</v>
      </c>
      <c r="P63" s="114">
        <f t="shared" ca="1" si="36"/>
        <v>73.524326164292631</v>
      </c>
      <c r="Q63" s="114">
        <f ca="1">+'Proposed Rates'!$H$88</f>
        <v>73.524326164292631</v>
      </c>
      <c r="R63" s="114">
        <f t="shared" si="37"/>
        <v>12236.503450798647</v>
      </c>
      <c r="S63" s="114">
        <f t="shared" ca="1" si="38"/>
        <v>12547.847570809094</v>
      </c>
      <c r="T63" s="114">
        <f t="shared" ca="1" si="39"/>
        <v>311.3441200104462</v>
      </c>
      <c r="U63" s="99" t="str">
        <f t="shared" ca="1" si="8"/>
        <v xml:space="preserve"> </v>
      </c>
      <c r="V63" s="100">
        <f ca="1">((I63*$H$114)*(References!$D$69/References!$F$78))</f>
        <v>1.8243261642926323</v>
      </c>
      <c r="W63" s="122">
        <f t="shared" ca="1" si="42"/>
        <v>0</v>
      </c>
    </row>
    <row r="64" spans="1:23" s="86" customFormat="1" ht="13.5" customHeight="1">
      <c r="A64" s="98" t="s">
        <v>164</v>
      </c>
      <c r="B64" s="98" t="s">
        <v>165</v>
      </c>
      <c r="D64" s="232"/>
      <c r="E64" s="115">
        <f>INDEX([33]Regulated!$D:$D,MATCH(A64,[33]Regulated!$A:$A,0))</f>
        <v>8.5521669341894064</v>
      </c>
      <c r="G64" s="100">
        <f>+References!C13</f>
        <v>2.17</v>
      </c>
      <c r="H64" s="101">
        <f t="shared" si="33"/>
        <v>18.558202247191012</v>
      </c>
      <c r="I64" s="86">
        <f>+References!C42</f>
        <v>728</v>
      </c>
      <c r="J64" s="87">
        <f t="shared" si="34"/>
        <v>13510.371235955057</v>
      </c>
      <c r="K64" s="87">
        <f t="shared" si="35"/>
        <v>10253.558781312069</v>
      </c>
      <c r="L64" s="99">
        <f ca="1">+K64*References!$D$69</f>
        <v>33.118994863638022</v>
      </c>
      <c r="M64" s="99">
        <f ca="1">+L64/References!$F$78</f>
        <v>33.856213921784885</v>
      </c>
      <c r="N64" s="99">
        <f t="shared" ca="1" si="41"/>
        <v>1.8243261642926321</v>
      </c>
      <c r="O64" s="99">
        <f>+'Proposed Rates'!B88</f>
        <v>71.7</v>
      </c>
      <c r="P64" s="99">
        <f t="shared" ca="1" si="36"/>
        <v>73.524326164292631</v>
      </c>
      <c r="Q64" s="99">
        <f ca="1">+'Proposed Rates'!H88</f>
        <v>73.524326164292631</v>
      </c>
      <c r="R64" s="99">
        <f t="shared" si="37"/>
        <v>1330.6231011235955</v>
      </c>
      <c r="S64" s="99">
        <f t="shared" ca="1" si="38"/>
        <v>1364.4793150453804</v>
      </c>
      <c r="T64" s="99">
        <f t="shared" ca="1" si="39"/>
        <v>33.856213921784956</v>
      </c>
      <c r="U64" s="99" t="str">
        <f t="shared" ca="1" si="8"/>
        <v xml:space="preserve"> </v>
      </c>
      <c r="V64" s="100">
        <f ca="1">((I64*$H$114)*(References!$D$69/References!$F$78))</f>
        <v>1.8243261642926323</v>
      </c>
      <c r="W64" s="122">
        <f t="shared" ca="1" si="42"/>
        <v>0</v>
      </c>
    </row>
    <row r="65" spans="1:23" s="113" customFormat="1" ht="13.5" customHeight="1">
      <c r="A65" s="112" t="s">
        <v>166</v>
      </c>
      <c r="B65" s="112" t="s">
        <v>167</v>
      </c>
      <c r="D65" s="232"/>
      <c r="E65" s="115">
        <f>INDEX([33]Regulated!$D:$D,MATCH(A65,[33]Regulated!$A:$A,0))</f>
        <v>951.78801034946207</v>
      </c>
      <c r="G65" s="116">
        <f>+References!C12</f>
        <v>4.33</v>
      </c>
      <c r="H65" s="110">
        <f t="shared" si="33"/>
        <v>4121.2420848131705</v>
      </c>
      <c r="I65" s="113">
        <f>+References!C43</f>
        <v>840</v>
      </c>
      <c r="J65" s="115">
        <f t="shared" si="34"/>
        <v>3461843.3512430633</v>
      </c>
      <c r="K65" s="115">
        <f t="shared" si="35"/>
        <v>2627330.7871214733</v>
      </c>
      <c r="L65" s="114">
        <f ca="1">+K65*References!$D$69</f>
        <v>8486.2784424023685</v>
      </c>
      <c r="M65" s="114">
        <f ca="1">+L65/References!$F$78</f>
        <v>8675.1804977406719</v>
      </c>
      <c r="N65" s="99">
        <f t="shared" ca="1" si="41"/>
        <v>2.1049917280299604</v>
      </c>
      <c r="O65" s="114">
        <f>+'Proposed Rates'!$B$89</f>
        <v>84.8</v>
      </c>
      <c r="P65" s="114">
        <f t="shared" ca="1" si="36"/>
        <v>86.904991728029955</v>
      </c>
      <c r="Q65" s="114">
        <f ca="1">+'Proposed Rates'!$H$89</f>
        <v>86.904991728029955</v>
      </c>
      <c r="R65" s="114">
        <f t="shared" si="37"/>
        <v>349481.32879215688</v>
      </c>
      <c r="S65" s="114">
        <f t="shared" ca="1" si="38"/>
        <v>358156.50928989757</v>
      </c>
      <c r="T65" s="114">
        <f t="shared" ca="1" si="39"/>
        <v>8675.1804977406864</v>
      </c>
      <c r="U65" s="99" t="str">
        <f t="shared" ca="1" si="8"/>
        <v xml:space="preserve"> </v>
      </c>
      <c r="V65" s="100">
        <f ca="1">((I65*$H$114)*(References!$D$69/References!$F$78))</f>
        <v>2.1049917280299604</v>
      </c>
      <c r="W65" s="122">
        <f t="shared" ca="1" si="42"/>
        <v>0</v>
      </c>
    </row>
    <row r="66" spans="1:23" s="86" customFormat="1" ht="13.5" customHeight="1">
      <c r="A66" s="98" t="s">
        <v>168</v>
      </c>
      <c r="B66" s="98" t="s">
        <v>169</v>
      </c>
      <c r="D66" s="232"/>
      <c r="E66" s="115">
        <f>INDEX([33]Regulated!$D:$D,MATCH(A66,[33]Regulated!$A:$A,0))</f>
        <v>322.93714906983297</v>
      </c>
      <c r="G66" s="100">
        <f>+References!C11</f>
        <v>8.66</v>
      </c>
      <c r="H66" s="101">
        <f t="shared" si="33"/>
        <v>2796.6357109447536</v>
      </c>
      <c r="I66" s="86">
        <f>+References!C43</f>
        <v>840</v>
      </c>
      <c r="J66" s="87">
        <f t="shared" si="34"/>
        <v>2349173.9971935931</v>
      </c>
      <c r="K66" s="87">
        <f t="shared" si="35"/>
        <v>1782881.7022918458</v>
      </c>
      <c r="L66" s="99">
        <f ca="1">+K66*References!$D$69</f>
        <v>5758.7078984026684</v>
      </c>
      <c r="M66" s="99">
        <f ca="1">+L66/References!$F$78</f>
        <v>5886.895037851893</v>
      </c>
      <c r="N66" s="99">
        <f t="shared" ca="1" si="41"/>
        <v>2.1049917280299604</v>
      </c>
      <c r="O66" s="99">
        <f>+'Proposed Rates'!$B$89</f>
        <v>84.8</v>
      </c>
      <c r="P66" s="99">
        <f t="shared" ca="1" si="36"/>
        <v>86.904991728029955</v>
      </c>
      <c r="Q66" s="99">
        <f ca="1">+'Proposed Rates'!$H$89</f>
        <v>86.904991728029955</v>
      </c>
      <c r="R66" s="99">
        <f t="shared" si="37"/>
        <v>237154.70828811507</v>
      </c>
      <c r="S66" s="99">
        <f t="shared" ca="1" si="38"/>
        <v>243041.60332596698</v>
      </c>
      <c r="T66" s="99">
        <f t="shared" ca="1" si="39"/>
        <v>5886.8950378519075</v>
      </c>
      <c r="U66" s="99" t="str">
        <f t="shared" ca="1" si="8"/>
        <v xml:space="preserve"> </v>
      </c>
      <c r="V66" s="100">
        <f ca="1">((I66*$H$114)*(References!$D$69/References!$F$78))</f>
        <v>2.1049917280299604</v>
      </c>
      <c r="W66" s="122">
        <f t="shared" ca="1" si="42"/>
        <v>0</v>
      </c>
    </row>
    <row r="67" spans="1:23" s="86" customFormat="1" ht="13.5" customHeight="1">
      <c r="A67" s="98" t="s">
        <v>170</v>
      </c>
      <c r="B67" s="98" t="s">
        <v>171</v>
      </c>
      <c r="D67" s="232"/>
      <c r="E67" s="115">
        <f>INDEX([33]Regulated!$D:$D,MATCH(A67,[33]Regulated!$A:$A,0))</f>
        <v>115.04265994902971</v>
      </c>
      <c r="G67" s="100">
        <f>+References!C10</f>
        <v>12.99</v>
      </c>
      <c r="H67" s="101">
        <f t="shared" si="33"/>
        <v>1494.4041527378961</v>
      </c>
      <c r="I67" s="86">
        <f>+References!C43</f>
        <v>840</v>
      </c>
      <c r="J67" s="87">
        <f t="shared" si="34"/>
        <v>1255299.4882998327</v>
      </c>
      <c r="K67" s="87">
        <f t="shared" si="35"/>
        <v>952696.77395533212</v>
      </c>
      <c r="L67" s="99">
        <f ca="1">+K67*References!$D$69</f>
        <v>3077.2105798757261</v>
      </c>
      <c r="M67" s="99">
        <f ca="1">+L67/References!$F$78</f>
        <v>3145.7083798468921</v>
      </c>
      <c r="N67" s="99">
        <f t="shared" ca="1" si="41"/>
        <v>2.1049917280299599</v>
      </c>
      <c r="O67" s="99">
        <f>+'Proposed Rates'!$B$89</f>
        <v>84.8</v>
      </c>
      <c r="P67" s="99">
        <f t="shared" ca="1" si="36"/>
        <v>86.904991728029955</v>
      </c>
      <c r="Q67" s="99">
        <f ca="1">+'Proposed Rates'!$H$89</f>
        <v>86.904991728029955</v>
      </c>
      <c r="R67" s="99">
        <f t="shared" si="37"/>
        <v>126725.47215217358</v>
      </c>
      <c r="S67" s="99">
        <f t="shared" ca="1" si="38"/>
        <v>129871.18053202047</v>
      </c>
      <c r="T67" s="99">
        <f t="shared" ca="1" si="39"/>
        <v>3145.7083798468957</v>
      </c>
      <c r="U67" s="99" t="str">
        <f t="shared" ca="1" si="8"/>
        <v xml:space="preserve"> </v>
      </c>
      <c r="V67" s="100">
        <f ca="1">((I67*$H$114)*(References!$D$69/References!$F$78))</f>
        <v>2.1049917280299604</v>
      </c>
      <c r="W67" s="122">
        <f t="shared" ca="1" si="42"/>
        <v>0</v>
      </c>
    </row>
    <row r="68" spans="1:23" s="232" customFormat="1" ht="13.5" customHeight="1">
      <c r="A68" s="235" t="s">
        <v>410</v>
      </c>
      <c r="B68" s="235" t="s">
        <v>319</v>
      </c>
      <c r="E68" s="115">
        <f>INDEX([33]Regulated!$D:$D,MATCH(A68,[33]Regulated!$A:$A,0))</f>
        <v>12.051610111873417</v>
      </c>
      <c r="G68" s="233">
        <f>+References!C9</f>
        <v>17.32</v>
      </c>
      <c r="H68" s="234">
        <f t="shared" ref="H68" si="56">+E68*G68</f>
        <v>208.7338871376476</v>
      </c>
      <c r="I68" s="232">
        <f>+References!C43</f>
        <v>840</v>
      </c>
      <c r="J68" s="115">
        <f t="shared" ref="J68" si="57">+H68*I68</f>
        <v>175336.46519562398</v>
      </c>
      <c r="K68" s="115">
        <f t="shared" ref="K68:K95" si="58">+J68*$H$114</f>
        <v>133069.82620923658</v>
      </c>
      <c r="L68" s="114">
        <f ca="1">+K68*References!$D$69</f>
        <v>429.81553865583464</v>
      </c>
      <c r="M68" s="114">
        <f ca="1">+L68/References!$F$78</f>
        <v>439.38310578428752</v>
      </c>
      <c r="N68" s="114">
        <f t="shared" ref="N68" ca="1" si="59">IFERROR(+M68/H68,0)</f>
        <v>2.1049917280299604</v>
      </c>
      <c r="O68" s="114">
        <f>+'Proposed Rates'!$B$89</f>
        <v>84.8</v>
      </c>
      <c r="P68" s="114">
        <f t="shared" ref="P68" ca="1" si="60">+O68+N68</f>
        <v>86.904991728029955</v>
      </c>
      <c r="Q68" s="114">
        <f ca="1">+'Proposed Rates'!$H$89</f>
        <v>86.904991728029955</v>
      </c>
      <c r="R68" s="114">
        <f t="shared" ref="R68" si="61">+E68*O68*G68</f>
        <v>17700.633629272514</v>
      </c>
      <c r="S68" s="114">
        <f t="shared" ref="S68" ca="1" si="62">+E68*P68*G68</f>
        <v>18140.016735056801</v>
      </c>
      <c r="T68" s="114">
        <f t="shared" ref="T68" ca="1" si="63">+S68-R68</f>
        <v>439.38310578428718</v>
      </c>
      <c r="U68" s="114" t="str">
        <f t="shared" ca="1" si="8"/>
        <v xml:space="preserve"> </v>
      </c>
      <c r="V68" s="100">
        <f ca="1">((I68*$H$114)*(References!$D$69/References!$F$78))</f>
        <v>2.1049917280299604</v>
      </c>
      <c r="W68" s="122">
        <f t="shared" ca="1" si="42"/>
        <v>0</v>
      </c>
    </row>
    <row r="69" spans="1:23" s="86" customFormat="1" ht="13.5" customHeight="1">
      <c r="A69" s="98" t="s">
        <v>172</v>
      </c>
      <c r="B69" s="98" t="s">
        <v>173</v>
      </c>
      <c r="D69" s="232"/>
      <c r="E69" s="115">
        <f>INDEX([33]Regulated!$D:$D,MATCH(A69,[33]Regulated!$A:$A,0))</f>
        <v>197.35471139615197</v>
      </c>
      <c r="G69" s="100">
        <f>+References!C13</f>
        <v>2.17</v>
      </c>
      <c r="H69" s="101">
        <f t="shared" si="33"/>
        <v>428.25972372964975</v>
      </c>
      <c r="I69" s="86">
        <f>+References!C43</f>
        <v>840</v>
      </c>
      <c r="J69" s="87">
        <f t="shared" si="34"/>
        <v>359738.16793290578</v>
      </c>
      <c r="K69" s="87">
        <f t="shared" si="58"/>
        <v>273019.62221179577</v>
      </c>
      <c r="L69" s="99">
        <f ca="1">+K69*References!$D$69</f>
        <v>881.85337974410129</v>
      </c>
      <c r="M69" s="99">
        <f ca="1">+L69/References!$F$78</f>
        <v>901.48317589930878</v>
      </c>
      <c r="N69" s="99">
        <f t="shared" ca="1" si="41"/>
        <v>2.1049917280299604</v>
      </c>
      <c r="O69" s="99">
        <f>+'Proposed Rates'!B89</f>
        <v>84.8</v>
      </c>
      <c r="P69" s="99">
        <f t="shared" ca="1" si="36"/>
        <v>86.904991728029955</v>
      </c>
      <c r="Q69" s="99">
        <f ca="1">+'Proposed Rates'!H89</f>
        <v>86.904991728029955</v>
      </c>
      <c r="R69" s="99">
        <f t="shared" si="37"/>
        <v>36316.4245722743</v>
      </c>
      <c r="S69" s="99">
        <f t="shared" ca="1" si="38"/>
        <v>37217.907748173602</v>
      </c>
      <c r="T69" s="99">
        <f t="shared" ca="1" si="39"/>
        <v>901.4831758993023</v>
      </c>
      <c r="U69" s="99" t="str">
        <f t="shared" ca="1" si="8"/>
        <v xml:space="preserve"> </v>
      </c>
      <c r="V69" s="100">
        <f ca="1">((I69*$H$114)*(References!$D$69/References!$F$78))</f>
        <v>2.1049917280299604</v>
      </c>
      <c r="W69" s="122">
        <f t="shared" ca="1" si="42"/>
        <v>0</v>
      </c>
    </row>
    <row r="70" spans="1:23" s="113" customFormat="1" ht="13.5" customHeight="1">
      <c r="A70" s="112" t="s">
        <v>174</v>
      </c>
      <c r="B70" s="112" t="s">
        <v>175</v>
      </c>
      <c r="D70" s="232"/>
      <c r="E70" s="115">
        <f>INDEX([33]Regulated!$D:$D,MATCH(A70,[33]Regulated!$A:$A,0))</f>
        <v>641.73823815988169</v>
      </c>
      <c r="G70" s="116">
        <f>+References!C12</f>
        <v>4.33</v>
      </c>
      <c r="H70" s="110">
        <f t="shared" si="33"/>
        <v>2778.7265712322878</v>
      </c>
      <c r="I70" s="113">
        <f>+References!C44</f>
        <v>980</v>
      </c>
      <c r="J70" s="115">
        <f t="shared" si="34"/>
        <v>2723152.0398076419</v>
      </c>
      <c r="K70" s="115">
        <f t="shared" si="58"/>
        <v>2066708.5325019713</v>
      </c>
      <c r="L70" s="114">
        <f ca="1">+K70*References!$D$69</f>
        <v>6675.4685599813747</v>
      </c>
      <c r="M70" s="114">
        <f ca="1">+L70/References!$F$78</f>
        <v>6824.0625213845224</v>
      </c>
      <c r="N70" s="99">
        <f t="shared" ca="1" si="41"/>
        <v>2.4558236827016198</v>
      </c>
      <c r="O70" s="114">
        <f>+'Proposed Rates'!$B$90</f>
        <v>110.43</v>
      </c>
      <c r="P70" s="114">
        <f t="shared" ref="P70:P99" ca="1" si="64">+O70+N70</f>
        <v>112.88582368270163</v>
      </c>
      <c r="Q70" s="114">
        <f ca="1">+'Proposed Rates'!$H$90</f>
        <v>112.88582368270163</v>
      </c>
      <c r="R70" s="114">
        <f t="shared" ref="R70:R90" si="65">+E70*O70*G70</f>
        <v>306854.77526118158</v>
      </c>
      <c r="S70" s="114">
        <f t="shared" ref="S70:S90" ca="1" si="66">+E70*P70*G70</f>
        <v>313678.83778256609</v>
      </c>
      <c r="T70" s="114">
        <f t="shared" ref="T70:T99" ca="1" si="67">+S70-R70</f>
        <v>6824.0625213845051</v>
      </c>
      <c r="U70" s="99" t="str">
        <f t="shared" ca="1" si="8"/>
        <v xml:space="preserve"> </v>
      </c>
      <c r="V70" s="100">
        <f ca="1">((I70*$H$114)*(References!$D$69/References!$F$78))</f>
        <v>2.4558236827016202</v>
      </c>
      <c r="W70" s="122">
        <f t="shared" ca="1" si="42"/>
        <v>0</v>
      </c>
    </row>
    <row r="71" spans="1:23" s="86" customFormat="1" ht="13.5" customHeight="1">
      <c r="A71" s="98" t="s">
        <v>176</v>
      </c>
      <c r="B71" s="98" t="s">
        <v>177</v>
      </c>
      <c r="D71" s="232"/>
      <c r="E71" s="115">
        <f>INDEX([33]Regulated!$D:$D,MATCH(A71,[33]Regulated!$A:$A,0))</f>
        <v>216.37182828811407</v>
      </c>
      <c r="G71" s="100">
        <f>+References!C11</f>
        <v>8.66</v>
      </c>
      <c r="H71" s="101">
        <f t="shared" si="33"/>
        <v>1873.7800329750678</v>
      </c>
      <c r="I71" s="86">
        <f>+References!C44</f>
        <v>980</v>
      </c>
      <c r="J71" s="87">
        <f t="shared" si="34"/>
        <v>1836304.4323155663</v>
      </c>
      <c r="K71" s="87">
        <f t="shared" si="58"/>
        <v>1393644.564482653</v>
      </c>
      <c r="L71" s="99">
        <f ca="1">+K71*References!$D$69</f>
        <v>4501.4719432789743</v>
      </c>
      <c r="M71" s="99">
        <f ca="1">+L71/References!$F$78</f>
        <v>4601.6733811535942</v>
      </c>
      <c r="N71" s="99">
        <f t="shared" ca="1" si="41"/>
        <v>2.4558236827016202</v>
      </c>
      <c r="O71" s="99">
        <f>+'Proposed Rates'!$B$90</f>
        <v>110.43</v>
      </c>
      <c r="P71" s="99">
        <f t="shared" ca="1" si="64"/>
        <v>112.88582368270163</v>
      </c>
      <c r="Q71" s="99">
        <f ca="1">+'Proposed Rates'!$H$90</f>
        <v>112.88582368270163</v>
      </c>
      <c r="R71" s="99">
        <f t="shared" si="65"/>
        <v>206921.52904143676</v>
      </c>
      <c r="S71" s="99">
        <f t="shared" ca="1" si="66"/>
        <v>211523.20242259034</v>
      </c>
      <c r="T71" s="99">
        <f t="shared" ca="1" si="67"/>
        <v>4601.6733811535814</v>
      </c>
      <c r="U71" s="99" t="str">
        <f t="shared" ca="1" si="8"/>
        <v xml:space="preserve"> </v>
      </c>
      <c r="V71" s="100">
        <f ca="1">((I71*$H$114)*(References!$D$69/References!$F$78))</f>
        <v>2.4558236827016202</v>
      </c>
      <c r="W71" s="122">
        <f t="shared" ca="1" si="42"/>
        <v>0</v>
      </c>
    </row>
    <row r="72" spans="1:23" s="86" customFormat="1" ht="13.5" customHeight="1">
      <c r="A72" s="98" t="s">
        <v>178</v>
      </c>
      <c r="B72" s="98" t="s">
        <v>179</v>
      </c>
      <c r="D72" s="232"/>
      <c r="E72" s="115">
        <f>INDEX([33]Regulated!$D:$D,MATCH(A72,[33]Regulated!$A:$A,0))</f>
        <v>104.52727868775835</v>
      </c>
      <c r="G72" s="100">
        <f>+References!C10</f>
        <v>12.99</v>
      </c>
      <c r="H72" s="101">
        <f t="shared" si="33"/>
        <v>1357.8093501539811</v>
      </c>
      <c r="I72" s="86">
        <f>+References!C44</f>
        <v>980</v>
      </c>
      <c r="J72" s="87">
        <f t="shared" si="34"/>
        <v>1330653.1631509014</v>
      </c>
      <c r="K72" s="87">
        <f t="shared" si="58"/>
        <v>1009885.6787588567</v>
      </c>
      <c r="L72" s="99">
        <f ca="1">+K72*References!$D$69</f>
        <v>3261.9307423911109</v>
      </c>
      <c r="M72" s="99">
        <f ca="1">+L72/References!$F$78</f>
        <v>3334.5403587018436</v>
      </c>
      <c r="N72" s="99">
        <f t="shared" ca="1" si="41"/>
        <v>2.4558236827016202</v>
      </c>
      <c r="O72" s="99">
        <f>+'Proposed Rates'!$B$90</f>
        <v>110.43</v>
      </c>
      <c r="P72" s="99">
        <f t="shared" ca="1" si="64"/>
        <v>112.88582368270163</v>
      </c>
      <c r="Q72" s="99">
        <f ca="1">+'Proposed Rates'!$H$90</f>
        <v>112.88582368270163</v>
      </c>
      <c r="R72" s="99">
        <f t="shared" si="65"/>
        <v>149942.88653750415</v>
      </c>
      <c r="S72" s="99">
        <f t="shared" ca="1" si="66"/>
        <v>153277.42689620599</v>
      </c>
      <c r="T72" s="99">
        <f t="shared" ca="1" si="67"/>
        <v>3334.5403587018372</v>
      </c>
      <c r="U72" s="99" t="str">
        <f t="shared" ca="1" si="8"/>
        <v xml:space="preserve"> </v>
      </c>
      <c r="V72" s="100">
        <f ca="1">((I72*$H$114)*(References!$D$69/References!$F$78))</f>
        <v>2.4558236827016202</v>
      </c>
      <c r="W72" s="122">
        <f t="shared" ca="1" si="42"/>
        <v>0</v>
      </c>
    </row>
    <row r="73" spans="1:23" s="86" customFormat="1" ht="13.5" customHeight="1">
      <c r="A73" s="98" t="s">
        <v>180</v>
      </c>
      <c r="B73" s="98" t="s">
        <v>181</v>
      </c>
      <c r="D73" s="232"/>
      <c r="E73" s="115">
        <f>INDEX([33]Regulated!$D:$D,MATCH(A73,[33]Regulated!$A:$A,0))</f>
        <v>12.047753823562502</v>
      </c>
      <c r="G73" s="100">
        <f>+References!C9</f>
        <v>17.32</v>
      </c>
      <c r="H73" s="101">
        <f t="shared" si="33"/>
        <v>208.66709622410255</v>
      </c>
      <c r="I73" s="86">
        <f>+References!C44</f>
        <v>980</v>
      </c>
      <c r="J73" s="87">
        <f t="shared" si="34"/>
        <v>204493.75429962049</v>
      </c>
      <c r="K73" s="87">
        <f t="shared" si="58"/>
        <v>155198.45409889086</v>
      </c>
      <c r="L73" s="99">
        <f ca="1">+K73*References!$D$69</f>
        <v>501.29100673941804</v>
      </c>
      <c r="M73" s="99">
        <f ca="1">+L73/References!$F$78</f>
        <v>512.4495967077288</v>
      </c>
      <c r="N73" s="99">
        <f t="shared" ca="1" si="41"/>
        <v>2.4558236827016198</v>
      </c>
      <c r="O73" s="99">
        <f>+'Proposed Rates'!$B$90</f>
        <v>110.43</v>
      </c>
      <c r="P73" s="99">
        <f t="shared" ca="1" si="64"/>
        <v>112.88582368270163</v>
      </c>
      <c r="Q73" s="99">
        <f ca="1">+'Proposed Rates'!$H$90</f>
        <v>112.88582368270163</v>
      </c>
      <c r="R73" s="99">
        <f t="shared" si="65"/>
        <v>23043.107436027643</v>
      </c>
      <c r="S73" s="99">
        <f t="shared" ca="1" si="66"/>
        <v>23555.557032735374</v>
      </c>
      <c r="T73" s="99">
        <f t="shared" ca="1" si="67"/>
        <v>512.44959670773096</v>
      </c>
      <c r="U73" s="99" t="str">
        <f t="shared" ca="1" si="8"/>
        <v xml:space="preserve"> </v>
      </c>
      <c r="V73" s="100">
        <f ca="1">((I73*$H$114)*(References!$D$69/References!$F$78))</f>
        <v>2.4558236827016202</v>
      </c>
      <c r="W73" s="122">
        <f t="shared" ca="1" si="42"/>
        <v>0</v>
      </c>
    </row>
    <row r="74" spans="1:23" s="232" customFormat="1" ht="13.5" customHeight="1">
      <c r="A74" s="235" t="s">
        <v>424</v>
      </c>
      <c r="B74" s="235" t="s">
        <v>320</v>
      </c>
      <c r="E74" s="115">
        <f>INDEX([33]Regulated!$D:$D,MATCH(A74,[33]Regulated!$A:$A,0))</f>
        <v>12.047743860798718</v>
      </c>
      <c r="G74" s="233">
        <f>+References!C12*6</f>
        <v>25.98</v>
      </c>
      <c r="H74" s="234">
        <f t="shared" ref="H74" si="68">+E74*G74</f>
        <v>313.00038550355072</v>
      </c>
      <c r="I74" s="232">
        <f>+References!C44</f>
        <v>980</v>
      </c>
      <c r="J74" s="115">
        <f t="shared" ref="J74" si="69">+H74*I74</f>
        <v>306740.37779347971</v>
      </c>
      <c r="K74" s="115">
        <f t="shared" si="58"/>
        <v>232797.48863873322</v>
      </c>
      <c r="L74" s="114">
        <f ca="1">+K74*References!$D$69</f>
        <v>751.93588830310921</v>
      </c>
      <c r="M74" s="114">
        <f ca="1">+L74/References!$F$78</f>
        <v>768.67375941435682</v>
      </c>
      <c r="N74" s="114">
        <f t="shared" ref="N74" ca="1" si="70">IFERROR(+M74/H74,0)</f>
        <v>2.4558236827016207</v>
      </c>
      <c r="O74" s="114">
        <f>+'Proposed Rates'!$B$90</f>
        <v>110.43</v>
      </c>
      <c r="P74" s="114">
        <f t="shared" ref="P74" ca="1" si="71">+O74+N74</f>
        <v>112.88582368270163</v>
      </c>
      <c r="Q74" s="114">
        <f ca="1">+'Proposed Rates'!$H$90</f>
        <v>112.88582368270163</v>
      </c>
      <c r="R74" s="114">
        <f t="shared" ref="R74" si="72">+E74*O74*G74</f>
        <v>34564.632571157104</v>
      </c>
      <c r="S74" s="114">
        <f t="shared" ref="S74" ca="1" si="73">+E74*P74*G74</f>
        <v>35333.306330571468</v>
      </c>
      <c r="T74" s="114">
        <f t="shared" ref="T74" ca="1" si="74">+S74-R74</f>
        <v>768.6737594143633</v>
      </c>
      <c r="U74" s="114" t="str">
        <f t="shared" ca="1" si="8"/>
        <v xml:space="preserve"> </v>
      </c>
      <c r="V74" s="100">
        <f ca="1">((I74*$H$114)*(References!$D$69/References!$F$78))</f>
        <v>2.4558236827016202</v>
      </c>
      <c r="W74" s="122">
        <f t="shared" ca="1" si="42"/>
        <v>0</v>
      </c>
    </row>
    <row r="75" spans="1:23" s="86" customFormat="1" ht="13.5" customHeight="1">
      <c r="A75" s="98" t="s">
        <v>182</v>
      </c>
      <c r="B75" s="98" t="s">
        <v>183</v>
      </c>
      <c r="D75" s="232"/>
      <c r="E75" s="115">
        <f>INDEX([33]Regulated!$D:$D,MATCH(A75,[33]Regulated!$A:$A,0))</f>
        <v>25.609215500945179</v>
      </c>
      <c r="G75" s="100">
        <f>+References!C13</f>
        <v>2.17</v>
      </c>
      <c r="H75" s="101">
        <f t="shared" si="33"/>
        <v>55.571997637051041</v>
      </c>
      <c r="I75" s="86">
        <f>+References!C44</f>
        <v>980</v>
      </c>
      <c r="J75" s="87">
        <f t="shared" si="34"/>
        <v>54460.557684310021</v>
      </c>
      <c r="K75" s="87">
        <f t="shared" si="58"/>
        <v>41332.286117572017</v>
      </c>
      <c r="L75" s="99">
        <f ca="1">+K75*References!$D$69</f>
        <v>133.50328415975778</v>
      </c>
      <c r="M75" s="99">
        <f ca="1">+L75/References!$F$78</f>
        <v>136.47502789210844</v>
      </c>
      <c r="N75" s="99">
        <f t="shared" ca="1" si="41"/>
        <v>2.4558236827016207</v>
      </c>
      <c r="O75" s="99">
        <f>+'Proposed Rates'!B90</f>
        <v>110.43</v>
      </c>
      <c r="P75" s="99">
        <f t="shared" ca="1" si="64"/>
        <v>112.88582368270163</v>
      </c>
      <c r="Q75" s="99">
        <f ca="1">+'Proposed Rates'!H90</f>
        <v>112.88582368270163</v>
      </c>
      <c r="R75" s="99">
        <f t="shared" si="65"/>
        <v>6136.8156990595471</v>
      </c>
      <c r="S75" s="99">
        <f t="shared" ca="1" si="66"/>
        <v>6273.2907269516545</v>
      </c>
      <c r="T75" s="99">
        <f t="shared" ca="1" si="67"/>
        <v>136.47502789210739</v>
      </c>
      <c r="U75" s="99" t="str">
        <f t="shared" ca="1" si="8"/>
        <v xml:space="preserve"> </v>
      </c>
      <c r="V75" s="100">
        <f ca="1">((I75*$H$114)*(References!$D$69/References!$F$78))</f>
        <v>2.4558236827016202</v>
      </c>
      <c r="W75" s="122">
        <f t="shared" ca="1" si="42"/>
        <v>0</v>
      </c>
    </row>
    <row r="76" spans="1:23" s="113" customFormat="1" ht="13.5" customHeight="1">
      <c r="A76" s="112" t="s">
        <v>184</v>
      </c>
      <c r="B76" s="112" t="s">
        <v>185</v>
      </c>
      <c r="D76" s="232"/>
      <c r="E76" s="115">
        <f>INDEX([33]Regulated!$D:$D,MATCH(A76,[33]Regulated!$A:$A,0))</f>
        <v>26.098631866799312</v>
      </c>
      <c r="G76" s="116">
        <f>+References!C12</f>
        <v>4.33</v>
      </c>
      <c r="H76" s="110">
        <f t="shared" si="33"/>
        <v>113.00707598324102</v>
      </c>
      <c r="I76" s="115">
        <f>References!$C$56</f>
        <v>1296</v>
      </c>
      <c r="J76" s="115">
        <f t="shared" si="34"/>
        <v>146457.17047428037</v>
      </c>
      <c r="K76" s="115">
        <f t="shared" si="58"/>
        <v>111152.17932769998</v>
      </c>
      <c r="L76" s="114">
        <f ca="1">+K76*References!$D$69</f>
        <v>359.02153922847134</v>
      </c>
      <c r="M76" s="114">
        <f ca="1">+L76/References!$F$78</f>
        <v>367.01325280837369</v>
      </c>
      <c r="N76" s="99">
        <f t="shared" ca="1" si="41"/>
        <v>3.2477015232462243</v>
      </c>
      <c r="O76" s="114">
        <f>+'Proposed Rates'!B158</f>
        <v>70.599999999999994</v>
      </c>
      <c r="P76" s="114">
        <f t="shared" ca="1" si="64"/>
        <v>73.847701523246215</v>
      </c>
      <c r="Q76" s="114">
        <f ca="1">+'Proposed Rates'!H158</f>
        <v>73.847701523246215</v>
      </c>
      <c r="R76" s="99">
        <f t="shared" si="65"/>
        <v>7978.299564416815</v>
      </c>
      <c r="S76" s="114">
        <f t="shared" ca="1" si="66"/>
        <v>8345.3128172251891</v>
      </c>
      <c r="T76" s="99">
        <f t="shared" ca="1" si="67"/>
        <v>367.01325280837409</v>
      </c>
      <c r="U76" s="99" t="str">
        <f t="shared" ca="1" si="8"/>
        <v xml:space="preserve"> </v>
      </c>
      <c r="V76" s="100">
        <f ca="1">((I76*$H$114)*(References!$D$69/References!$F$78))</f>
        <v>3.2477015232462243</v>
      </c>
      <c r="W76" s="122">
        <f t="shared" ca="1" si="42"/>
        <v>0</v>
      </c>
    </row>
    <row r="77" spans="1:23" s="86" customFormat="1" ht="13.5" customHeight="1">
      <c r="A77" s="98" t="s">
        <v>186</v>
      </c>
      <c r="B77" s="98" t="s">
        <v>187</v>
      </c>
      <c r="D77" s="232"/>
      <c r="E77" s="115">
        <f>INDEX([33]Regulated!$D:$D,MATCH(A77,[33]Regulated!$A:$A,0))</f>
        <v>72.54510433386838</v>
      </c>
      <c r="G77" s="100">
        <f>+References!C12</f>
        <v>4.33</v>
      </c>
      <c r="H77" s="101">
        <f t="shared" si="33"/>
        <v>314.12030176565008</v>
      </c>
      <c r="I77" s="118">
        <f>+References!C58</f>
        <v>2452</v>
      </c>
      <c r="J77" s="87">
        <f t="shared" si="34"/>
        <v>770222.97992937395</v>
      </c>
      <c r="K77" s="87">
        <f t="shared" si="58"/>
        <v>584552.89358782012</v>
      </c>
      <c r="L77" s="99">
        <f ca="1">+K77*References!$D$69</f>
        <v>1888.105846288661</v>
      </c>
      <c r="M77" s="99">
        <f ca="1">+L77/References!$F$78</f>
        <v>1930.1345255832359</v>
      </c>
      <c r="N77" s="99">
        <f t="shared" ca="1" si="41"/>
        <v>6.1445710918207883</v>
      </c>
      <c r="O77" s="99">
        <f>+'Proposed Rates'!B160</f>
        <v>124.76</v>
      </c>
      <c r="P77" s="99">
        <f t="shared" ca="1" si="64"/>
        <v>130.9045710918208</v>
      </c>
      <c r="Q77" s="99">
        <f ca="1">+'Proposed Rates'!H160</f>
        <v>130.9045710918208</v>
      </c>
      <c r="R77" s="99">
        <f t="shared" si="65"/>
        <v>39189.648848282508</v>
      </c>
      <c r="S77" s="99">
        <f t="shared" ca="1" si="66"/>
        <v>41119.783373865743</v>
      </c>
      <c r="T77" s="99">
        <f t="shared" ca="1" si="67"/>
        <v>1930.1345255832348</v>
      </c>
      <c r="U77" s="99" t="str">
        <f t="shared" ca="1" si="8"/>
        <v xml:space="preserve"> </v>
      </c>
      <c r="V77" s="100">
        <f ca="1">((I77*$H$114)*(References!$D$69/References!$F$78))</f>
        <v>6.1445710918207883</v>
      </c>
      <c r="W77" s="122">
        <f t="shared" ca="1" si="42"/>
        <v>0</v>
      </c>
    </row>
    <row r="78" spans="1:23" s="86" customFormat="1" ht="13.5" customHeight="1">
      <c r="A78" s="98" t="s">
        <v>188</v>
      </c>
      <c r="B78" s="98" t="s">
        <v>189</v>
      </c>
      <c r="D78" s="232"/>
      <c r="E78" s="115">
        <f>INDEX([33]Regulated!$D:$D,MATCH(A78,[33]Regulated!$A:$A,0))</f>
        <v>579.03171661409044</v>
      </c>
      <c r="G78" s="100">
        <f>+References!C15</f>
        <v>1</v>
      </c>
      <c r="H78" s="101">
        <f t="shared" si="33"/>
        <v>579.03171661409044</v>
      </c>
      <c r="I78" s="86">
        <f>+References!C37</f>
        <v>175</v>
      </c>
      <c r="J78" s="87">
        <f t="shared" si="34"/>
        <v>101330.55040746582</v>
      </c>
      <c r="K78" s="87">
        <f t="shared" si="58"/>
        <v>76903.79019198053</v>
      </c>
      <c r="L78" s="99">
        <f ca="1">+K78*References!$D$69</f>
        <v>248.39924232009739</v>
      </c>
      <c r="M78" s="99">
        <f ca="1">+L78/References!$F$78</f>
        <v>253.92853619576005</v>
      </c>
      <c r="N78" s="99">
        <f t="shared" ca="1" si="41"/>
        <v>0.43853994333957497</v>
      </c>
      <c r="O78" s="99">
        <f>+'Proposed Rates'!B93</f>
        <v>21.21</v>
      </c>
      <c r="P78" s="99">
        <f t="shared" ca="1" si="64"/>
        <v>21.648539943339575</v>
      </c>
      <c r="Q78" s="99">
        <f ca="1">+'Proposed Rates'!H93</f>
        <v>21.648539943339575</v>
      </c>
      <c r="R78" s="99">
        <f t="shared" si="65"/>
        <v>12281.262709384859</v>
      </c>
      <c r="S78" s="99">
        <f t="shared" ca="1" si="66"/>
        <v>12535.191245580618</v>
      </c>
      <c r="T78" s="99">
        <f t="shared" ca="1" si="67"/>
        <v>253.92853619575908</v>
      </c>
      <c r="U78" s="99" t="str">
        <f t="shared" ca="1" si="8"/>
        <v xml:space="preserve"> </v>
      </c>
      <c r="V78" s="100">
        <f ca="1">((I78*$H$114)*(References!$D$69/References!$F$78))</f>
        <v>0.43853994333957508</v>
      </c>
      <c r="W78" s="122">
        <f t="shared" ca="1" si="42"/>
        <v>0</v>
      </c>
    </row>
    <row r="79" spans="1:23" s="86" customFormat="1" ht="13.5" customHeight="1">
      <c r="A79" s="98" t="s">
        <v>190</v>
      </c>
      <c r="B79" s="98" t="s">
        <v>191</v>
      </c>
      <c r="D79" s="232"/>
      <c r="E79" s="115">
        <f>INDEX([33]Regulated!$D:$D,MATCH(A79,[33]Regulated!$A:$A,0))</f>
        <v>160.02084372868759</v>
      </c>
      <c r="G79" s="100">
        <f>+References!C15</f>
        <v>1</v>
      </c>
      <c r="H79" s="101">
        <f t="shared" si="33"/>
        <v>160.02084372868759</v>
      </c>
      <c r="I79" s="86">
        <f>+References!C38</f>
        <v>250</v>
      </c>
      <c r="J79" s="87">
        <f t="shared" si="34"/>
        <v>40005.210932171896</v>
      </c>
      <c r="K79" s="87">
        <f t="shared" si="58"/>
        <v>30361.547783391885</v>
      </c>
      <c r="L79" s="99">
        <f ca="1">+K79*References!$D$69</f>
        <v>98.067799340355904</v>
      </c>
      <c r="M79" s="99">
        <f ca="1">+L79/References!$F$78</f>
        <v>100.25075963132807</v>
      </c>
      <c r="N79" s="99">
        <f t="shared" ca="1" si="41"/>
        <v>0.62648563334225005</v>
      </c>
      <c r="O79" s="99">
        <f>+'Proposed Rates'!B94</f>
        <v>28.23</v>
      </c>
      <c r="P79" s="99">
        <f t="shared" ca="1" si="64"/>
        <v>28.856485633342249</v>
      </c>
      <c r="Q79" s="99">
        <f ca="1">+'Proposed Rates'!H94</f>
        <v>28.856485633342249</v>
      </c>
      <c r="R79" s="99">
        <f t="shared" si="65"/>
        <v>4517.3884184608505</v>
      </c>
      <c r="S79" s="99">
        <f t="shared" ca="1" si="66"/>
        <v>4617.6391780921786</v>
      </c>
      <c r="T79" s="99">
        <f t="shared" ca="1" si="67"/>
        <v>100.25075963132804</v>
      </c>
      <c r="U79" s="99" t="str">
        <f t="shared" ca="1" si="8"/>
        <v xml:space="preserve"> </v>
      </c>
      <c r="V79" s="100">
        <f ca="1">((I79*$H$114)*(References!$D$69/References!$F$78))</f>
        <v>0.62648563334225005</v>
      </c>
      <c r="W79" s="122">
        <f t="shared" ca="1" si="42"/>
        <v>0</v>
      </c>
    </row>
    <row r="80" spans="1:23" s="86" customFormat="1" ht="13.5" customHeight="1">
      <c r="A80" s="98" t="s">
        <v>192</v>
      </c>
      <c r="B80" s="98" t="s">
        <v>193</v>
      </c>
      <c r="D80" s="232"/>
      <c r="E80" s="115">
        <f>INDEX([33]Regulated!$D:$D,MATCH(A80,[33]Regulated!$A:$A,0))</f>
        <v>351.06966405248539</v>
      </c>
      <c r="G80" s="100">
        <f>+References!C15</f>
        <v>1</v>
      </c>
      <c r="H80" s="101">
        <f t="shared" si="33"/>
        <v>351.06966405248539</v>
      </c>
      <c r="I80" s="86">
        <f>+References!C39</f>
        <v>324</v>
      </c>
      <c r="J80" s="87">
        <f t="shared" si="34"/>
        <v>113746.57115300526</v>
      </c>
      <c r="K80" s="87">
        <f t="shared" si="58"/>
        <v>86326.802803623199</v>
      </c>
      <c r="L80" s="99">
        <f ca="1">+K80*References!$D$69</f>
        <v>278.83557305570326</v>
      </c>
      <c r="M80" s="99">
        <f ca="1">+L80/References!$F$78</f>
        <v>285.0423706771993</v>
      </c>
      <c r="N80" s="99">
        <f t="shared" ca="1" si="41"/>
        <v>0.81192538081155619</v>
      </c>
      <c r="O80" s="99">
        <f>+'Proposed Rates'!B95</f>
        <v>33.49</v>
      </c>
      <c r="P80" s="99">
        <f t="shared" ca="1" si="64"/>
        <v>34.301925380811561</v>
      </c>
      <c r="Q80" s="99">
        <f ca="1">+'Proposed Rates'!H95</f>
        <v>34.301925380811561</v>
      </c>
      <c r="R80" s="99">
        <f t="shared" si="65"/>
        <v>11757.323049117736</v>
      </c>
      <c r="S80" s="99">
        <f t="shared" ca="1" si="66"/>
        <v>12042.365419794936</v>
      </c>
      <c r="T80" s="99">
        <f t="shared" ca="1" si="67"/>
        <v>285.04237067719987</v>
      </c>
      <c r="U80" s="99" t="str">
        <f t="shared" ref="U80:U104" ca="1" si="75">IF(P80=Q80," ","Difference between Calculated Rate and Proposed Tariff")</f>
        <v xml:space="preserve"> </v>
      </c>
      <c r="V80" s="100">
        <f ca="1">((I80*$H$114)*(References!$D$69/References!$F$78))</f>
        <v>0.81192538081155607</v>
      </c>
      <c r="W80" s="122">
        <f t="shared" ca="1" si="42"/>
        <v>0</v>
      </c>
    </row>
    <row r="81" spans="1:23" s="86" customFormat="1" ht="13.5" customHeight="1">
      <c r="A81" s="98" t="s">
        <v>194</v>
      </c>
      <c r="B81" s="98" t="s">
        <v>195</v>
      </c>
      <c r="D81" s="232"/>
      <c r="E81" s="115">
        <f>INDEX([33]Regulated!$D:$D,MATCH(A81,[33]Regulated!$A:$A,0))</f>
        <v>41.994452484322238</v>
      </c>
      <c r="G81" s="100">
        <f>+References!C15</f>
        <v>1</v>
      </c>
      <c r="H81" s="101">
        <f t="shared" si="33"/>
        <v>41.994452484322238</v>
      </c>
      <c r="I81" s="86">
        <f>+References!C40</f>
        <v>473</v>
      </c>
      <c r="J81" s="87">
        <f t="shared" si="34"/>
        <v>19863.376025084417</v>
      </c>
      <c r="K81" s="87">
        <f t="shared" si="58"/>
        <v>15075.107124109338</v>
      </c>
      <c r="L81" s="99">
        <f ca="1">+K81*References!$D$69</f>
        <v>48.692596010873217</v>
      </c>
      <c r="M81" s="99">
        <f ca="1">+L81/References!$F$78</f>
        <v>49.776478837561108</v>
      </c>
      <c r="N81" s="99">
        <f t="shared" ca="1" si="41"/>
        <v>1.185310818283537</v>
      </c>
      <c r="O81" s="99">
        <f>+'Proposed Rates'!B96</f>
        <v>46.32</v>
      </c>
      <c r="P81" s="99">
        <f t="shared" ca="1" si="64"/>
        <v>47.50531081828354</v>
      </c>
      <c r="Q81" s="99">
        <f ca="1">+'Proposed Rates'!H96</f>
        <v>47.50531081828354</v>
      </c>
      <c r="R81" s="99">
        <f t="shared" si="65"/>
        <v>1945.1830390738062</v>
      </c>
      <c r="S81" s="99">
        <f t="shared" ca="1" si="66"/>
        <v>1994.9595179113674</v>
      </c>
      <c r="T81" s="99">
        <f t="shared" ca="1" si="67"/>
        <v>49.776478837561172</v>
      </c>
      <c r="U81" s="99" t="str">
        <f t="shared" ca="1" si="75"/>
        <v xml:space="preserve"> </v>
      </c>
      <c r="V81" s="100">
        <f ca="1">((I81*$H$114)*(References!$D$69/References!$F$78))</f>
        <v>1.1853108182835372</v>
      </c>
      <c r="W81" s="122">
        <f t="shared" ca="1" si="42"/>
        <v>0</v>
      </c>
    </row>
    <row r="82" spans="1:23" s="86" customFormat="1" ht="13.5" customHeight="1">
      <c r="A82" s="98" t="s">
        <v>196</v>
      </c>
      <c r="B82" s="98" t="s">
        <v>197</v>
      </c>
      <c r="D82" s="232"/>
      <c r="E82" s="115">
        <f>INDEX([33]Regulated!$D:$D,MATCH(A82,[33]Regulated!$A:$A,0))</f>
        <v>32.338849311521592</v>
      </c>
      <c r="G82" s="100">
        <f>+References!C15</f>
        <v>1</v>
      </c>
      <c r="H82" s="101">
        <f t="shared" si="33"/>
        <v>32.338849311521592</v>
      </c>
      <c r="I82" s="118">
        <f>+References!C58</f>
        <v>2452</v>
      </c>
      <c r="J82" s="87">
        <f t="shared" si="34"/>
        <v>79294.858511850951</v>
      </c>
      <c r="K82" s="87">
        <f t="shared" si="58"/>
        <v>60180.026041276433</v>
      </c>
      <c r="L82" s="99">
        <f ca="1">+K82*References!$D$69</f>
        <v>194.3814841133231</v>
      </c>
      <c r="M82" s="99">
        <f ca="1">+L82/References!$F$78</f>
        <v>198.7083586223242</v>
      </c>
      <c r="N82" s="99">
        <f t="shared" ca="1" si="41"/>
        <v>6.1445710918207892</v>
      </c>
      <c r="O82" s="99">
        <f>+'Proposed Rates'!B166</f>
        <v>125.9</v>
      </c>
      <c r="P82" s="99">
        <f t="shared" ca="1" si="64"/>
        <v>132.04457109182079</v>
      </c>
      <c r="Q82" s="99">
        <f ca="1">+'Proposed Rates'!H166</f>
        <v>132.04457109182079</v>
      </c>
      <c r="R82" s="99">
        <f t="shared" si="65"/>
        <v>4071.4611283205686</v>
      </c>
      <c r="S82" s="99">
        <f t="shared" ca="1" si="66"/>
        <v>4270.1694869428929</v>
      </c>
      <c r="T82" s="99">
        <f t="shared" ca="1" si="67"/>
        <v>198.70835862232434</v>
      </c>
      <c r="U82" s="99" t="str">
        <f t="shared" ca="1" si="75"/>
        <v xml:space="preserve"> </v>
      </c>
      <c r="V82" s="100">
        <f ca="1">((I82*$H$114)*(References!$D$69/References!$F$78))</f>
        <v>6.1445710918207883</v>
      </c>
      <c r="W82" s="122">
        <f t="shared" ca="1" si="42"/>
        <v>0</v>
      </c>
    </row>
    <row r="83" spans="1:23" s="86" customFormat="1" ht="13.5" customHeight="1">
      <c r="A83" s="98" t="s">
        <v>198</v>
      </c>
      <c r="B83" s="98" t="s">
        <v>199</v>
      </c>
      <c r="D83" s="232"/>
      <c r="E83" s="115">
        <f>INDEX([33]Regulated!$D:$D,MATCH(A83,[33]Regulated!$A:$A,0))</f>
        <v>41</v>
      </c>
      <c r="G83" s="100">
        <f>+References!C15</f>
        <v>1</v>
      </c>
      <c r="H83" s="101">
        <f t="shared" si="33"/>
        <v>41</v>
      </c>
      <c r="I83" s="86">
        <f>+References!C41</f>
        <v>613</v>
      </c>
      <c r="J83" s="87">
        <f t="shared" si="34"/>
        <v>25133</v>
      </c>
      <c r="K83" s="87">
        <f t="shared" si="58"/>
        <v>19074.434621373974</v>
      </c>
      <c r="L83" s="99">
        <f ca="1">+K83*References!$D$69</f>
        <v>61.610423827038005</v>
      </c>
      <c r="M83" s="99">
        <f ca="1">+L83/References!$F$78</f>
        <v>62.981853691163082</v>
      </c>
      <c r="N83" s="99">
        <f t="shared" ca="1" si="41"/>
        <v>1.5361427729551971</v>
      </c>
      <c r="O83" s="99">
        <f>+'Proposed Rates'!B97</f>
        <v>59.62</v>
      </c>
      <c r="P83" s="99">
        <f t="shared" ca="1" si="64"/>
        <v>61.156142772955192</v>
      </c>
      <c r="Q83" s="99">
        <f ca="1">+'Proposed Rates'!H97</f>
        <v>61.156142772955192</v>
      </c>
      <c r="R83" s="99">
        <f t="shared" si="65"/>
        <v>2444.42</v>
      </c>
      <c r="S83" s="99">
        <f t="shared" ca="1" si="66"/>
        <v>2507.4018536911631</v>
      </c>
      <c r="T83" s="99">
        <f t="shared" ca="1" si="67"/>
        <v>62.981853691162996</v>
      </c>
      <c r="U83" s="99" t="str">
        <f t="shared" ca="1" si="75"/>
        <v xml:space="preserve"> </v>
      </c>
      <c r="V83" s="100">
        <f ca="1">((I83*$H$114)*(References!$D$69/References!$F$78))</f>
        <v>1.5361427729551971</v>
      </c>
      <c r="W83" s="122">
        <f t="shared" ca="1" si="42"/>
        <v>0</v>
      </c>
    </row>
    <row r="84" spans="1:23" s="86" customFormat="1" ht="13.5" customHeight="1">
      <c r="A84" s="98" t="s">
        <v>200</v>
      </c>
      <c r="B84" s="98" t="s">
        <v>201</v>
      </c>
      <c r="D84" s="232"/>
      <c r="E84" s="115">
        <f>INDEX([33]Regulated!$D:$D,MATCH(A84,[33]Regulated!$A:$A,0))</f>
        <v>11.438259506076049</v>
      </c>
      <c r="G84" s="100">
        <f>+References!C15</f>
        <v>1</v>
      </c>
      <c r="H84" s="101">
        <f t="shared" si="33"/>
        <v>11.438259506076049</v>
      </c>
      <c r="I84" s="86">
        <f>+References!C43</f>
        <v>840</v>
      </c>
      <c r="J84" s="87">
        <f t="shared" si="34"/>
        <v>9608.1379851038819</v>
      </c>
      <c r="K84" s="87">
        <f t="shared" si="58"/>
        <v>7291.9985608563984</v>
      </c>
      <c r="L84" s="99">
        <f ca="1">+K84*References!$D$69</f>
        <v>23.553155351566193</v>
      </c>
      <c r="M84" s="99">
        <f ca="1">+L84/References!$F$78</f>
        <v>24.077441643350141</v>
      </c>
      <c r="N84" s="99">
        <f t="shared" ca="1" si="41"/>
        <v>2.1049917280299604</v>
      </c>
      <c r="O84" s="99">
        <f>+'Proposed Rates'!B99</f>
        <v>85.94</v>
      </c>
      <c r="P84" s="99">
        <f t="shared" ca="1" si="64"/>
        <v>88.044991728029956</v>
      </c>
      <c r="Q84" s="99">
        <f ca="1">+'Proposed Rates'!H99</f>
        <v>88.044991728029956</v>
      </c>
      <c r="R84" s="99">
        <f t="shared" si="65"/>
        <v>983.00402195217566</v>
      </c>
      <c r="S84" s="99">
        <f t="shared" ca="1" si="66"/>
        <v>1007.0814635955257</v>
      </c>
      <c r="T84" s="99">
        <f t="shared" ca="1" si="67"/>
        <v>24.077441643350085</v>
      </c>
      <c r="U84" s="99" t="str">
        <f t="shared" ca="1" si="75"/>
        <v xml:space="preserve"> </v>
      </c>
      <c r="V84" s="100">
        <f ca="1">((I84*$H$114)*(References!$D$69/References!$F$78))</f>
        <v>2.1049917280299604</v>
      </c>
      <c r="W84" s="122">
        <f t="shared" ca="1" si="42"/>
        <v>0</v>
      </c>
    </row>
    <row r="85" spans="1:23" s="86" customFormat="1" ht="13.5" customHeight="1">
      <c r="A85" s="98" t="s">
        <v>202</v>
      </c>
      <c r="B85" s="98" t="s">
        <v>203</v>
      </c>
      <c r="D85" s="232"/>
      <c r="E85" s="115">
        <f>INDEX([33]Regulated!$D:$D,MATCH(A85,[33]Regulated!$A:$A,0))</f>
        <v>19.538654870815321</v>
      </c>
      <c r="G85" s="100">
        <f>+References!C15</f>
        <v>1</v>
      </c>
      <c r="H85" s="101">
        <f t="shared" si="33"/>
        <v>19.538654870815321</v>
      </c>
      <c r="I85" s="86">
        <f>+References!C44</f>
        <v>980</v>
      </c>
      <c r="J85" s="87">
        <f t="shared" si="34"/>
        <v>19147.881773399014</v>
      </c>
      <c r="K85" s="87">
        <f t="shared" si="58"/>
        <v>14532.090041956704</v>
      </c>
      <c r="L85" s="99">
        <f ca="1">+K85*References!$D$69</f>
        <v>46.938650835520207</v>
      </c>
      <c r="M85" s="99">
        <f ca="1">+L85/References!$F$78</f>
        <v>47.983491359881626</v>
      </c>
      <c r="N85" s="99">
        <f t="shared" ca="1" si="41"/>
        <v>2.4558236827016198</v>
      </c>
      <c r="O85" s="99">
        <f>+'Proposed Rates'!B100</f>
        <v>111.57</v>
      </c>
      <c r="P85" s="99">
        <f t="shared" ca="1" si="64"/>
        <v>114.02582368270161</v>
      </c>
      <c r="Q85" s="99">
        <f ca="1">+'Proposed Rates'!H100</f>
        <v>114.02582368270161</v>
      </c>
      <c r="R85" s="99">
        <f t="shared" si="65"/>
        <v>2179.9277239368653</v>
      </c>
      <c r="S85" s="99">
        <f t="shared" ca="1" si="66"/>
        <v>2227.9112152967468</v>
      </c>
      <c r="T85" s="99">
        <f t="shared" ca="1" si="67"/>
        <v>47.983491359881555</v>
      </c>
      <c r="U85" s="99" t="str">
        <f t="shared" ca="1" si="75"/>
        <v xml:space="preserve"> </v>
      </c>
      <c r="V85" s="100">
        <f ca="1">((I85*$H$114)*(References!$D$69/References!$F$78))</f>
        <v>2.4558236827016202</v>
      </c>
      <c r="W85" s="122">
        <f t="shared" ca="1" si="42"/>
        <v>0</v>
      </c>
    </row>
    <row r="86" spans="1:23" s="86" customFormat="1" ht="13.5" customHeight="1">
      <c r="A86" s="98" t="s">
        <v>204</v>
      </c>
      <c r="B86" s="98" t="s">
        <v>205</v>
      </c>
      <c r="D86" s="232"/>
      <c r="E86" s="115">
        <f>INDEX([33]Regulated!$D:$D,MATCH(A86,[33]Regulated!$A:$A,0))</f>
        <v>274.01666666666665</v>
      </c>
      <c r="G86" s="100">
        <f>+References!C15</f>
        <v>1</v>
      </c>
      <c r="H86" s="101">
        <f t="shared" si="33"/>
        <v>274.01666666666665</v>
      </c>
      <c r="I86" s="86">
        <f>+References!C37</f>
        <v>175</v>
      </c>
      <c r="J86" s="87">
        <f t="shared" si="34"/>
        <v>47952.916666666664</v>
      </c>
      <c r="K86" s="87">
        <f t="shared" si="58"/>
        <v>36393.378182569839</v>
      </c>
      <c r="L86" s="99">
        <f ca="1">+K86*References!$D$69</f>
        <v>117.55061152970072</v>
      </c>
      <c r="M86" s="99">
        <f ca="1">+L86/References!$F$78</f>
        <v>120.16725347409923</v>
      </c>
      <c r="N86" s="99">
        <f t="shared" ca="1" si="41"/>
        <v>0.43853994333957508</v>
      </c>
      <c r="O86" s="99">
        <f>+'Proposed Rates'!B104</f>
        <v>20.079999999999998</v>
      </c>
      <c r="P86" s="99">
        <f t="shared" ca="1" si="64"/>
        <v>20.518539943339572</v>
      </c>
      <c r="Q86" s="99">
        <f ca="1">+'Proposed Rates'!H104</f>
        <v>20.518539943339572</v>
      </c>
      <c r="R86" s="99">
        <f t="shared" si="65"/>
        <v>5502.2546666666658</v>
      </c>
      <c r="S86" s="99">
        <f t="shared" ca="1" si="66"/>
        <v>5622.421920140765</v>
      </c>
      <c r="T86" s="99">
        <f t="shared" ca="1" si="67"/>
        <v>120.1672534740992</v>
      </c>
      <c r="U86" s="99" t="str">
        <f t="shared" ca="1" si="75"/>
        <v xml:space="preserve"> </v>
      </c>
      <c r="V86" s="100">
        <f ca="1">((I86*$H$114)*(References!$D$69/References!$F$78))</f>
        <v>0.43853994333957508</v>
      </c>
      <c r="W86" s="122">
        <f t="shared" ca="1" si="42"/>
        <v>0</v>
      </c>
    </row>
    <row r="87" spans="1:23" s="86" customFormat="1" ht="13.5" customHeight="1">
      <c r="A87" s="98" t="s">
        <v>206</v>
      </c>
      <c r="B87" s="98" t="s">
        <v>207</v>
      </c>
      <c r="D87" s="232"/>
      <c r="E87" s="115">
        <f>INDEX([33]Regulated!$D:$D,MATCH(A87,[33]Regulated!$A:$A,0))</f>
        <v>146.99464359291306</v>
      </c>
      <c r="G87" s="100">
        <f>+References!C15</f>
        <v>1</v>
      </c>
      <c r="H87" s="101">
        <f t="shared" si="33"/>
        <v>146.99464359291306</v>
      </c>
      <c r="I87" s="86">
        <f>+References!C38</f>
        <v>250</v>
      </c>
      <c r="J87" s="87">
        <f t="shared" si="34"/>
        <v>36748.660898228263</v>
      </c>
      <c r="K87" s="87">
        <f t="shared" si="58"/>
        <v>27890.022270572445</v>
      </c>
      <c r="L87" s="99">
        <f ca="1">+K87*References!$D$69</f>
        <v>90.084771933949099</v>
      </c>
      <c r="M87" s="99">
        <f ca="1">+L87/References!$F$78</f>
        <v>92.090032389224461</v>
      </c>
      <c r="N87" s="99">
        <f t="shared" ca="1" si="41"/>
        <v>0.62648563334225005</v>
      </c>
      <c r="O87" s="99">
        <f>+'Proposed Rates'!B105</f>
        <v>27.08</v>
      </c>
      <c r="P87" s="99">
        <f t="shared" ca="1" si="64"/>
        <v>27.706485633342247</v>
      </c>
      <c r="Q87" s="99">
        <f ca="1">+'Proposed Rates'!H105</f>
        <v>27.706485633342247</v>
      </c>
      <c r="R87" s="99">
        <f t="shared" si="65"/>
        <v>3980.6149484960856</v>
      </c>
      <c r="S87" s="99">
        <f t="shared" ca="1" si="66"/>
        <v>4072.7049808853099</v>
      </c>
      <c r="T87" s="99">
        <f t="shared" ca="1" si="67"/>
        <v>92.090032389224234</v>
      </c>
      <c r="U87" s="99" t="str">
        <f t="shared" ca="1" si="75"/>
        <v xml:space="preserve"> </v>
      </c>
      <c r="V87" s="100">
        <f ca="1">((I87*$H$114)*(References!$D$69/References!$F$78))</f>
        <v>0.62648563334225005</v>
      </c>
      <c r="W87" s="122">
        <f t="shared" ca="1" si="42"/>
        <v>0</v>
      </c>
    </row>
    <row r="88" spans="1:23" s="86" customFormat="1" ht="13.5" customHeight="1">
      <c r="A88" s="98" t="s">
        <v>208</v>
      </c>
      <c r="B88" s="98" t="s">
        <v>209</v>
      </c>
      <c r="D88" s="232"/>
      <c r="E88" s="115">
        <f>INDEX([33]Regulated!$D:$D,MATCH(A88,[33]Regulated!$A:$A,0))</f>
        <v>1492.7100428795857</v>
      </c>
      <c r="G88" s="100">
        <f>+References!C15</f>
        <v>1</v>
      </c>
      <c r="H88" s="101">
        <f t="shared" si="33"/>
        <v>1492.7100428795857</v>
      </c>
      <c r="I88" s="86">
        <f>+References!C39</f>
        <v>324</v>
      </c>
      <c r="J88" s="87">
        <f t="shared" si="34"/>
        <v>483638.05389298574</v>
      </c>
      <c r="K88" s="87">
        <f t="shared" si="58"/>
        <v>367052.17997812835</v>
      </c>
      <c r="L88" s="99">
        <f ca="1">+K88*References!$D$69</f>
        <v>1185.5785413293559</v>
      </c>
      <c r="M88" s="99">
        <f ca="1">+L88/References!$F$78</f>
        <v>1211.9691700062417</v>
      </c>
      <c r="N88" s="99">
        <f t="shared" ca="1" si="41"/>
        <v>0.81192538081155607</v>
      </c>
      <c r="O88" s="99">
        <f>+'Proposed Rates'!B106</f>
        <v>32.35</v>
      </c>
      <c r="P88" s="99">
        <f t="shared" ca="1" si="64"/>
        <v>33.16192538081156</v>
      </c>
      <c r="Q88" s="99">
        <f ca="1">+'Proposed Rates'!H106</f>
        <v>33.16192538081156</v>
      </c>
      <c r="R88" s="99">
        <f t="shared" si="65"/>
        <v>48289.169887154596</v>
      </c>
      <c r="S88" s="99">
        <f t="shared" ca="1" si="66"/>
        <v>49501.139057160843</v>
      </c>
      <c r="T88" s="99">
        <f t="shared" ca="1" si="67"/>
        <v>1211.9691700062467</v>
      </c>
      <c r="U88" s="99" t="str">
        <f t="shared" ca="1" si="75"/>
        <v xml:space="preserve"> </v>
      </c>
      <c r="V88" s="100">
        <f ca="1">((I88*$H$114)*(References!$D$69/References!$F$78))</f>
        <v>0.81192538081155607</v>
      </c>
      <c r="W88" s="122">
        <f t="shared" ca="1" si="42"/>
        <v>0</v>
      </c>
    </row>
    <row r="89" spans="1:23" s="86" customFormat="1" ht="13.5" customHeight="1">
      <c r="A89" s="98" t="s">
        <v>210</v>
      </c>
      <c r="B89" s="98" t="s">
        <v>211</v>
      </c>
      <c r="D89" s="232"/>
      <c r="E89" s="115">
        <f>INDEX([33]Regulated!$D:$D,MATCH(A89,[33]Regulated!$A:$A,0))</f>
        <v>27</v>
      </c>
      <c r="G89" s="100">
        <f>+References!C15</f>
        <v>1</v>
      </c>
      <c r="H89" s="101">
        <f t="shared" si="33"/>
        <v>27</v>
      </c>
      <c r="I89" s="86">
        <f>+References!C40</f>
        <v>473</v>
      </c>
      <c r="J89" s="87">
        <f t="shared" si="34"/>
        <v>12771</v>
      </c>
      <c r="K89" s="87">
        <f t="shared" si="58"/>
        <v>9692.4205048966305</v>
      </c>
      <c r="L89" s="99">
        <f ca="1">+K89*References!$D$69</f>
        <v>31.306518230816152</v>
      </c>
      <c r="M89" s="99">
        <f ca="1">+L89/References!$F$78</f>
        <v>32.003392093655499</v>
      </c>
      <c r="N89" s="99">
        <f t="shared" ca="1" si="41"/>
        <v>1.185310818283537</v>
      </c>
      <c r="O89" s="99">
        <f>+'Proposed Rates'!B107</f>
        <v>45.19</v>
      </c>
      <c r="P89" s="99">
        <f t="shared" ca="1" si="64"/>
        <v>46.375310818283538</v>
      </c>
      <c r="Q89" s="99">
        <f ca="1">+'Proposed Rates'!H107</f>
        <v>46.375310818283538</v>
      </c>
      <c r="R89" s="99">
        <f t="shared" si="65"/>
        <v>1220.1299999999999</v>
      </c>
      <c r="S89" s="99">
        <f t="shared" ca="1" si="66"/>
        <v>1252.1333920936554</v>
      </c>
      <c r="T89" s="99">
        <f t="shared" ca="1" si="67"/>
        <v>32.003392093655521</v>
      </c>
      <c r="U89" s="99" t="str">
        <f t="shared" ca="1" si="75"/>
        <v xml:space="preserve"> </v>
      </c>
      <c r="V89" s="100">
        <f ca="1">((I89*$H$114)*(References!$D$69/References!$F$78))</f>
        <v>1.1853108182835372</v>
      </c>
      <c r="W89" s="122">
        <f t="shared" ca="1" si="42"/>
        <v>0</v>
      </c>
    </row>
    <row r="90" spans="1:23" s="86" customFormat="1" ht="13.5" customHeight="1">
      <c r="A90" s="98" t="s">
        <v>212</v>
      </c>
      <c r="B90" s="98" t="s">
        <v>213</v>
      </c>
      <c r="D90" s="232"/>
      <c r="E90" s="115">
        <f>INDEX([33]Regulated!$D:$D,MATCH(A90,[33]Regulated!$A:$A,0))</f>
        <v>2</v>
      </c>
      <c r="G90" s="100">
        <f>+References!C15</f>
        <v>1</v>
      </c>
      <c r="H90" s="101">
        <f t="shared" si="33"/>
        <v>2</v>
      </c>
      <c r="I90" s="86">
        <f>+References!C41</f>
        <v>613</v>
      </c>
      <c r="J90" s="87">
        <f t="shared" si="34"/>
        <v>1226</v>
      </c>
      <c r="K90" s="87">
        <f t="shared" si="58"/>
        <v>930.46022543287677</v>
      </c>
      <c r="L90" s="99">
        <f ca="1">+K90*References!$D$69</f>
        <v>3.0053865281481955</v>
      </c>
      <c r="M90" s="99">
        <f ca="1">+L90/References!$F$78</f>
        <v>3.0722855459103942</v>
      </c>
      <c r="N90" s="99">
        <f t="shared" ca="1" si="41"/>
        <v>1.5361427729551971</v>
      </c>
      <c r="O90" s="99">
        <f>+'Proposed Rates'!B108</f>
        <v>58.49</v>
      </c>
      <c r="P90" s="99">
        <f t="shared" ca="1" si="64"/>
        <v>60.026142772955197</v>
      </c>
      <c r="Q90" s="99">
        <f ca="1">+'Proposed Rates'!H108</f>
        <v>60.026142772955197</v>
      </c>
      <c r="R90" s="99">
        <f t="shared" si="65"/>
        <v>116.98</v>
      </c>
      <c r="S90" s="99">
        <f t="shared" ca="1" si="66"/>
        <v>120.05228554591039</v>
      </c>
      <c r="T90" s="99">
        <f t="shared" ca="1" si="67"/>
        <v>3.0722855459103897</v>
      </c>
      <c r="U90" s="99" t="str">
        <f t="shared" ca="1" si="75"/>
        <v xml:space="preserve"> </v>
      </c>
      <c r="V90" s="100">
        <f ca="1">((I90*$H$114)*(References!$D$69/References!$F$78))</f>
        <v>1.5361427729551971</v>
      </c>
      <c r="W90" s="122">
        <f t="shared" ca="1" si="42"/>
        <v>0</v>
      </c>
    </row>
    <row r="91" spans="1:23" s="145" customFormat="1" ht="13.5" customHeight="1">
      <c r="A91" s="112" t="s">
        <v>214</v>
      </c>
      <c r="B91" s="112" t="s">
        <v>215</v>
      </c>
      <c r="C91" s="113"/>
      <c r="D91" s="232"/>
      <c r="E91" s="115">
        <f>INDEX([33]Regulated!$D:$D,MATCH(A91,[33]Regulated!$A:$A,0))</f>
        <v>10330.932810601036</v>
      </c>
      <c r="F91" s="113"/>
      <c r="G91" s="116">
        <f>+References!C12</f>
        <v>4.33</v>
      </c>
      <c r="H91" s="110">
        <f>+E91*G91</f>
        <v>44732.939069902488</v>
      </c>
      <c r="I91" s="113">
        <f>+References!C35</f>
        <v>29</v>
      </c>
      <c r="J91" s="115">
        <f t="shared" si="34"/>
        <v>1297255.233027172</v>
      </c>
      <c r="K91" s="115">
        <f t="shared" si="58"/>
        <v>984538.65951585781</v>
      </c>
      <c r="L91" s="114">
        <f ca="1">+K91*References!$D$69</f>
        <v>3180.0598702362245</v>
      </c>
      <c r="M91" s="114">
        <f ca="1">+L91/References!$F$78</f>
        <v>3250.8470650783047</v>
      </c>
      <c r="N91" s="99">
        <f ca="1">IFERROR(+M91/E91,0)</f>
        <v>0.31467120391514536</v>
      </c>
      <c r="O91" s="114">
        <f>+'Proposed Rates'!B148</f>
        <v>14.28</v>
      </c>
      <c r="P91" s="114">
        <f t="shared" ca="1" si="64"/>
        <v>14.594671203915144</v>
      </c>
      <c r="Q91" s="114">
        <f ca="1">+'Proposed Rates'!H148</f>
        <v>14.594671203915144</v>
      </c>
      <c r="R91" s="114">
        <f>+E91*O91</f>
        <v>147525.7205353828</v>
      </c>
      <c r="S91" s="114">
        <f ca="1">+E91*P91</f>
        <v>150776.5676004611</v>
      </c>
      <c r="T91" s="114">
        <f t="shared" ca="1" si="67"/>
        <v>3250.8470650782983</v>
      </c>
      <c r="U91" s="99" t="str">
        <f t="shared" ca="1" si="75"/>
        <v xml:space="preserve"> </v>
      </c>
      <c r="V91" s="239">
        <f ca="1">((I91*$H$114)*(References!$D$69/References!$F$78))*'Regulated DF Calc'!G91</f>
        <v>0.31467120391514536</v>
      </c>
      <c r="W91" s="122">
        <f t="shared" ca="1" si="42"/>
        <v>0</v>
      </c>
    </row>
    <row r="92" spans="1:23" s="86" customFormat="1" ht="13.5" customHeight="1">
      <c r="A92" s="98" t="s">
        <v>216</v>
      </c>
      <c r="B92" s="98" t="s">
        <v>88</v>
      </c>
      <c r="D92" s="232"/>
      <c r="E92" s="115">
        <f>INDEX([33]Regulated!$D:$D,MATCH(A92,[33]Regulated!$A:$A,0))</f>
        <v>753.48909026168405</v>
      </c>
      <c r="G92" s="100">
        <f>+References!D12</f>
        <v>8.66</v>
      </c>
      <c r="H92" s="101">
        <f t="shared" si="33"/>
        <v>6525.215521666184</v>
      </c>
      <c r="I92" s="86">
        <f>+References!C35</f>
        <v>29</v>
      </c>
      <c r="J92" s="87">
        <f t="shared" si="34"/>
        <v>189231.25012831934</v>
      </c>
      <c r="K92" s="87">
        <f t="shared" si="58"/>
        <v>143615.13185427498</v>
      </c>
      <c r="L92" s="99">
        <f ca="1">+K92*References!$D$69</f>
        <v>463.87687588930874</v>
      </c>
      <c r="M92" s="99">
        <f ca="1">+L92/References!$F$78</f>
        <v>474.20263833914356</v>
      </c>
      <c r="N92" s="99">
        <f t="shared" ca="1" si="41"/>
        <v>7.2672333467701009E-2</v>
      </c>
      <c r="O92" s="99">
        <f>+'Proposed Rates'!B133</f>
        <v>3.3</v>
      </c>
      <c r="P92" s="99">
        <f t="shared" ca="1" si="64"/>
        <v>3.3726723334677007</v>
      </c>
      <c r="Q92" s="99">
        <f ca="1">+'Proposed Rates'!H133</f>
        <v>3.3726723334677007</v>
      </c>
      <c r="R92" s="99">
        <f t="shared" ref="R92:R103" si="76">+E92*O92*G92</f>
        <v>21533.211221498404</v>
      </c>
      <c r="S92" s="99">
        <f t="shared" ref="S92:S103" ca="1" si="77">+E92*P92*G92</f>
        <v>22007.413859837547</v>
      </c>
      <c r="T92" s="99">
        <f t="shared" ca="1" si="67"/>
        <v>474.20263833914214</v>
      </c>
      <c r="U92" s="99" t="str">
        <f t="shared" ca="1" si="75"/>
        <v xml:space="preserve"> </v>
      </c>
      <c r="V92" s="100">
        <f ca="1">((I92*$H$114)*(References!$D$69/References!$F$78))</f>
        <v>7.2672333467701009E-2</v>
      </c>
      <c r="W92" s="122">
        <f t="shared" ca="1" si="42"/>
        <v>0</v>
      </c>
    </row>
    <row r="93" spans="1:23" s="86" customFormat="1" ht="13.5" customHeight="1">
      <c r="A93" s="98" t="s">
        <v>217</v>
      </c>
      <c r="B93" s="98" t="s">
        <v>90</v>
      </c>
      <c r="D93" s="232"/>
      <c r="E93" s="115">
        <f>INDEX([33]Regulated!$D:$D,MATCH(A93,[33]Regulated!$A:$A,0))</f>
        <v>227.62812024912955</v>
      </c>
      <c r="G93" s="100">
        <f>+References!E12</f>
        <v>12.99</v>
      </c>
      <c r="H93" s="101">
        <f t="shared" si="33"/>
        <v>2956.889282036193</v>
      </c>
      <c r="I93" s="86">
        <f>+References!C35</f>
        <v>29</v>
      </c>
      <c r="J93" s="87">
        <f t="shared" si="34"/>
        <v>85749.789179049592</v>
      </c>
      <c r="K93" s="87">
        <f t="shared" si="58"/>
        <v>65078.929992137149</v>
      </c>
      <c r="L93" s="99">
        <f ca="1">+K93*References!$D$69</f>
        <v>210.20494387460323</v>
      </c>
      <c r="M93" s="99">
        <f ca="1">+L93/References!$F$78</f>
        <v>214.88404393120521</v>
      </c>
      <c r="N93" s="99">
        <f t="shared" ca="1" si="41"/>
        <v>7.2672333467700995E-2</v>
      </c>
      <c r="O93" s="99">
        <f>+'Proposed Rates'!B133</f>
        <v>3.3</v>
      </c>
      <c r="P93" s="99">
        <f t="shared" ca="1" si="64"/>
        <v>3.3726723334677007</v>
      </c>
      <c r="Q93" s="99">
        <f ca="1">+'Proposed Rates'!H133</f>
        <v>3.3726723334677007</v>
      </c>
      <c r="R93" s="99">
        <f t="shared" si="76"/>
        <v>9757.7346307194366</v>
      </c>
      <c r="S93" s="99">
        <f t="shared" ca="1" si="77"/>
        <v>9972.618674650641</v>
      </c>
      <c r="T93" s="99">
        <f t="shared" ca="1" si="67"/>
        <v>214.88404393120436</v>
      </c>
      <c r="U93" s="99" t="str">
        <f t="shared" ca="1" si="75"/>
        <v xml:space="preserve"> </v>
      </c>
      <c r="V93" s="100">
        <f ca="1">((I93*$H$114)*(References!$D$69/References!$F$78))</f>
        <v>7.2672333467701009E-2</v>
      </c>
      <c r="W93" s="122">
        <f t="shared" ca="1" si="42"/>
        <v>0</v>
      </c>
    </row>
    <row r="94" spans="1:23" s="86" customFormat="1" ht="13.5" customHeight="1">
      <c r="A94" s="98" t="s">
        <v>218</v>
      </c>
      <c r="B94" s="98" t="s">
        <v>92</v>
      </c>
      <c r="D94" s="232"/>
      <c r="E94" s="115">
        <f>INDEX([33]Regulated!$D:$D,MATCH(A94,[33]Regulated!$A:$A,0))</f>
        <v>88.083285061466171</v>
      </c>
      <c r="G94" s="100">
        <f>+References!F12</f>
        <v>17.32</v>
      </c>
      <c r="H94" s="101">
        <f t="shared" si="33"/>
        <v>1525.6024972645941</v>
      </c>
      <c r="I94" s="86">
        <f>+References!C35</f>
        <v>29</v>
      </c>
      <c r="J94" s="87">
        <f t="shared" si="34"/>
        <v>44242.472420673228</v>
      </c>
      <c r="K94" s="87">
        <f t="shared" si="58"/>
        <v>33577.374275895141</v>
      </c>
      <c r="L94" s="99">
        <f ca="1">+K94*References!$D$69</f>
        <v>108.45491891114143</v>
      </c>
      <c r="M94" s="99">
        <f ca="1">+L94/References!$F$78</f>
        <v>110.86909342036999</v>
      </c>
      <c r="N94" s="99">
        <f t="shared" ca="1" si="41"/>
        <v>7.2672333467701009E-2</v>
      </c>
      <c r="O94" s="99">
        <f>+'Proposed Rates'!B133</f>
        <v>3.3</v>
      </c>
      <c r="P94" s="99">
        <f t="shared" ca="1" si="64"/>
        <v>3.3726723334677007</v>
      </c>
      <c r="Q94" s="99">
        <f ca="1">+'Proposed Rates'!H133</f>
        <v>3.3726723334677007</v>
      </c>
      <c r="R94" s="99">
        <f t="shared" si="76"/>
        <v>5034.4882409731608</v>
      </c>
      <c r="S94" s="99">
        <f t="shared" ca="1" si="77"/>
        <v>5145.3573343935295</v>
      </c>
      <c r="T94" s="99">
        <f t="shared" ca="1" si="67"/>
        <v>110.8690934203687</v>
      </c>
      <c r="U94" s="99" t="str">
        <f t="shared" ca="1" si="75"/>
        <v xml:space="preserve"> </v>
      </c>
      <c r="V94" s="100">
        <f ca="1">((I94*$H$114)*(References!$D$69/References!$F$78))</f>
        <v>7.2672333467701009E-2</v>
      </c>
      <c r="W94" s="122">
        <f t="shared" ca="1" si="42"/>
        <v>0</v>
      </c>
    </row>
    <row r="95" spans="1:23" s="86" customFormat="1" ht="13.5" customHeight="1">
      <c r="A95" s="98" t="s">
        <v>219</v>
      </c>
      <c r="B95" s="98" t="s">
        <v>94</v>
      </c>
      <c r="D95" s="232"/>
      <c r="E95" s="115">
        <f>INDEX([33]Regulated!$D:$D,MATCH(A95,[33]Regulated!$A:$A,0))</f>
        <v>24.095238095238095</v>
      </c>
      <c r="G95" s="100">
        <f>+References!G12</f>
        <v>21.65</v>
      </c>
      <c r="H95" s="101">
        <f t="shared" si="33"/>
        <v>521.66190476190468</v>
      </c>
      <c r="I95" s="86">
        <f>+References!C35</f>
        <v>29</v>
      </c>
      <c r="J95" s="87">
        <f t="shared" si="34"/>
        <v>15128.195238095235</v>
      </c>
      <c r="K95" s="87">
        <f t="shared" si="58"/>
        <v>11481.389846354539</v>
      </c>
      <c r="L95" s="99">
        <f ca="1">+K95*References!$D$69</f>
        <v>37.084889203725204</v>
      </c>
      <c r="M95" s="99">
        <f ca="1">+L95/References!$F$78</f>
        <v>37.91038790025322</v>
      </c>
      <c r="N95" s="99">
        <f t="shared" ca="1" si="41"/>
        <v>7.2672333467701009E-2</v>
      </c>
      <c r="O95" s="99">
        <f>+'Proposed Rates'!B133</f>
        <v>3.3</v>
      </c>
      <c r="P95" s="99">
        <f t="shared" ca="1" si="64"/>
        <v>3.3726723334677007</v>
      </c>
      <c r="Q95" s="99">
        <f ca="1">+'Proposed Rates'!H133</f>
        <v>3.3726723334677007</v>
      </c>
      <c r="R95" s="99">
        <f t="shared" si="76"/>
        <v>1721.4842857142853</v>
      </c>
      <c r="S95" s="99">
        <f t="shared" ca="1" si="77"/>
        <v>1759.3946736145385</v>
      </c>
      <c r="T95" s="99">
        <f t="shared" ca="1" si="67"/>
        <v>37.910387900253227</v>
      </c>
      <c r="U95" s="99" t="str">
        <f t="shared" ca="1" si="75"/>
        <v xml:space="preserve"> </v>
      </c>
      <c r="V95" s="100">
        <f ca="1">((I95*$H$114)*(References!$D$69/References!$F$78))</f>
        <v>7.2672333467701009E-2</v>
      </c>
      <c r="W95" s="122">
        <f t="shared" ca="1" si="42"/>
        <v>0</v>
      </c>
    </row>
    <row r="96" spans="1:23" s="232" customFormat="1" ht="13.5" customHeight="1">
      <c r="A96" s="235" t="s">
        <v>423</v>
      </c>
      <c r="B96" s="235" t="s">
        <v>98</v>
      </c>
      <c r="E96" s="115">
        <f>INDEX([33]Regulated!$D:$D,MATCH(A96,[33]Regulated!$A:$A,0))</f>
        <v>12.047619047619047</v>
      </c>
      <c r="G96" s="233">
        <f>+References!I12</f>
        <v>30.31</v>
      </c>
      <c r="H96" s="234">
        <f t="shared" ref="H96" si="78">+E96*G96</f>
        <v>365.1633333333333</v>
      </c>
      <c r="I96" s="232">
        <f>+References!C35</f>
        <v>29</v>
      </c>
      <c r="J96" s="115">
        <f t="shared" ref="J96" si="79">+H96*I96</f>
        <v>10589.736666666666</v>
      </c>
      <c r="K96" s="115">
        <f t="shared" ref="K96" si="80">+J96*$H$114</f>
        <v>8036.9728924481788</v>
      </c>
      <c r="L96" s="114">
        <f ca="1">+K96*References!$D$69</f>
        <v>25.959422442607647</v>
      </c>
      <c r="M96" s="114">
        <f ca="1">+L96/References!$F$78</f>
        <v>26.537271530177257</v>
      </c>
      <c r="N96" s="114">
        <f t="shared" ref="N96" ca="1" si="81">IFERROR(+M96/H96,0)</f>
        <v>7.2672333467701009E-2</v>
      </c>
      <c r="O96" s="114">
        <f>+'Proposed Rates'!B133</f>
        <v>3.3</v>
      </c>
      <c r="P96" s="114">
        <f t="shared" ref="P96" ca="1" si="82">+O96+N96</f>
        <v>3.3726723334677007</v>
      </c>
      <c r="Q96" s="114">
        <f ca="1">+'Proposed Rates'!H133</f>
        <v>3.3726723334677007</v>
      </c>
      <c r="R96" s="114">
        <f t="shared" ref="R96" si="83">+E96*O96*G96</f>
        <v>1205.0389999999998</v>
      </c>
      <c r="S96" s="114">
        <f t="shared" ref="S96" ca="1" si="84">+E96*P96*G96</f>
        <v>1231.5762715301771</v>
      </c>
      <c r="T96" s="114">
        <f t="shared" ref="T96" ca="1" si="85">+S96-R96</f>
        <v>26.53727153017735</v>
      </c>
      <c r="U96" s="114" t="str">
        <f t="shared" ca="1" si="75"/>
        <v xml:space="preserve"> </v>
      </c>
      <c r="V96" s="100">
        <f ca="1">((I96*$H$114)*(References!$D$69/References!$F$78))</f>
        <v>7.2672333467701009E-2</v>
      </c>
      <c r="W96" s="122">
        <f t="shared" ca="1" si="42"/>
        <v>0</v>
      </c>
    </row>
    <row r="97" spans="1:23" s="86" customFormat="1" ht="13.5" customHeight="1">
      <c r="A97" s="98" t="s">
        <v>220</v>
      </c>
      <c r="B97" s="98" t="s">
        <v>96</v>
      </c>
      <c r="D97" s="232"/>
      <c r="E97" s="115">
        <f>INDEX([33]Regulated!$D:$D,MATCH(A97,[33]Regulated!$A:$A,0))</f>
        <v>24.095238095238095</v>
      </c>
      <c r="G97" s="100">
        <f>+References!H12</f>
        <v>25.98</v>
      </c>
      <c r="H97" s="101">
        <f t="shared" si="33"/>
        <v>625.99428571428575</v>
      </c>
      <c r="I97" s="86">
        <f>+References!C35</f>
        <v>29</v>
      </c>
      <c r="J97" s="87">
        <f t="shared" si="34"/>
        <v>18153.834285714285</v>
      </c>
      <c r="K97" s="87">
        <f>+J97*$H$114</f>
        <v>13777.667815625451</v>
      </c>
      <c r="L97" s="99">
        <f ca="1">+K97*References!$D$69</f>
        <v>44.501867044470259</v>
      </c>
      <c r="M97" s="99">
        <f ca="1">+L97/References!$F$78</f>
        <v>45.492465480303878</v>
      </c>
      <c r="N97" s="99">
        <f t="shared" ca="1" si="41"/>
        <v>7.2672333467701009E-2</v>
      </c>
      <c r="O97" s="99">
        <f>+'Proposed Rates'!B133</f>
        <v>3.3</v>
      </c>
      <c r="P97" s="99">
        <f t="shared" ca="1" si="64"/>
        <v>3.3726723334677007</v>
      </c>
      <c r="Q97" s="99">
        <f ca="1">+'Proposed Rates'!H133</f>
        <v>3.3726723334677007</v>
      </c>
      <c r="R97" s="99">
        <f t="shared" si="76"/>
        <v>2065.7811428571426</v>
      </c>
      <c r="S97" s="99">
        <f t="shared" ca="1" si="77"/>
        <v>2111.2736083374466</v>
      </c>
      <c r="T97" s="99">
        <f t="shared" ca="1" si="67"/>
        <v>45.492465480303963</v>
      </c>
      <c r="U97" s="99" t="str">
        <f t="shared" ca="1" si="75"/>
        <v xml:space="preserve"> </v>
      </c>
      <c r="V97" s="100">
        <f ca="1">((I97*$H$114)*(References!$D$69/References!$F$78))</f>
        <v>7.2672333467701009E-2</v>
      </c>
      <c r="W97" s="122">
        <f t="shared" ca="1" si="42"/>
        <v>0</v>
      </c>
    </row>
    <row r="98" spans="1:23" s="86" customFormat="1" ht="13.5" customHeight="1">
      <c r="A98" s="98" t="s">
        <v>221</v>
      </c>
      <c r="B98" s="98" t="s">
        <v>100</v>
      </c>
      <c r="D98" s="232"/>
      <c r="E98" s="115">
        <f>INDEX([33]Regulated!$D:$D,MATCH(A98,[33]Regulated!$A:$A,0))</f>
        <v>12.047619047619047</v>
      </c>
      <c r="G98" s="117">
        <f>+References!C12*8</f>
        <v>34.64</v>
      </c>
      <c r="H98" s="101">
        <f t="shared" si="33"/>
        <v>417.32952380952383</v>
      </c>
      <c r="I98" s="86">
        <f>+References!C35</f>
        <v>29</v>
      </c>
      <c r="J98" s="87">
        <f t="shared" si="34"/>
        <v>12102.556190476191</v>
      </c>
      <c r="K98" s="87">
        <f>+J98*$H$114</f>
        <v>9185.1118770836347</v>
      </c>
      <c r="L98" s="99">
        <f ca="1">+K98*References!$D$69</f>
        <v>29.667911362980174</v>
      </c>
      <c r="M98" s="99">
        <f ca="1">+L98/References!$F$78</f>
        <v>30.328310320202586</v>
      </c>
      <c r="N98" s="99">
        <f t="shared" ca="1" si="41"/>
        <v>7.2672333467701009E-2</v>
      </c>
      <c r="O98" s="99">
        <f>+'Proposed Rates'!B133</f>
        <v>3.3</v>
      </c>
      <c r="P98" s="99">
        <f t="shared" ca="1" si="64"/>
        <v>3.3726723334677007</v>
      </c>
      <c r="Q98" s="99">
        <f ca="1">+'Proposed Rates'!H133</f>
        <v>3.3726723334677007</v>
      </c>
      <c r="R98" s="99">
        <f t="shared" si="76"/>
        <v>1377.1874285714284</v>
      </c>
      <c r="S98" s="99">
        <f t="shared" ca="1" si="77"/>
        <v>1407.5157388916309</v>
      </c>
      <c r="T98" s="99">
        <f t="shared" ca="1" si="67"/>
        <v>30.32831032020249</v>
      </c>
      <c r="U98" s="99" t="str">
        <f t="shared" ca="1" si="75"/>
        <v xml:space="preserve"> </v>
      </c>
      <c r="V98" s="100">
        <f ca="1">((I98*$H$114)*(References!$D$69/References!$F$78))</f>
        <v>7.2672333467701009E-2</v>
      </c>
      <c r="W98" s="122">
        <f t="shared" ca="1" si="42"/>
        <v>0</v>
      </c>
    </row>
    <row r="99" spans="1:23" s="86" customFormat="1" ht="13.5" customHeight="1">
      <c r="A99" s="98" t="s">
        <v>222</v>
      </c>
      <c r="B99" s="98" t="s">
        <v>101</v>
      </c>
      <c r="D99" s="232"/>
      <c r="E99" s="115">
        <f>INDEX([33]Regulated!$D:$D,MATCH(A99,[33]Regulated!$A:$A,0))</f>
        <v>12.047619047619047</v>
      </c>
      <c r="G99" s="117">
        <f>+References!C12*9</f>
        <v>38.97</v>
      </c>
      <c r="H99" s="101">
        <f t="shared" si="33"/>
        <v>469.49571428571426</v>
      </c>
      <c r="I99" s="86">
        <f>+References!C35</f>
        <v>29</v>
      </c>
      <c r="J99" s="87">
        <f t="shared" si="34"/>
        <v>13615.375714285714</v>
      </c>
      <c r="K99" s="87">
        <f>+J99*$H$114</f>
        <v>10333.250861719087</v>
      </c>
      <c r="L99" s="99">
        <f ca="1">+K99*References!$D$69</f>
        <v>33.376400283352687</v>
      </c>
      <c r="M99" s="99">
        <f ca="1">+L99/References!$F$78</f>
        <v>34.119349110227901</v>
      </c>
      <c r="N99" s="99">
        <f t="shared" ca="1" si="41"/>
        <v>7.2672333467701009E-2</v>
      </c>
      <c r="O99" s="99">
        <f>+'Proposed Rates'!B133</f>
        <v>3.3</v>
      </c>
      <c r="P99" s="99">
        <f t="shared" ca="1" si="64"/>
        <v>3.3726723334677007</v>
      </c>
      <c r="Q99" s="99">
        <f ca="1">+'Proposed Rates'!H133</f>
        <v>3.3726723334677007</v>
      </c>
      <c r="R99" s="99">
        <f t="shared" si="76"/>
        <v>1549.3358571428569</v>
      </c>
      <c r="S99" s="99">
        <f t="shared" ca="1" si="77"/>
        <v>1583.4552062530847</v>
      </c>
      <c r="T99" s="99">
        <f t="shared" ca="1" si="67"/>
        <v>34.119349110227859</v>
      </c>
      <c r="U99" s="99" t="str">
        <f t="shared" ca="1" si="75"/>
        <v xml:space="preserve"> </v>
      </c>
      <c r="V99" s="100">
        <f ca="1">((I99*$H$114)*(References!$D$69/References!$F$78))</f>
        <v>7.2672333467701009E-2</v>
      </c>
      <c r="W99" s="122">
        <f t="shared" ref="W99:W104" ca="1" si="86">N99-V99</f>
        <v>0</v>
      </c>
    </row>
    <row r="100" spans="1:23" s="232" customFormat="1" ht="13.5" customHeight="1">
      <c r="A100" s="235" t="s">
        <v>315</v>
      </c>
      <c r="B100" s="235" t="s">
        <v>316</v>
      </c>
      <c r="E100" s="115">
        <f>INDEX([33]Regulated!$D:$D,MATCH(A100,[33]Regulated!$A:$A,0))</f>
        <v>992.82377361617523</v>
      </c>
      <c r="G100" s="117">
        <f>+References!C13</f>
        <v>2.17</v>
      </c>
      <c r="H100" s="234">
        <f t="shared" ref="H100" si="87">+E100*G100</f>
        <v>2154.4275887471003</v>
      </c>
      <c r="I100" s="232">
        <f>+References!C35</f>
        <v>29</v>
      </c>
      <c r="J100" s="115">
        <f t="shared" ref="J100" si="88">+H100*I100</f>
        <v>62478.400073665907</v>
      </c>
      <c r="K100" s="115">
        <f t="shared" ref="K100" si="89">+J100*$H$114</f>
        <v>47417.346017315373</v>
      </c>
      <c r="L100" s="114">
        <f ca="1">+K100*References!$D$69</f>
        <v>153.15802763592882</v>
      </c>
      <c r="M100" s="114">
        <f ca="1">+L100/References!$F$78</f>
        <v>156.56728016144427</v>
      </c>
      <c r="N100" s="114">
        <f t="shared" ref="N100" ca="1" si="90">IFERROR(+M100/H100,0)</f>
        <v>7.2672333467701009E-2</v>
      </c>
      <c r="O100" s="114">
        <f>+'Proposed Rates'!B133</f>
        <v>3.3</v>
      </c>
      <c r="P100" s="114">
        <f t="shared" ref="P100" ca="1" si="91">+O100+N100</f>
        <v>3.3726723334677007</v>
      </c>
      <c r="Q100" s="114">
        <f ca="1">+'Proposed Rates'!H133</f>
        <v>3.3726723334677007</v>
      </c>
      <c r="R100" s="114">
        <f t="shared" ref="R100" si="92">+E100*O100*G100</f>
        <v>7109.6110428654301</v>
      </c>
      <c r="S100" s="114">
        <f t="shared" ref="S100" ca="1" si="93">+E100*P100*G100</f>
        <v>7266.1783230268748</v>
      </c>
      <c r="T100" s="114">
        <f t="shared" ref="T100" ca="1" si="94">+S100-R100</f>
        <v>156.56728016144461</v>
      </c>
      <c r="U100" s="114" t="str">
        <f t="shared" ca="1" si="75"/>
        <v xml:space="preserve"> </v>
      </c>
      <c r="V100" s="100">
        <f ca="1">((I100*$H$114)*(References!$D$69/References!$F$78))</f>
        <v>7.2672333467701009E-2</v>
      </c>
      <c r="W100" s="122">
        <f t="shared" ca="1" si="86"/>
        <v>0</v>
      </c>
    </row>
    <row r="101" spans="1:23" s="86" customFormat="1" ht="13.5" customHeight="1">
      <c r="A101" s="98" t="s">
        <v>223</v>
      </c>
      <c r="B101" s="98" t="s">
        <v>224</v>
      </c>
      <c r="D101" s="232"/>
      <c r="E101" s="115">
        <f>INDEX([33]Regulated!$D:$D,MATCH(A101,[33]Regulated!$A:$A,0))</f>
        <v>3067.7791040061284</v>
      </c>
      <c r="G101" s="100">
        <f>+References!C15</f>
        <v>1</v>
      </c>
      <c r="H101" s="101">
        <f t="shared" ref="H101:H103" si="95">+E101*G101</f>
        <v>3067.7791040061284</v>
      </c>
      <c r="I101" s="86">
        <f>+References!C35</f>
        <v>29</v>
      </c>
      <c r="J101" s="87">
        <f t="shared" ref="J101:J103" si="96">+H101*I101</f>
        <v>88965.594016177725</v>
      </c>
      <c r="K101" s="87">
        <f>+J101*$H$114</f>
        <v>67519.532352416412</v>
      </c>
      <c r="L101" s="99">
        <f ca="1">+K101*References!$D$69</f>
        <v>218.08808949830527</v>
      </c>
      <c r="M101" s="99">
        <f ca="1">+L101/References!$F$78</f>
        <v>222.94266605157839</v>
      </c>
      <c r="N101" s="99">
        <f t="shared" ca="1" si="41"/>
        <v>7.2672333467701009E-2</v>
      </c>
      <c r="O101" s="99">
        <f>+'Proposed Rates'!B146</f>
        <v>4.5199999999999996</v>
      </c>
      <c r="P101" s="99">
        <f t="shared" ref="P101:P103" ca="1" si="97">+O101+N101</f>
        <v>4.5926723334677009</v>
      </c>
      <c r="Q101" s="99">
        <f ca="1">+'Proposed Rates'!H146</f>
        <v>4.5926723334677009</v>
      </c>
      <c r="R101" s="99">
        <f t="shared" si="76"/>
        <v>13866.361550107698</v>
      </c>
      <c r="S101" s="99">
        <f t="shared" ca="1" si="77"/>
        <v>14089.304216159278</v>
      </c>
      <c r="T101" s="99">
        <f t="shared" ref="T101:T103" ca="1" si="98">+S101-R101</f>
        <v>222.94266605158009</v>
      </c>
      <c r="U101" s="99" t="str">
        <f t="shared" ca="1" si="75"/>
        <v xml:space="preserve"> </v>
      </c>
      <c r="V101" s="100">
        <f ca="1">((I101*$H$114)*(References!$D$69/References!$F$78))</f>
        <v>7.2672333467701009E-2</v>
      </c>
      <c r="W101" s="122">
        <f t="shared" ca="1" si="86"/>
        <v>0</v>
      </c>
    </row>
    <row r="102" spans="1:23" s="86" customFormat="1" ht="13.5" customHeight="1">
      <c r="A102" s="98" t="s">
        <v>225</v>
      </c>
      <c r="B102" s="98" t="s">
        <v>226</v>
      </c>
      <c r="D102" s="232"/>
      <c r="E102" s="115">
        <f>INDEX([33]Regulated!$D:$D,MATCH(A102,[33]Regulated!$A:$A,0))</f>
        <v>3265.5486406652089</v>
      </c>
      <c r="G102" s="100">
        <f>+References!C15</f>
        <v>1</v>
      </c>
      <c r="H102" s="101">
        <f t="shared" si="95"/>
        <v>3265.5486406652089</v>
      </c>
      <c r="I102" s="86">
        <f>+References!C36</f>
        <v>125</v>
      </c>
      <c r="J102" s="87">
        <f t="shared" si="96"/>
        <v>408193.58008315112</v>
      </c>
      <c r="K102" s="87">
        <f>+J102*$H$114</f>
        <v>309794.3642287291</v>
      </c>
      <c r="L102" s="99">
        <f ca="1">+K102*References!$D$69</f>
        <v>1000.6357964587961</v>
      </c>
      <c r="M102" s="99">
        <f ca="1">+L102/References!$F$78</f>
        <v>1022.9096541785336</v>
      </c>
      <c r="N102" s="99">
        <f t="shared" ref="N102:N103" ca="1" si="99">IFERROR(+M102/H102,0)</f>
        <v>0.31324281667112502</v>
      </c>
      <c r="O102" s="99">
        <f>+'Proposed Rates'!B63</f>
        <v>25.79</v>
      </c>
      <c r="P102" s="99">
        <f t="shared" ca="1" si="97"/>
        <v>26.103242816671123</v>
      </c>
      <c r="Q102" s="99">
        <f ca="1">+'Proposed Rates'!H63</f>
        <v>26.103242816671123</v>
      </c>
      <c r="R102" s="99">
        <f t="shared" si="76"/>
        <v>84218.499442755739</v>
      </c>
      <c r="S102" s="99">
        <f t="shared" ca="1" si="77"/>
        <v>85241.409096934265</v>
      </c>
      <c r="T102" s="99">
        <f t="shared" ca="1" si="98"/>
        <v>1022.9096541785257</v>
      </c>
      <c r="U102" s="99" t="str">
        <f t="shared" ca="1" si="75"/>
        <v xml:space="preserve"> </v>
      </c>
      <c r="V102" s="100">
        <f ca="1">((I102*$H$114)*(References!$D$69/References!$F$78))</f>
        <v>0.31324281667112502</v>
      </c>
      <c r="W102" s="122">
        <f t="shared" ca="1" si="86"/>
        <v>0</v>
      </c>
    </row>
    <row r="103" spans="1:23" s="86" customFormat="1" ht="13.5" customHeight="1">
      <c r="A103" s="98" t="s">
        <v>227</v>
      </c>
      <c r="B103" s="98" t="s">
        <v>228</v>
      </c>
      <c r="D103" s="232"/>
      <c r="E103" s="115">
        <f>INDEX([33]Regulated!$D:$D,MATCH(A103,[33]Regulated!$A:$A,0))</f>
        <v>1.8257487563918229</v>
      </c>
      <c r="G103" s="100">
        <f>+References!C15</f>
        <v>1</v>
      </c>
      <c r="H103" s="101">
        <f t="shared" si="95"/>
        <v>1.8257487563918229</v>
      </c>
      <c r="I103" s="86">
        <f>+References!C36</f>
        <v>125</v>
      </c>
      <c r="J103" s="87">
        <f t="shared" si="96"/>
        <v>228.21859454897785</v>
      </c>
      <c r="K103" s="87">
        <f>+J103*$H$114</f>
        <v>173.20418020555974</v>
      </c>
      <c r="L103" s="99">
        <f ca="1">+K103*References!$D$69</f>
        <v>0.5594495020639586</v>
      </c>
      <c r="M103" s="99">
        <f ca="1">+L103/References!$F$78</f>
        <v>0.57190268298597824</v>
      </c>
      <c r="N103" s="99">
        <f t="shared" ca="1" si="99"/>
        <v>0.31324281667112502</v>
      </c>
      <c r="O103" s="99">
        <f>+'Proposed Rates'!B64</f>
        <v>20.63</v>
      </c>
      <c r="P103" s="99">
        <f t="shared" ca="1" si="97"/>
        <v>20.943242816671123</v>
      </c>
      <c r="Q103" s="99">
        <f ca="1">+'Proposed Rates'!H64</f>
        <v>20.943242816671123</v>
      </c>
      <c r="R103" s="99">
        <f t="shared" si="76"/>
        <v>37.665196844363301</v>
      </c>
      <c r="S103" s="99">
        <f t="shared" ca="1" si="77"/>
        <v>38.23709952734928</v>
      </c>
      <c r="T103" s="99">
        <f t="shared" ca="1" si="98"/>
        <v>0.57190268298597857</v>
      </c>
      <c r="U103" s="99" t="str">
        <f t="shared" ca="1" si="75"/>
        <v xml:space="preserve"> </v>
      </c>
      <c r="V103" s="100">
        <f ca="1">((I103*$H$114)*(References!$D$69/References!$F$78))</f>
        <v>0.31324281667112502</v>
      </c>
      <c r="W103" s="122">
        <f t="shared" ca="1" si="86"/>
        <v>0</v>
      </c>
    </row>
    <row r="104" spans="1:23" s="86" customFormat="1" ht="13.5" customHeight="1">
      <c r="A104" s="103"/>
      <c r="B104" s="103"/>
      <c r="U104" s="99" t="str">
        <f t="shared" si="75"/>
        <v xml:space="preserve"> </v>
      </c>
      <c r="V104" s="100">
        <f ca="1">((I104*$H$114)*(References!$D$69/References!$F$78))</f>
        <v>0</v>
      </c>
      <c r="W104" s="122">
        <f t="shared" ca="1" si="86"/>
        <v>0</v>
      </c>
    </row>
    <row r="105" spans="1:23" s="86" customFormat="1" ht="13.5" customHeight="1">
      <c r="A105" s="85"/>
      <c r="B105" s="104" t="s">
        <v>229</v>
      </c>
      <c r="D105" s="106"/>
      <c r="E105" s="119">
        <f>+SUM(E36:E104)</f>
        <v>62327.461543593825</v>
      </c>
      <c r="F105" s="119"/>
      <c r="G105" s="119"/>
      <c r="H105" s="119">
        <f>+SUM(H36:H104)</f>
        <v>232952.65136962433</v>
      </c>
      <c r="I105" s="119"/>
      <c r="J105" s="119">
        <f>+SUM(J36:J104)</f>
        <v>70635723.083784148</v>
      </c>
      <c r="K105" s="119">
        <f>+SUM(K36:K104)</f>
        <v>53608263.31496904</v>
      </c>
      <c r="L105" s="105">
        <f ca="1">+SUM(L36:L104)</f>
        <v>173154.69050735026</v>
      </c>
      <c r="M105" s="105">
        <f ca="1">+SUM(M36:M104)</f>
        <v>177009.06285092921</v>
      </c>
      <c r="N105" s="105"/>
      <c r="O105" s="105"/>
      <c r="P105" s="105"/>
      <c r="Q105" s="105"/>
      <c r="R105" s="105">
        <f>+SUM(R36:R104)</f>
        <v>7183321.6612551259</v>
      </c>
      <c r="S105" s="105">
        <f ca="1">+SUM(S36:S104)</f>
        <v>7360330.7241060575</v>
      </c>
      <c r="T105" s="105">
        <f ca="1">+SUM(T36:T104)</f>
        <v>177009.06285092953</v>
      </c>
      <c r="U105" s="149"/>
      <c r="V105" s="149"/>
    </row>
    <row r="106" spans="1:23" s="86" customFormat="1" ht="13.5" customHeight="1">
      <c r="A106" s="85"/>
      <c r="B106" s="104"/>
      <c r="E106" s="101"/>
      <c r="F106" s="101"/>
      <c r="G106" s="101"/>
      <c r="H106" s="101"/>
      <c r="I106" s="101"/>
      <c r="J106" s="101"/>
      <c r="K106" s="101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</row>
    <row r="107" spans="1:23" s="86" customFormat="1" ht="13.5" customHeight="1" thickBot="1">
      <c r="A107" s="85"/>
      <c r="B107" s="104" t="s">
        <v>230</v>
      </c>
      <c r="D107" s="121"/>
      <c r="E107" s="121">
        <f>+E105+E31</f>
        <v>1254049.7329272265</v>
      </c>
      <c r="F107" s="121"/>
      <c r="G107" s="121"/>
      <c r="H107" s="121">
        <f>+H105+H31</f>
        <v>4115523.486293877</v>
      </c>
      <c r="I107" s="121"/>
      <c r="J107" s="121">
        <f>+J105+J31</f>
        <v>218866897.19065589</v>
      </c>
      <c r="K107" s="121">
        <f>+K105+K31</f>
        <v>166106804.64911255</v>
      </c>
      <c r="L107" s="120">
        <f ca="1">+L105+L31</f>
        <v>536524.97901663417</v>
      </c>
      <c r="M107" s="120">
        <f ca="1">+M105+M31</f>
        <v>548467.86681656481</v>
      </c>
      <c r="N107" s="120"/>
      <c r="O107" s="120"/>
      <c r="P107" s="120"/>
      <c r="Q107" s="120"/>
      <c r="R107" s="120">
        <f>+R105+R31</f>
        <v>23251627.299165051</v>
      </c>
      <c r="S107" s="120">
        <f ca="1">+S105+S31</f>
        <v>23800095.165981621</v>
      </c>
      <c r="T107" s="120">
        <f ca="1">+T105+T31</f>
        <v>548467.8668165647</v>
      </c>
      <c r="U107" s="149"/>
      <c r="V107" s="149"/>
    </row>
    <row r="108" spans="1:23" s="86" customFormat="1" ht="13.5" customHeight="1" thickTop="1">
      <c r="A108" s="85"/>
      <c r="B108" s="85"/>
      <c r="T108" s="150">
        <f ca="1">T107-References!C76</f>
        <v>0</v>
      </c>
      <c r="U108" s="122"/>
      <c r="V108" s="122"/>
    </row>
    <row r="109" spans="1:23" s="86" customFormat="1" ht="13.5" customHeight="1" thickBot="1">
      <c r="A109" s="85"/>
      <c r="B109" s="85"/>
    </row>
    <row r="110" spans="1:23" s="86" customFormat="1" ht="13.5" customHeight="1">
      <c r="A110" s="85"/>
      <c r="B110" s="85"/>
      <c r="F110" s="266" t="s">
        <v>231</v>
      </c>
      <c r="G110" s="266"/>
      <c r="L110" s="123"/>
      <c r="N110" s="212"/>
      <c r="O110" s="213" t="s">
        <v>321</v>
      </c>
      <c r="P110" s="214">
        <f ca="1">T31</f>
        <v>371458.80396563513</v>
      </c>
      <c r="Q110" s="215">
        <f ca="1">P110/R31</f>
        <v>2.3117484340679516E-2</v>
      </c>
    </row>
    <row r="111" spans="1:23" s="86" customFormat="1" ht="13.5" customHeight="1">
      <c r="A111" s="85"/>
      <c r="H111" s="125" t="s">
        <v>64</v>
      </c>
      <c r="J111" s="89"/>
      <c r="N111" s="216"/>
      <c r="O111" s="124" t="s">
        <v>322</v>
      </c>
      <c r="P111" s="225">
        <f ca="1">T105</f>
        <v>177009.06285092953</v>
      </c>
      <c r="Q111" s="218">
        <f ca="1">P111/R105</f>
        <v>2.4641672919321997E-2</v>
      </c>
    </row>
    <row r="112" spans="1:23" s="86" customFormat="1" ht="13.5" customHeight="1">
      <c r="A112" s="85"/>
      <c r="F112" s="86" t="s">
        <v>235</v>
      </c>
      <c r="H112" s="211">
        <f>Disposal!D33*Disposal!D41</f>
        <v>83053.402324556257</v>
      </c>
      <c r="J112" s="126"/>
      <c r="N112" s="216"/>
      <c r="O112" s="124" t="s">
        <v>364</v>
      </c>
      <c r="P112" s="217">
        <f ca="1">+P110+P111</f>
        <v>548467.8668165647</v>
      </c>
      <c r="Q112" s="219"/>
    </row>
    <row r="113" spans="1:22" s="86" customFormat="1" ht="13.5" customHeight="1">
      <c r="A113" s="85"/>
      <c r="F113" s="86" t="s">
        <v>237</v>
      </c>
      <c r="H113" s="127">
        <f>+H112*References!H22</f>
        <v>166106804.64911252</v>
      </c>
      <c r="J113" s="127"/>
      <c r="N113" s="216"/>
      <c r="P113" s="128">
        <f ca="1">P112-References!C76</f>
        <v>0</v>
      </c>
      <c r="Q113" s="219"/>
    </row>
    <row r="114" spans="1:22" s="86" customFormat="1" ht="13.5" customHeight="1">
      <c r="A114" s="85"/>
      <c r="F114" s="130" t="s">
        <v>365</v>
      </c>
      <c r="H114" s="131">
        <f>+'Regulated DF Calc'!H113/(J107)</f>
        <v>0.7589398249860333</v>
      </c>
      <c r="J114" s="126"/>
      <c r="L114" s="129"/>
      <c r="N114" s="216"/>
      <c r="O114" s="220" t="s">
        <v>366</v>
      </c>
      <c r="P114" s="126">
        <f>'[16]Clark Co. Regulated - Price Out'!$AF$283</f>
        <v>30392.812145581309</v>
      </c>
      <c r="Q114" s="219"/>
    </row>
    <row r="115" spans="1:22" s="86" customFormat="1" ht="13.5" customHeight="1">
      <c r="A115" s="85"/>
      <c r="J115" s="132"/>
      <c r="L115" s="133"/>
      <c r="N115" s="216"/>
      <c r="O115" s="124" t="s">
        <v>323</v>
      </c>
      <c r="P115" s="217">
        <f ca="1">+P114*References!E69</f>
        <v>174454.74171563657</v>
      </c>
      <c r="Q115" s="221">
        <f ca="1">+References!E70</f>
        <v>6.4697926059513008E-2</v>
      </c>
    </row>
    <row r="116" spans="1:22" s="86" customFormat="1" ht="13.5" customHeight="1" thickBot="1">
      <c r="A116" s="85"/>
      <c r="F116" s="134" t="s">
        <v>232</v>
      </c>
      <c r="H116" s="135" t="s">
        <v>324</v>
      </c>
      <c r="I116" s="135" t="s">
        <v>233</v>
      </c>
      <c r="L116" s="133"/>
      <c r="N116" s="222"/>
      <c r="O116" s="223"/>
      <c r="P116" s="223"/>
      <c r="Q116" s="224"/>
    </row>
    <row r="117" spans="1:22" s="86" customFormat="1" ht="13.5" customHeight="1">
      <c r="A117" s="85"/>
      <c r="F117" s="126" t="s">
        <v>234</v>
      </c>
      <c r="H117" s="133">
        <f>+J31</f>
        <v>148231174.10687172</v>
      </c>
      <c r="I117" s="133">
        <f>+K31</f>
        <v>112498541.33414352</v>
      </c>
      <c r="J117" s="136"/>
      <c r="K117" s="147">
        <f>+I117/$I$119</f>
        <v>0.67726630207466676</v>
      </c>
      <c r="Q117" s="124"/>
    </row>
    <row r="118" spans="1:22" s="86" customFormat="1" ht="13.5" customHeight="1">
      <c r="A118" s="85"/>
      <c r="F118" s="126" t="s">
        <v>236</v>
      </c>
      <c r="H118" s="133">
        <f>+J105</f>
        <v>70635723.083784148</v>
      </c>
      <c r="I118" s="133">
        <f>+K105</f>
        <v>53608263.31496904</v>
      </c>
      <c r="J118" s="136"/>
      <c r="K118" s="147">
        <f>+I118/$I$119</f>
        <v>0.3227336979253333</v>
      </c>
    </row>
    <row r="119" spans="1:22" s="86" customFormat="1" ht="13.5" customHeight="1">
      <c r="A119" s="85"/>
      <c r="F119" s="126"/>
      <c r="H119" s="146">
        <f>+H117+H118</f>
        <v>218866897.19065589</v>
      </c>
      <c r="I119" s="146">
        <f>+I117+I118</f>
        <v>166106804.64911255</v>
      </c>
      <c r="K119" s="148">
        <f>+K117+K118</f>
        <v>1</v>
      </c>
    </row>
    <row r="120" spans="1:22" s="86" customFormat="1" ht="13.5" customHeight="1">
      <c r="A120" s="85"/>
      <c r="F120" s="126"/>
      <c r="H120" s="129"/>
      <c r="I120" s="209"/>
      <c r="J120" s="100"/>
      <c r="L120" s="129"/>
      <c r="T120" s="128"/>
      <c r="U120" s="128"/>
      <c r="V120" s="128"/>
    </row>
    <row r="121" spans="1:22" s="86" customFormat="1" ht="13.5" customHeight="1">
      <c r="A121" s="85"/>
      <c r="L121" s="89"/>
    </row>
    <row r="122" spans="1:22" s="86" customFormat="1" ht="13.5" customHeight="1">
      <c r="A122" s="85"/>
      <c r="B122" s="134"/>
      <c r="L122" s="87"/>
    </row>
    <row r="123" spans="1:22" s="86" customFormat="1" ht="13.5" customHeight="1">
      <c r="A123" s="85"/>
      <c r="B123" s="126"/>
      <c r="E123" s="147"/>
    </row>
    <row r="124" spans="1:22" s="86" customFormat="1" ht="13.5" customHeight="1">
      <c r="A124" s="85"/>
      <c r="B124" s="126"/>
      <c r="E124" s="147"/>
    </row>
    <row r="125" spans="1:22" s="86" customFormat="1" ht="13.5" customHeight="1">
      <c r="A125" s="85"/>
      <c r="B125" s="126"/>
      <c r="E125" s="210"/>
    </row>
    <row r="126" spans="1:22" s="86" customFormat="1" ht="13.5" customHeight="1">
      <c r="A126" s="85"/>
      <c r="B126" s="126"/>
      <c r="E126" s="126"/>
    </row>
    <row r="127" spans="1:22" s="86" customFormat="1" ht="13.5" customHeight="1">
      <c r="A127" s="85"/>
      <c r="B127" s="126"/>
      <c r="E127" s="126"/>
      <c r="K127" s="88"/>
      <c r="L127" s="88"/>
      <c r="M127" s="88"/>
    </row>
    <row r="128" spans="1:22" ht="13.5" customHeight="1">
      <c r="B128" s="126"/>
      <c r="J128" s="133"/>
    </row>
    <row r="129" spans="2:10" ht="13.5" customHeight="1">
      <c r="B129" s="137"/>
      <c r="J129" s="133"/>
    </row>
    <row r="130" spans="2:10" ht="13.5" customHeight="1">
      <c r="B130" s="137"/>
      <c r="J130" s="133"/>
    </row>
    <row r="131" spans="2:10" ht="13.5" customHeight="1">
      <c r="B131" s="86"/>
      <c r="J131" s="129"/>
    </row>
    <row r="132" spans="2:10" ht="13.5" customHeight="1">
      <c r="G132" s="86"/>
      <c r="H132" s="138"/>
      <c r="I132" s="129"/>
      <c r="J132" s="86"/>
    </row>
  </sheetData>
  <mergeCells count="3">
    <mergeCell ref="A4:B4"/>
    <mergeCell ref="F110:G110"/>
    <mergeCell ref="D1:K2"/>
  </mergeCells>
  <pageMargins left="0.2" right="0.2" top="0.25" bottom="0.25" header="0.3" footer="0.3"/>
  <pageSetup scale="60" pageOrder="overThenDown" orientation="portrait" r:id="rId1"/>
  <headerFooter>
    <oddFooter xml:space="preserve">&amp;L&amp;F - &amp;A
&amp;R&amp;P of &amp;N
</oddFooter>
  </headerFooter>
  <colBreaks count="1" manualBreakCount="1">
    <brk id="11" max="13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X329"/>
  <sheetViews>
    <sheetView showGridLines="0" zoomScale="130" zoomScaleNormal="130" zoomScaleSheetLayoutView="80" workbookViewId="0">
      <pane xSplit="1" ySplit="7" topLeftCell="B8" activePane="bottomRight" state="frozen"/>
      <selection activeCell="C57" sqref="C57"/>
      <selection pane="topRight" activeCell="C57" sqref="C57"/>
      <selection pane="bottomLeft" activeCell="C57" sqref="C57"/>
      <selection pane="bottomRight" activeCell="C57" sqref="C57"/>
    </sheetView>
  </sheetViews>
  <sheetFormatPr defaultColWidth="11.42578125" defaultRowHeight="12.75" outlineLevelCol="1"/>
  <cols>
    <col min="1" max="1" width="29.85546875" style="70" customWidth="1"/>
    <col min="2" max="2" width="7.5703125" style="68" customWidth="1" outlineLevel="1"/>
    <col min="3" max="3" width="1.5703125" style="70" customWidth="1" outlineLevel="1"/>
    <col min="4" max="4" width="9.85546875" style="70" bestFit="1" customWidth="1" outlineLevel="1"/>
    <col min="5" max="5" width="2.140625" style="70" customWidth="1" outlineLevel="1"/>
    <col min="6" max="6" width="7.42578125" style="71" customWidth="1" outlineLevel="1"/>
    <col min="7" max="7" width="1.5703125" style="72" customWidth="1"/>
    <col min="8" max="8" width="10.42578125" style="72" bestFit="1" customWidth="1"/>
    <col min="9" max="9" width="1.5703125" style="72" customWidth="1"/>
    <col min="10" max="10" width="11" style="72" bestFit="1" customWidth="1"/>
    <col min="11" max="11" width="8.7109375" style="70" customWidth="1"/>
    <col min="12" max="12" width="12" style="68" bestFit="1" customWidth="1"/>
    <col min="13" max="13" width="12.140625" style="70" customWidth="1"/>
    <col min="14" max="14" width="4.5703125" style="70" customWidth="1"/>
    <col min="15" max="15" width="8.140625" style="70" customWidth="1"/>
    <col min="16" max="20" width="4.5703125" style="70" customWidth="1"/>
    <col min="21" max="256" width="11.42578125" style="70"/>
    <col min="257" max="257" width="24.28515625" style="70" customWidth="1"/>
    <col min="258" max="258" width="11.42578125" style="70" customWidth="1"/>
    <col min="259" max="259" width="1.5703125" style="70" customWidth="1"/>
    <col min="260" max="260" width="10.7109375" style="70" customWidth="1"/>
    <col min="261" max="261" width="1.5703125" style="70" customWidth="1"/>
    <col min="262" max="262" width="11.42578125" style="70" customWidth="1"/>
    <col min="263" max="263" width="11.7109375" style="70" customWidth="1"/>
    <col min="264" max="264" width="10.28515625" style="70" customWidth="1"/>
    <col min="265" max="265" width="10.7109375" style="70" customWidth="1"/>
    <col min="266" max="266" width="10.5703125" style="70" customWidth="1"/>
    <col min="267" max="267" width="8.7109375" style="70" customWidth="1"/>
    <col min="268" max="276" width="4.5703125" style="70" customWidth="1"/>
    <col min="277" max="512" width="11.42578125" style="70"/>
    <col min="513" max="513" width="24.28515625" style="70" customWidth="1"/>
    <col min="514" max="514" width="11.42578125" style="70" customWidth="1"/>
    <col min="515" max="515" width="1.5703125" style="70" customWidth="1"/>
    <col min="516" max="516" width="10.7109375" style="70" customWidth="1"/>
    <col min="517" max="517" width="1.5703125" style="70" customWidth="1"/>
    <col min="518" max="518" width="11.42578125" style="70" customWidth="1"/>
    <col min="519" max="519" width="11.7109375" style="70" customWidth="1"/>
    <col min="520" max="520" width="10.28515625" style="70" customWidth="1"/>
    <col min="521" max="521" width="10.7109375" style="70" customWidth="1"/>
    <col min="522" max="522" width="10.5703125" style="70" customWidth="1"/>
    <col min="523" max="523" width="8.7109375" style="70" customWidth="1"/>
    <col min="524" max="532" width="4.5703125" style="70" customWidth="1"/>
    <col min="533" max="768" width="11.42578125" style="70"/>
    <col min="769" max="769" width="24.28515625" style="70" customWidth="1"/>
    <col min="770" max="770" width="11.42578125" style="70" customWidth="1"/>
    <col min="771" max="771" width="1.5703125" style="70" customWidth="1"/>
    <col min="772" max="772" width="10.7109375" style="70" customWidth="1"/>
    <col min="773" max="773" width="1.5703125" style="70" customWidth="1"/>
    <col min="774" max="774" width="11.42578125" style="70" customWidth="1"/>
    <col min="775" max="775" width="11.7109375" style="70" customWidth="1"/>
    <col min="776" max="776" width="10.28515625" style="70" customWidth="1"/>
    <col min="777" max="777" width="10.7109375" style="70" customWidth="1"/>
    <col min="778" max="778" width="10.5703125" style="70" customWidth="1"/>
    <col min="779" max="779" width="8.7109375" style="70" customWidth="1"/>
    <col min="780" max="788" width="4.5703125" style="70" customWidth="1"/>
    <col min="789" max="1024" width="11.42578125" style="70"/>
    <col min="1025" max="1025" width="24.28515625" style="70" customWidth="1"/>
    <col min="1026" max="1026" width="11.42578125" style="70" customWidth="1"/>
    <col min="1027" max="1027" width="1.5703125" style="70" customWidth="1"/>
    <col min="1028" max="1028" width="10.7109375" style="70" customWidth="1"/>
    <col min="1029" max="1029" width="1.5703125" style="70" customWidth="1"/>
    <col min="1030" max="1030" width="11.42578125" style="70" customWidth="1"/>
    <col min="1031" max="1031" width="11.7109375" style="70" customWidth="1"/>
    <col min="1032" max="1032" width="10.28515625" style="70" customWidth="1"/>
    <col min="1033" max="1033" width="10.7109375" style="70" customWidth="1"/>
    <col min="1034" max="1034" width="10.5703125" style="70" customWidth="1"/>
    <col min="1035" max="1035" width="8.7109375" style="70" customWidth="1"/>
    <col min="1036" max="1044" width="4.5703125" style="70" customWidth="1"/>
    <col min="1045" max="1280" width="11.42578125" style="70"/>
    <col min="1281" max="1281" width="24.28515625" style="70" customWidth="1"/>
    <col min="1282" max="1282" width="11.42578125" style="70" customWidth="1"/>
    <col min="1283" max="1283" width="1.5703125" style="70" customWidth="1"/>
    <col min="1284" max="1284" width="10.7109375" style="70" customWidth="1"/>
    <col min="1285" max="1285" width="1.5703125" style="70" customWidth="1"/>
    <col min="1286" max="1286" width="11.42578125" style="70" customWidth="1"/>
    <col min="1287" max="1287" width="11.7109375" style="70" customWidth="1"/>
    <col min="1288" max="1288" width="10.28515625" style="70" customWidth="1"/>
    <col min="1289" max="1289" width="10.7109375" style="70" customWidth="1"/>
    <col min="1290" max="1290" width="10.5703125" style="70" customWidth="1"/>
    <col min="1291" max="1291" width="8.7109375" style="70" customWidth="1"/>
    <col min="1292" max="1300" width="4.5703125" style="70" customWidth="1"/>
    <col min="1301" max="1536" width="11.42578125" style="70"/>
    <col min="1537" max="1537" width="24.28515625" style="70" customWidth="1"/>
    <col min="1538" max="1538" width="11.42578125" style="70" customWidth="1"/>
    <col min="1539" max="1539" width="1.5703125" style="70" customWidth="1"/>
    <col min="1540" max="1540" width="10.7109375" style="70" customWidth="1"/>
    <col min="1541" max="1541" width="1.5703125" style="70" customWidth="1"/>
    <col min="1542" max="1542" width="11.42578125" style="70" customWidth="1"/>
    <col min="1543" max="1543" width="11.7109375" style="70" customWidth="1"/>
    <col min="1544" max="1544" width="10.28515625" style="70" customWidth="1"/>
    <col min="1545" max="1545" width="10.7109375" style="70" customWidth="1"/>
    <col min="1546" max="1546" width="10.5703125" style="70" customWidth="1"/>
    <col min="1547" max="1547" width="8.7109375" style="70" customWidth="1"/>
    <col min="1548" max="1556" width="4.5703125" style="70" customWidth="1"/>
    <col min="1557" max="1792" width="11.42578125" style="70"/>
    <col min="1793" max="1793" width="24.28515625" style="70" customWidth="1"/>
    <col min="1794" max="1794" width="11.42578125" style="70" customWidth="1"/>
    <col min="1795" max="1795" width="1.5703125" style="70" customWidth="1"/>
    <col min="1796" max="1796" width="10.7109375" style="70" customWidth="1"/>
    <col min="1797" max="1797" width="1.5703125" style="70" customWidth="1"/>
    <col min="1798" max="1798" width="11.42578125" style="70" customWidth="1"/>
    <col min="1799" max="1799" width="11.7109375" style="70" customWidth="1"/>
    <col min="1800" max="1800" width="10.28515625" style="70" customWidth="1"/>
    <col min="1801" max="1801" width="10.7109375" style="70" customWidth="1"/>
    <col min="1802" max="1802" width="10.5703125" style="70" customWidth="1"/>
    <col min="1803" max="1803" width="8.7109375" style="70" customWidth="1"/>
    <col min="1804" max="1812" width="4.5703125" style="70" customWidth="1"/>
    <col min="1813" max="2048" width="11.42578125" style="70"/>
    <col min="2049" max="2049" width="24.28515625" style="70" customWidth="1"/>
    <col min="2050" max="2050" width="11.42578125" style="70" customWidth="1"/>
    <col min="2051" max="2051" width="1.5703125" style="70" customWidth="1"/>
    <col min="2052" max="2052" width="10.7109375" style="70" customWidth="1"/>
    <col min="2053" max="2053" width="1.5703125" style="70" customWidth="1"/>
    <col min="2054" max="2054" width="11.42578125" style="70" customWidth="1"/>
    <col min="2055" max="2055" width="11.7109375" style="70" customWidth="1"/>
    <col min="2056" max="2056" width="10.28515625" style="70" customWidth="1"/>
    <col min="2057" max="2057" width="10.7109375" style="70" customWidth="1"/>
    <col min="2058" max="2058" width="10.5703125" style="70" customWidth="1"/>
    <col min="2059" max="2059" width="8.7109375" style="70" customWidth="1"/>
    <col min="2060" max="2068" width="4.5703125" style="70" customWidth="1"/>
    <col min="2069" max="2304" width="11.42578125" style="70"/>
    <col min="2305" max="2305" width="24.28515625" style="70" customWidth="1"/>
    <col min="2306" max="2306" width="11.42578125" style="70" customWidth="1"/>
    <col min="2307" max="2307" width="1.5703125" style="70" customWidth="1"/>
    <col min="2308" max="2308" width="10.7109375" style="70" customWidth="1"/>
    <col min="2309" max="2309" width="1.5703125" style="70" customWidth="1"/>
    <col min="2310" max="2310" width="11.42578125" style="70" customWidth="1"/>
    <col min="2311" max="2311" width="11.7109375" style="70" customWidth="1"/>
    <col min="2312" max="2312" width="10.28515625" style="70" customWidth="1"/>
    <col min="2313" max="2313" width="10.7109375" style="70" customWidth="1"/>
    <col min="2314" max="2314" width="10.5703125" style="70" customWidth="1"/>
    <col min="2315" max="2315" width="8.7109375" style="70" customWidth="1"/>
    <col min="2316" max="2324" width="4.5703125" style="70" customWidth="1"/>
    <col min="2325" max="2560" width="11.42578125" style="70"/>
    <col min="2561" max="2561" width="24.28515625" style="70" customWidth="1"/>
    <col min="2562" max="2562" width="11.42578125" style="70" customWidth="1"/>
    <col min="2563" max="2563" width="1.5703125" style="70" customWidth="1"/>
    <col min="2564" max="2564" width="10.7109375" style="70" customWidth="1"/>
    <col min="2565" max="2565" width="1.5703125" style="70" customWidth="1"/>
    <col min="2566" max="2566" width="11.42578125" style="70" customWidth="1"/>
    <col min="2567" max="2567" width="11.7109375" style="70" customWidth="1"/>
    <col min="2568" max="2568" width="10.28515625" style="70" customWidth="1"/>
    <col min="2569" max="2569" width="10.7109375" style="70" customWidth="1"/>
    <col min="2570" max="2570" width="10.5703125" style="70" customWidth="1"/>
    <col min="2571" max="2571" width="8.7109375" style="70" customWidth="1"/>
    <col min="2572" max="2580" width="4.5703125" style="70" customWidth="1"/>
    <col min="2581" max="2816" width="11.42578125" style="70"/>
    <col min="2817" max="2817" width="24.28515625" style="70" customWidth="1"/>
    <col min="2818" max="2818" width="11.42578125" style="70" customWidth="1"/>
    <col min="2819" max="2819" width="1.5703125" style="70" customWidth="1"/>
    <col min="2820" max="2820" width="10.7109375" style="70" customWidth="1"/>
    <col min="2821" max="2821" width="1.5703125" style="70" customWidth="1"/>
    <col min="2822" max="2822" width="11.42578125" style="70" customWidth="1"/>
    <col min="2823" max="2823" width="11.7109375" style="70" customWidth="1"/>
    <col min="2824" max="2824" width="10.28515625" style="70" customWidth="1"/>
    <col min="2825" max="2825" width="10.7109375" style="70" customWidth="1"/>
    <col min="2826" max="2826" width="10.5703125" style="70" customWidth="1"/>
    <col min="2827" max="2827" width="8.7109375" style="70" customWidth="1"/>
    <col min="2828" max="2836" width="4.5703125" style="70" customWidth="1"/>
    <col min="2837" max="3072" width="11.42578125" style="70"/>
    <col min="3073" max="3073" width="24.28515625" style="70" customWidth="1"/>
    <col min="3074" max="3074" width="11.42578125" style="70" customWidth="1"/>
    <col min="3075" max="3075" width="1.5703125" style="70" customWidth="1"/>
    <col min="3076" max="3076" width="10.7109375" style="70" customWidth="1"/>
    <col min="3077" max="3077" width="1.5703125" style="70" customWidth="1"/>
    <col min="3078" max="3078" width="11.42578125" style="70" customWidth="1"/>
    <col min="3079" max="3079" width="11.7109375" style="70" customWidth="1"/>
    <col min="3080" max="3080" width="10.28515625" style="70" customWidth="1"/>
    <col min="3081" max="3081" width="10.7109375" style="70" customWidth="1"/>
    <col min="3082" max="3082" width="10.5703125" style="70" customWidth="1"/>
    <col min="3083" max="3083" width="8.7109375" style="70" customWidth="1"/>
    <col min="3084" max="3092" width="4.5703125" style="70" customWidth="1"/>
    <col min="3093" max="3328" width="11.42578125" style="70"/>
    <col min="3329" max="3329" width="24.28515625" style="70" customWidth="1"/>
    <col min="3330" max="3330" width="11.42578125" style="70" customWidth="1"/>
    <col min="3331" max="3331" width="1.5703125" style="70" customWidth="1"/>
    <col min="3332" max="3332" width="10.7109375" style="70" customWidth="1"/>
    <col min="3333" max="3333" width="1.5703125" style="70" customWidth="1"/>
    <col min="3334" max="3334" width="11.42578125" style="70" customWidth="1"/>
    <col min="3335" max="3335" width="11.7109375" style="70" customWidth="1"/>
    <col min="3336" max="3336" width="10.28515625" style="70" customWidth="1"/>
    <col min="3337" max="3337" width="10.7109375" style="70" customWidth="1"/>
    <col min="3338" max="3338" width="10.5703125" style="70" customWidth="1"/>
    <col min="3339" max="3339" width="8.7109375" style="70" customWidth="1"/>
    <col min="3340" max="3348" width="4.5703125" style="70" customWidth="1"/>
    <col min="3349" max="3584" width="11.42578125" style="70"/>
    <col min="3585" max="3585" width="24.28515625" style="70" customWidth="1"/>
    <col min="3586" max="3586" width="11.42578125" style="70" customWidth="1"/>
    <col min="3587" max="3587" width="1.5703125" style="70" customWidth="1"/>
    <col min="3588" max="3588" width="10.7109375" style="70" customWidth="1"/>
    <col min="3589" max="3589" width="1.5703125" style="70" customWidth="1"/>
    <col min="3590" max="3590" width="11.42578125" style="70" customWidth="1"/>
    <col min="3591" max="3591" width="11.7109375" style="70" customWidth="1"/>
    <col min="3592" max="3592" width="10.28515625" style="70" customWidth="1"/>
    <col min="3593" max="3593" width="10.7109375" style="70" customWidth="1"/>
    <col min="3594" max="3594" width="10.5703125" style="70" customWidth="1"/>
    <col min="3595" max="3595" width="8.7109375" style="70" customWidth="1"/>
    <col min="3596" max="3604" width="4.5703125" style="70" customWidth="1"/>
    <col min="3605" max="3840" width="11.42578125" style="70"/>
    <col min="3841" max="3841" width="24.28515625" style="70" customWidth="1"/>
    <col min="3842" max="3842" width="11.42578125" style="70" customWidth="1"/>
    <col min="3843" max="3843" width="1.5703125" style="70" customWidth="1"/>
    <col min="3844" max="3844" width="10.7109375" style="70" customWidth="1"/>
    <col min="3845" max="3845" width="1.5703125" style="70" customWidth="1"/>
    <col min="3846" max="3846" width="11.42578125" style="70" customWidth="1"/>
    <col min="3847" max="3847" width="11.7109375" style="70" customWidth="1"/>
    <col min="3848" max="3848" width="10.28515625" style="70" customWidth="1"/>
    <col min="3849" max="3849" width="10.7109375" style="70" customWidth="1"/>
    <col min="3850" max="3850" width="10.5703125" style="70" customWidth="1"/>
    <col min="3851" max="3851" width="8.7109375" style="70" customWidth="1"/>
    <col min="3852" max="3860" width="4.5703125" style="70" customWidth="1"/>
    <col min="3861" max="4096" width="11.42578125" style="70"/>
    <col min="4097" max="4097" width="24.28515625" style="70" customWidth="1"/>
    <col min="4098" max="4098" width="11.42578125" style="70" customWidth="1"/>
    <col min="4099" max="4099" width="1.5703125" style="70" customWidth="1"/>
    <col min="4100" max="4100" width="10.7109375" style="70" customWidth="1"/>
    <col min="4101" max="4101" width="1.5703125" style="70" customWidth="1"/>
    <col min="4102" max="4102" width="11.42578125" style="70" customWidth="1"/>
    <col min="4103" max="4103" width="11.7109375" style="70" customWidth="1"/>
    <col min="4104" max="4104" width="10.28515625" style="70" customWidth="1"/>
    <col min="4105" max="4105" width="10.7109375" style="70" customWidth="1"/>
    <col min="4106" max="4106" width="10.5703125" style="70" customWidth="1"/>
    <col min="4107" max="4107" width="8.7109375" style="70" customWidth="1"/>
    <col min="4108" max="4116" width="4.5703125" style="70" customWidth="1"/>
    <col min="4117" max="4352" width="11.42578125" style="70"/>
    <col min="4353" max="4353" width="24.28515625" style="70" customWidth="1"/>
    <col min="4354" max="4354" width="11.42578125" style="70" customWidth="1"/>
    <col min="4355" max="4355" width="1.5703125" style="70" customWidth="1"/>
    <col min="4356" max="4356" width="10.7109375" style="70" customWidth="1"/>
    <col min="4357" max="4357" width="1.5703125" style="70" customWidth="1"/>
    <col min="4358" max="4358" width="11.42578125" style="70" customWidth="1"/>
    <col min="4359" max="4359" width="11.7109375" style="70" customWidth="1"/>
    <col min="4360" max="4360" width="10.28515625" style="70" customWidth="1"/>
    <col min="4361" max="4361" width="10.7109375" style="70" customWidth="1"/>
    <col min="4362" max="4362" width="10.5703125" style="70" customWidth="1"/>
    <col min="4363" max="4363" width="8.7109375" style="70" customWidth="1"/>
    <col min="4364" max="4372" width="4.5703125" style="70" customWidth="1"/>
    <col min="4373" max="4608" width="11.42578125" style="70"/>
    <col min="4609" max="4609" width="24.28515625" style="70" customWidth="1"/>
    <col min="4610" max="4610" width="11.42578125" style="70" customWidth="1"/>
    <col min="4611" max="4611" width="1.5703125" style="70" customWidth="1"/>
    <col min="4612" max="4612" width="10.7109375" style="70" customWidth="1"/>
    <col min="4613" max="4613" width="1.5703125" style="70" customWidth="1"/>
    <col min="4614" max="4614" width="11.42578125" style="70" customWidth="1"/>
    <col min="4615" max="4615" width="11.7109375" style="70" customWidth="1"/>
    <col min="4616" max="4616" width="10.28515625" style="70" customWidth="1"/>
    <col min="4617" max="4617" width="10.7109375" style="70" customWidth="1"/>
    <col min="4618" max="4618" width="10.5703125" style="70" customWidth="1"/>
    <col min="4619" max="4619" width="8.7109375" style="70" customWidth="1"/>
    <col min="4620" max="4628" width="4.5703125" style="70" customWidth="1"/>
    <col min="4629" max="4864" width="11.42578125" style="70"/>
    <col min="4865" max="4865" width="24.28515625" style="70" customWidth="1"/>
    <col min="4866" max="4866" width="11.42578125" style="70" customWidth="1"/>
    <col min="4867" max="4867" width="1.5703125" style="70" customWidth="1"/>
    <col min="4868" max="4868" width="10.7109375" style="70" customWidth="1"/>
    <col min="4869" max="4869" width="1.5703125" style="70" customWidth="1"/>
    <col min="4870" max="4870" width="11.42578125" style="70" customWidth="1"/>
    <col min="4871" max="4871" width="11.7109375" style="70" customWidth="1"/>
    <col min="4872" max="4872" width="10.28515625" style="70" customWidth="1"/>
    <col min="4873" max="4873" width="10.7109375" style="70" customWidth="1"/>
    <col min="4874" max="4874" width="10.5703125" style="70" customWidth="1"/>
    <col min="4875" max="4875" width="8.7109375" style="70" customWidth="1"/>
    <col min="4876" max="4884" width="4.5703125" style="70" customWidth="1"/>
    <col min="4885" max="5120" width="11.42578125" style="70"/>
    <col min="5121" max="5121" width="24.28515625" style="70" customWidth="1"/>
    <col min="5122" max="5122" width="11.42578125" style="70" customWidth="1"/>
    <col min="5123" max="5123" width="1.5703125" style="70" customWidth="1"/>
    <col min="5124" max="5124" width="10.7109375" style="70" customWidth="1"/>
    <col min="5125" max="5125" width="1.5703125" style="70" customWidth="1"/>
    <col min="5126" max="5126" width="11.42578125" style="70" customWidth="1"/>
    <col min="5127" max="5127" width="11.7109375" style="70" customWidth="1"/>
    <col min="5128" max="5128" width="10.28515625" style="70" customWidth="1"/>
    <col min="5129" max="5129" width="10.7109375" style="70" customWidth="1"/>
    <col min="5130" max="5130" width="10.5703125" style="70" customWidth="1"/>
    <col min="5131" max="5131" width="8.7109375" style="70" customWidth="1"/>
    <col min="5132" max="5140" width="4.5703125" style="70" customWidth="1"/>
    <col min="5141" max="5376" width="11.42578125" style="70"/>
    <col min="5377" max="5377" width="24.28515625" style="70" customWidth="1"/>
    <col min="5378" max="5378" width="11.42578125" style="70" customWidth="1"/>
    <col min="5379" max="5379" width="1.5703125" style="70" customWidth="1"/>
    <col min="5380" max="5380" width="10.7109375" style="70" customWidth="1"/>
    <col min="5381" max="5381" width="1.5703125" style="70" customWidth="1"/>
    <col min="5382" max="5382" width="11.42578125" style="70" customWidth="1"/>
    <col min="5383" max="5383" width="11.7109375" style="70" customWidth="1"/>
    <col min="5384" max="5384" width="10.28515625" style="70" customWidth="1"/>
    <col min="5385" max="5385" width="10.7109375" style="70" customWidth="1"/>
    <col min="5386" max="5386" width="10.5703125" style="70" customWidth="1"/>
    <col min="5387" max="5387" width="8.7109375" style="70" customWidth="1"/>
    <col min="5388" max="5396" width="4.5703125" style="70" customWidth="1"/>
    <col min="5397" max="5632" width="11.42578125" style="70"/>
    <col min="5633" max="5633" width="24.28515625" style="70" customWidth="1"/>
    <col min="5634" max="5634" width="11.42578125" style="70" customWidth="1"/>
    <col min="5635" max="5635" width="1.5703125" style="70" customWidth="1"/>
    <col min="5636" max="5636" width="10.7109375" style="70" customWidth="1"/>
    <col min="5637" max="5637" width="1.5703125" style="70" customWidth="1"/>
    <col min="5638" max="5638" width="11.42578125" style="70" customWidth="1"/>
    <col min="5639" max="5639" width="11.7109375" style="70" customWidth="1"/>
    <col min="5640" max="5640" width="10.28515625" style="70" customWidth="1"/>
    <col min="5641" max="5641" width="10.7109375" style="70" customWidth="1"/>
    <col min="5642" max="5642" width="10.5703125" style="70" customWidth="1"/>
    <col min="5643" max="5643" width="8.7109375" style="70" customWidth="1"/>
    <col min="5644" max="5652" width="4.5703125" style="70" customWidth="1"/>
    <col min="5653" max="5888" width="11.42578125" style="70"/>
    <col min="5889" max="5889" width="24.28515625" style="70" customWidth="1"/>
    <col min="5890" max="5890" width="11.42578125" style="70" customWidth="1"/>
    <col min="5891" max="5891" width="1.5703125" style="70" customWidth="1"/>
    <col min="5892" max="5892" width="10.7109375" style="70" customWidth="1"/>
    <col min="5893" max="5893" width="1.5703125" style="70" customWidth="1"/>
    <col min="5894" max="5894" width="11.42578125" style="70" customWidth="1"/>
    <col min="5895" max="5895" width="11.7109375" style="70" customWidth="1"/>
    <col min="5896" max="5896" width="10.28515625" style="70" customWidth="1"/>
    <col min="5897" max="5897" width="10.7109375" style="70" customWidth="1"/>
    <col min="5898" max="5898" width="10.5703125" style="70" customWidth="1"/>
    <col min="5899" max="5899" width="8.7109375" style="70" customWidth="1"/>
    <col min="5900" max="5908" width="4.5703125" style="70" customWidth="1"/>
    <col min="5909" max="6144" width="11.42578125" style="70"/>
    <col min="6145" max="6145" width="24.28515625" style="70" customWidth="1"/>
    <col min="6146" max="6146" width="11.42578125" style="70" customWidth="1"/>
    <col min="6147" max="6147" width="1.5703125" style="70" customWidth="1"/>
    <col min="6148" max="6148" width="10.7109375" style="70" customWidth="1"/>
    <col min="6149" max="6149" width="1.5703125" style="70" customWidth="1"/>
    <col min="6150" max="6150" width="11.42578125" style="70" customWidth="1"/>
    <col min="6151" max="6151" width="11.7109375" style="70" customWidth="1"/>
    <col min="6152" max="6152" width="10.28515625" style="70" customWidth="1"/>
    <col min="6153" max="6153" width="10.7109375" style="70" customWidth="1"/>
    <col min="6154" max="6154" width="10.5703125" style="70" customWidth="1"/>
    <col min="6155" max="6155" width="8.7109375" style="70" customWidth="1"/>
    <col min="6156" max="6164" width="4.5703125" style="70" customWidth="1"/>
    <col min="6165" max="6400" width="11.42578125" style="70"/>
    <col min="6401" max="6401" width="24.28515625" style="70" customWidth="1"/>
    <col min="6402" max="6402" width="11.42578125" style="70" customWidth="1"/>
    <col min="6403" max="6403" width="1.5703125" style="70" customWidth="1"/>
    <col min="6404" max="6404" width="10.7109375" style="70" customWidth="1"/>
    <col min="6405" max="6405" width="1.5703125" style="70" customWidth="1"/>
    <col min="6406" max="6406" width="11.42578125" style="70" customWidth="1"/>
    <col min="6407" max="6407" width="11.7109375" style="70" customWidth="1"/>
    <col min="6408" max="6408" width="10.28515625" style="70" customWidth="1"/>
    <col min="6409" max="6409" width="10.7109375" style="70" customWidth="1"/>
    <col min="6410" max="6410" width="10.5703125" style="70" customWidth="1"/>
    <col min="6411" max="6411" width="8.7109375" style="70" customWidth="1"/>
    <col min="6412" max="6420" width="4.5703125" style="70" customWidth="1"/>
    <col min="6421" max="6656" width="11.42578125" style="70"/>
    <col min="6657" max="6657" width="24.28515625" style="70" customWidth="1"/>
    <col min="6658" max="6658" width="11.42578125" style="70" customWidth="1"/>
    <col min="6659" max="6659" width="1.5703125" style="70" customWidth="1"/>
    <col min="6660" max="6660" width="10.7109375" style="70" customWidth="1"/>
    <col min="6661" max="6661" width="1.5703125" style="70" customWidth="1"/>
    <col min="6662" max="6662" width="11.42578125" style="70" customWidth="1"/>
    <col min="6663" max="6663" width="11.7109375" style="70" customWidth="1"/>
    <col min="6664" max="6664" width="10.28515625" style="70" customWidth="1"/>
    <col min="6665" max="6665" width="10.7109375" style="70" customWidth="1"/>
    <col min="6666" max="6666" width="10.5703125" style="70" customWidth="1"/>
    <col min="6667" max="6667" width="8.7109375" style="70" customWidth="1"/>
    <col min="6668" max="6676" width="4.5703125" style="70" customWidth="1"/>
    <col min="6677" max="6912" width="11.42578125" style="70"/>
    <col min="6913" max="6913" width="24.28515625" style="70" customWidth="1"/>
    <col min="6914" max="6914" width="11.42578125" style="70" customWidth="1"/>
    <col min="6915" max="6915" width="1.5703125" style="70" customWidth="1"/>
    <col min="6916" max="6916" width="10.7109375" style="70" customWidth="1"/>
    <col min="6917" max="6917" width="1.5703125" style="70" customWidth="1"/>
    <col min="6918" max="6918" width="11.42578125" style="70" customWidth="1"/>
    <col min="6919" max="6919" width="11.7109375" style="70" customWidth="1"/>
    <col min="6920" max="6920" width="10.28515625" style="70" customWidth="1"/>
    <col min="6921" max="6921" width="10.7109375" style="70" customWidth="1"/>
    <col min="6922" max="6922" width="10.5703125" style="70" customWidth="1"/>
    <col min="6923" max="6923" width="8.7109375" style="70" customWidth="1"/>
    <col min="6924" max="6932" width="4.5703125" style="70" customWidth="1"/>
    <col min="6933" max="7168" width="11.42578125" style="70"/>
    <col min="7169" max="7169" width="24.28515625" style="70" customWidth="1"/>
    <col min="7170" max="7170" width="11.42578125" style="70" customWidth="1"/>
    <col min="7171" max="7171" width="1.5703125" style="70" customWidth="1"/>
    <col min="7172" max="7172" width="10.7109375" style="70" customWidth="1"/>
    <col min="7173" max="7173" width="1.5703125" style="70" customWidth="1"/>
    <col min="7174" max="7174" width="11.42578125" style="70" customWidth="1"/>
    <col min="7175" max="7175" width="11.7109375" style="70" customWidth="1"/>
    <col min="7176" max="7176" width="10.28515625" style="70" customWidth="1"/>
    <col min="7177" max="7177" width="10.7109375" style="70" customWidth="1"/>
    <col min="7178" max="7178" width="10.5703125" style="70" customWidth="1"/>
    <col min="7179" max="7179" width="8.7109375" style="70" customWidth="1"/>
    <col min="7180" max="7188" width="4.5703125" style="70" customWidth="1"/>
    <col min="7189" max="7424" width="11.42578125" style="70"/>
    <col min="7425" max="7425" width="24.28515625" style="70" customWidth="1"/>
    <col min="7426" max="7426" width="11.42578125" style="70" customWidth="1"/>
    <col min="7427" max="7427" width="1.5703125" style="70" customWidth="1"/>
    <col min="7428" max="7428" width="10.7109375" style="70" customWidth="1"/>
    <col min="7429" max="7429" width="1.5703125" style="70" customWidth="1"/>
    <col min="7430" max="7430" width="11.42578125" style="70" customWidth="1"/>
    <col min="7431" max="7431" width="11.7109375" style="70" customWidth="1"/>
    <col min="7432" max="7432" width="10.28515625" style="70" customWidth="1"/>
    <col min="7433" max="7433" width="10.7109375" style="70" customWidth="1"/>
    <col min="7434" max="7434" width="10.5703125" style="70" customWidth="1"/>
    <col min="7435" max="7435" width="8.7109375" style="70" customWidth="1"/>
    <col min="7436" max="7444" width="4.5703125" style="70" customWidth="1"/>
    <col min="7445" max="7680" width="11.42578125" style="70"/>
    <col min="7681" max="7681" width="24.28515625" style="70" customWidth="1"/>
    <col min="7682" max="7682" width="11.42578125" style="70" customWidth="1"/>
    <col min="7683" max="7683" width="1.5703125" style="70" customWidth="1"/>
    <col min="7684" max="7684" width="10.7109375" style="70" customWidth="1"/>
    <col min="7685" max="7685" width="1.5703125" style="70" customWidth="1"/>
    <col min="7686" max="7686" width="11.42578125" style="70" customWidth="1"/>
    <col min="7687" max="7687" width="11.7109375" style="70" customWidth="1"/>
    <col min="7688" max="7688" width="10.28515625" style="70" customWidth="1"/>
    <col min="7689" max="7689" width="10.7109375" style="70" customWidth="1"/>
    <col min="7690" max="7690" width="10.5703125" style="70" customWidth="1"/>
    <col min="7691" max="7691" width="8.7109375" style="70" customWidth="1"/>
    <col min="7692" max="7700" width="4.5703125" style="70" customWidth="1"/>
    <col min="7701" max="7936" width="11.42578125" style="70"/>
    <col min="7937" max="7937" width="24.28515625" style="70" customWidth="1"/>
    <col min="7938" max="7938" width="11.42578125" style="70" customWidth="1"/>
    <col min="7939" max="7939" width="1.5703125" style="70" customWidth="1"/>
    <col min="7940" max="7940" width="10.7109375" style="70" customWidth="1"/>
    <col min="7941" max="7941" width="1.5703125" style="70" customWidth="1"/>
    <col min="7942" max="7942" width="11.42578125" style="70" customWidth="1"/>
    <col min="7943" max="7943" width="11.7109375" style="70" customWidth="1"/>
    <col min="7944" max="7944" width="10.28515625" style="70" customWidth="1"/>
    <col min="7945" max="7945" width="10.7109375" style="70" customWidth="1"/>
    <col min="7946" max="7946" width="10.5703125" style="70" customWidth="1"/>
    <col min="7947" max="7947" width="8.7109375" style="70" customWidth="1"/>
    <col min="7948" max="7956" width="4.5703125" style="70" customWidth="1"/>
    <col min="7957" max="8192" width="11.42578125" style="70"/>
    <col min="8193" max="8193" width="24.28515625" style="70" customWidth="1"/>
    <col min="8194" max="8194" width="11.42578125" style="70" customWidth="1"/>
    <col min="8195" max="8195" width="1.5703125" style="70" customWidth="1"/>
    <col min="8196" max="8196" width="10.7109375" style="70" customWidth="1"/>
    <col min="8197" max="8197" width="1.5703125" style="70" customWidth="1"/>
    <col min="8198" max="8198" width="11.42578125" style="70" customWidth="1"/>
    <col min="8199" max="8199" width="11.7109375" style="70" customWidth="1"/>
    <col min="8200" max="8200" width="10.28515625" style="70" customWidth="1"/>
    <col min="8201" max="8201" width="10.7109375" style="70" customWidth="1"/>
    <col min="8202" max="8202" width="10.5703125" style="70" customWidth="1"/>
    <col min="8203" max="8203" width="8.7109375" style="70" customWidth="1"/>
    <col min="8204" max="8212" width="4.5703125" style="70" customWidth="1"/>
    <col min="8213" max="8448" width="11.42578125" style="70"/>
    <col min="8449" max="8449" width="24.28515625" style="70" customWidth="1"/>
    <col min="8450" max="8450" width="11.42578125" style="70" customWidth="1"/>
    <col min="8451" max="8451" width="1.5703125" style="70" customWidth="1"/>
    <col min="8452" max="8452" width="10.7109375" style="70" customWidth="1"/>
    <col min="8453" max="8453" width="1.5703125" style="70" customWidth="1"/>
    <col min="8454" max="8454" width="11.42578125" style="70" customWidth="1"/>
    <col min="8455" max="8455" width="11.7109375" style="70" customWidth="1"/>
    <col min="8456" max="8456" width="10.28515625" style="70" customWidth="1"/>
    <col min="8457" max="8457" width="10.7109375" style="70" customWidth="1"/>
    <col min="8458" max="8458" width="10.5703125" style="70" customWidth="1"/>
    <col min="8459" max="8459" width="8.7109375" style="70" customWidth="1"/>
    <col min="8460" max="8468" width="4.5703125" style="70" customWidth="1"/>
    <col min="8469" max="8704" width="11.42578125" style="70"/>
    <col min="8705" max="8705" width="24.28515625" style="70" customWidth="1"/>
    <col min="8706" max="8706" width="11.42578125" style="70" customWidth="1"/>
    <col min="8707" max="8707" width="1.5703125" style="70" customWidth="1"/>
    <col min="8708" max="8708" width="10.7109375" style="70" customWidth="1"/>
    <col min="8709" max="8709" width="1.5703125" style="70" customWidth="1"/>
    <col min="8710" max="8710" width="11.42578125" style="70" customWidth="1"/>
    <col min="8711" max="8711" width="11.7109375" style="70" customWidth="1"/>
    <col min="8712" max="8712" width="10.28515625" style="70" customWidth="1"/>
    <col min="8713" max="8713" width="10.7109375" style="70" customWidth="1"/>
    <col min="8714" max="8714" width="10.5703125" style="70" customWidth="1"/>
    <col min="8715" max="8715" width="8.7109375" style="70" customWidth="1"/>
    <col min="8716" max="8724" width="4.5703125" style="70" customWidth="1"/>
    <col min="8725" max="8960" width="11.42578125" style="70"/>
    <col min="8961" max="8961" width="24.28515625" style="70" customWidth="1"/>
    <col min="8962" max="8962" width="11.42578125" style="70" customWidth="1"/>
    <col min="8963" max="8963" width="1.5703125" style="70" customWidth="1"/>
    <col min="8964" max="8964" width="10.7109375" style="70" customWidth="1"/>
    <col min="8965" max="8965" width="1.5703125" style="70" customWidth="1"/>
    <col min="8966" max="8966" width="11.42578125" style="70" customWidth="1"/>
    <col min="8967" max="8967" width="11.7109375" style="70" customWidth="1"/>
    <col min="8968" max="8968" width="10.28515625" style="70" customWidth="1"/>
    <col min="8969" max="8969" width="10.7109375" style="70" customWidth="1"/>
    <col min="8970" max="8970" width="10.5703125" style="70" customWidth="1"/>
    <col min="8971" max="8971" width="8.7109375" style="70" customWidth="1"/>
    <col min="8972" max="8980" width="4.5703125" style="70" customWidth="1"/>
    <col min="8981" max="9216" width="11.42578125" style="70"/>
    <col min="9217" max="9217" width="24.28515625" style="70" customWidth="1"/>
    <col min="9218" max="9218" width="11.42578125" style="70" customWidth="1"/>
    <col min="9219" max="9219" width="1.5703125" style="70" customWidth="1"/>
    <col min="9220" max="9220" width="10.7109375" style="70" customWidth="1"/>
    <col min="9221" max="9221" width="1.5703125" style="70" customWidth="1"/>
    <col min="9222" max="9222" width="11.42578125" style="70" customWidth="1"/>
    <col min="9223" max="9223" width="11.7109375" style="70" customWidth="1"/>
    <col min="9224" max="9224" width="10.28515625" style="70" customWidth="1"/>
    <col min="9225" max="9225" width="10.7109375" style="70" customWidth="1"/>
    <col min="9226" max="9226" width="10.5703125" style="70" customWidth="1"/>
    <col min="9227" max="9227" width="8.7109375" style="70" customWidth="1"/>
    <col min="9228" max="9236" width="4.5703125" style="70" customWidth="1"/>
    <col min="9237" max="9472" width="11.42578125" style="70"/>
    <col min="9473" max="9473" width="24.28515625" style="70" customWidth="1"/>
    <col min="9474" max="9474" width="11.42578125" style="70" customWidth="1"/>
    <col min="9475" max="9475" width="1.5703125" style="70" customWidth="1"/>
    <col min="9476" max="9476" width="10.7109375" style="70" customWidth="1"/>
    <col min="9477" max="9477" width="1.5703125" style="70" customWidth="1"/>
    <col min="9478" max="9478" width="11.42578125" style="70" customWidth="1"/>
    <col min="9479" max="9479" width="11.7109375" style="70" customWidth="1"/>
    <col min="9480" max="9480" width="10.28515625" style="70" customWidth="1"/>
    <col min="9481" max="9481" width="10.7109375" style="70" customWidth="1"/>
    <col min="9482" max="9482" width="10.5703125" style="70" customWidth="1"/>
    <col min="9483" max="9483" width="8.7109375" style="70" customWidth="1"/>
    <col min="9484" max="9492" width="4.5703125" style="70" customWidth="1"/>
    <col min="9493" max="9728" width="11.42578125" style="70"/>
    <col min="9729" max="9729" width="24.28515625" style="70" customWidth="1"/>
    <col min="9730" max="9730" width="11.42578125" style="70" customWidth="1"/>
    <col min="9731" max="9731" width="1.5703125" style="70" customWidth="1"/>
    <col min="9732" max="9732" width="10.7109375" style="70" customWidth="1"/>
    <col min="9733" max="9733" width="1.5703125" style="70" customWidth="1"/>
    <col min="9734" max="9734" width="11.42578125" style="70" customWidth="1"/>
    <col min="9735" max="9735" width="11.7109375" style="70" customWidth="1"/>
    <col min="9736" max="9736" width="10.28515625" style="70" customWidth="1"/>
    <col min="9737" max="9737" width="10.7109375" style="70" customWidth="1"/>
    <col min="9738" max="9738" width="10.5703125" style="70" customWidth="1"/>
    <col min="9739" max="9739" width="8.7109375" style="70" customWidth="1"/>
    <col min="9740" max="9748" width="4.5703125" style="70" customWidth="1"/>
    <col min="9749" max="9984" width="11.42578125" style="70"/>
    <col min="9985" max="9985" width="24.28515625" style="70" customWidth="1"/>
    <col min="9986" max="9986" width="11.42578125" style="70" customWidth="1"/>
    <col min="9987" max="9987" width="1.5703125" style="70" customWidth="1"/>
    <col min="9988" max="9988" width="10.7109375" style="70" customWidth="1"/>
    <col min="9989" max="9989" width="1.5703125" style="70" customWidth="1"/>
    <col min="9990" max="9990" width="11.42578125" style="70" customWidth="1"/>
    <col min="9991" max="9991" width="11.7109375" style="70" customWidth="1"/>
    <col min="9992" max="9992" width="10.28515625" style="70" customWidth="1"/>
    <col min="9993" max="9993" width="10.7109375" style="70" customWidth="1"/>
    <col min="9994" max="9994" width="10.5703125" style="70" customWidth="1"/>
    <col min="9995" max="9995" width="8.7109375" style="70" customWidth="1"/>
    <col min="9996" max="10004" width="4.5703125" style="70" customWidth="1"/>
    <col min="10005" max="10240" width="11.42578125" style="70"/>
    <col min="10241" max="10241" width="24.28515625" style="70" customWidth="1"/>
    <col min="10242" max="10242" width="11.42578125" style="70" customWidth="1"/>
    <col min="10243" max="10243" width="1.5703125" style="70" customWidth="1"/>
    <col min="10244" max="10244" width="10.7109375" style="70" customWidth="1"/>
    <col min="10245" max="10245" width="1.5703125" style="70" customWidth="1"/>
    <col min="10246" max="10246" width="11.42578125" style="70" customWidth="1"/>
    <col min="10247" max="10247" width="11.7109375" style="70" customWidth="1"/>
    <col min="10248" max="10248" width="10.28515625" style="70" customWidth="1"/>
    <col min="10249" max="10249" width="10.7109375" style="70" customWidth="1"/>
    <col min="10250" max="10250" width="10.5703125" style="70" customWidth="1"/>
    <col min="10251" max="10251" width="8.7109375" style="70" customWidth="1"/>
    <col min="10252" max="10260" width="4.5703125" style="70" customWidth="1"/>
    <col min="10261" max="10496" width="11.42578125" style="70"/>
    <col min="10497" max="10497" width="24.28515625" style="70" customWidth="1"/>
    <col min="10498" max="10498" width="11.42578125" style="70" customWidth="1"/>
    <col min="10499" max="10499" width="1.5703125" style="70" customWidth="1"/>
    <col min="10500" max="10500" width="10.7109375" style="70" customWidth="1"/>
    <col min="10501" max="10501" width="1.5703125" style="70" customWidth="1"/>
    <col min="10502" max="10502" width="11.42578125" style="70" customWidth="1"/>
    <col min="10503" max="10503" width="11.7109375" style="70" customWidth="1"/>
    <col min="10504" max="10504" width="10.28515625" style="70" customWidth="1"/>
    <col min="10505" max="10505" width="10.7109375" style="70" customWidth="1"/>
    <col min="10506" max="10506" width="10.5703125" style="70" customWidth="1"/>
    <col min="10507" max="10507" width="8.7109375" style="70" customWidth="1"/>
    <col min="10508" max="10516" width="4.5703125" style="70" customWidth="1"/>
    <col min="10517" max="10752" width="11.42578125" style="70"/>
    <col min="10753" max="10753" width="24.28515625" style="70" customWidth="1"/>
    <col min="10754" max="10754" width="11.42578125" style="70" customWidth="1"/>
    <col min="10755" max="10755" width="1.5703125" style="70" customWidth="1"/>
    <col min="10756" max="10756" width="10.7109375" style="70" customWidth="1"/>
    <col min="10757" max="10757" width="1.5703125" style="70" customWidth="1"/>
    <col min="10758" max="10758" width="11.42578125" style="70" customWidth="1"/>
    <col min="10759" max="10759" width="11.7109375" style="70" customWidth="1"/>
    <col min="10760" max="10760" width="10.28515625" style="70" customWidth="1"/>
    <col min="10761" max="10761" width="10.7109375" style="70" customWidth="1"/>
    <col min="10762" max="10762" width="10.5703125" style="70" customWidth="1"/>
    <col min="10763" max="10763" width="8.7109375" style="70" customWidth="1"/>
    <col min="10764" max="10772" width="4.5703125" style="70" customWidth="1"/>
    <col min="10773" max="11008" width="11.42578125" style="70"/>
    <col min="11009" max="11009" width="24.28515625" style="70" customWidth="1"/>
    <col min="11010" max="11010" width="11.42578125" style="70" customWidth="1"/>
    <col min="11011" max="11011" width="1.5703125" style="70" customWidth="1"/>
    <col min="11012" max="11012" width="10.7109375" style="70" customWidth="1"/>
    <col min="11013" max="11013" width="1.5703125" style="70" customWidth="1"/>
    <col min="11014" max="11014" width="11.42578125" style="70" customWidth="1"/>
    <col min="11015" max="11015" width="11.7109375" style="70" customWidth="1"/>
    <col min="11016" max="11016" width="10.28515625" style="70" customWidth="1"/>
    <col min="11017" max="11017" width="10.7109375" style="70" customWidth="1"/>
    <col min="11018" max="11018" width="10.5703125" style="70" customWidth="1"/>
    <col min="11019" max="11019" width="8.7109375" style="70" customWidth="1"/>
    <col min="11020" max="11028" width="4.5703125" style="70" customWidth="1"/>
    <col min="11029" max="11264" width="11.42578125" style="70"/>
    <col min="11265" max="11265" width="24.28515625" style="70" customWidth="1"/>
    <col min="11266" max="11266" width="11.42578125" style="70" customWidth="1"/>
    <col min="11267" max="11267" width="1.5703125" style="70" customWidth="1"/>
    <col min="11268" max="11268" width="10.7109375" style="70" customWidth="1"/>
    <col min="11269" max="11269" width="1.5703125" style="70" customWidth="1"/>
    <col min="11270" max="11270" width="11.42578125" style="70" customWidth="1"/>
    <col min="11271" max="11271" width="11.7109375" style="70" customWidth="1"/>
    <col min="11272" max="11272" width="10.28515625" style="70" customWidth="1"/>
    <col min="11273" max="11273" width="10.7109375" style="70" customWidth="1"/>
    <col min="11274" max="11274" width="10.5703125" style="70" customWidth="1"/>
    <col min="11275" max="11275" width="8.7109375" style="70" customWidth="1"/>
    <col min="11276" max="11284" width="4.5703125" style="70" customWidth="1"/>
    <col min="11285" max="11520" width="11.42578125" style="70"/>
    <col min="11521" max="11521" width="24.28515625" style="70" customWidth="1"/>
    <col min="11522" max="11522" width="11.42578125" style="70" customWidth="1"/>
    <col min="11523" max="11523" width="1.5703125" style="70" customWidth="1"/>
    <col min="11524" max="11524" width="10.7109375" style="70" customWidth="1"/>
    <col min="11525" max="11525" width="1.5703125" style="70" customWidth="1"/>
    <col min="11526" max="11526" width="11.42578125" style="70" customWidth="1"/>
    <col min="11527" max="11527" width="11.7109375" style="70" customWidth="1"/>
    <col min="11528" max="11528" width="10.28515625" style="70" customWidth="1"/>
    <col min="11529" max="11529" width="10.7109375" style="70" customWidth="1"/>
    <col min="11530" max="11530" width="10.5703125" style="70" customWidth="1"/>
    <col min="11531" max="11531" width="8.7109375" style="70" customWidth="1"/>
    <col min="11532" max="11540" width="4.5703125" style="70" customWidth="1"/>
    <col min="11541" max="11776" width="11.42578125" style="70"/>
    <col min="11777" max="11777" width="24.28515625" style="70" customWidth="1"/>
    <col min="11778" max="11778" width="11.42578125" style="70" customWidth="1"/>
    <col min="11779" max="11779" width="1.5703125" style="70" customWidth="1"/>
    <col min="11780" max="11780" width="10.7109375" style="70" customWidth="1"/>
    <col min="11781" max="11781" width="1.5703125" style="70" customWidth="1"/>
    <col min="11782" max="11782" width="11.42578125" style="70" customWidth="1"/>
    <col min="11783" max="11783" width="11.7109375" style="70" customWidth="1"/>
    <col min="11784" max="11784" width="10.28515625" style="70" customWidth="1"/>
    <col min="11785" max="11785" width="10.7109375" style="70" customWidth="1"/>
    <col min="11786" max="11786" width="10.5703125" style="70" customWidth="1"/>
    <col min="11787" max="11787" width="8.7109375" style="70" customWidth="1"/>
    <col min="11788" max="11796" width="4.5703125" style="70" customWidth="1"/>
    <col min="11797" max="12032" width="11.42578125" style="70"/>
    <col min="12033" max="12033" width="24.28515625" style="70" customWidth="1"/>
    <col min="12034" max="12034" width="11.42578125" style="70" customWidth="1"/>
    <col min="12035" max="12035" width="1.5703125" style="70" customWidth="1"/>
    <col min="12036" max="12036" width="10.7109375" style="70" customWidth="1"/>
    <col min="12037" max="12037" width="1.5703125" style="70" customWidth="1"/>
    <col min="12038" max="12038" width="11.42578125" style="70" customWidth="1"/>
    <col min="12039" max="12039" width="11.7109375" style="70" customWidth="1"/>
    <col min="12040" max="12040" width="10.28515625" style="70" customWidth="1"/>
    <col min="12041" max="12041" width="10.7109375" style="70" customWidth="1"/>
    <col min="12042" max="12042" width="10.5703125" style="70" customWidth="1"/>
    <col min="12043" max="12043" width="8.7109375" style="70" customWidth="1"/>
    <col min="12044" max="12052" width="4.5703125" style="70" customWidth="1"/>
    <col min="12053" max="12288" width="11.42578125" style="70"/>
    <col min="12289" max="12289" width="24.28515625" style="70" customWidth="1"/>
    <col min="12290" max="12290" width="11.42578125" style="70" customWidth="1"/>
    <col min="12291" max="12291" width="1.5703125" style="70" customWidth="1"/>
    <col min="12292" max="12292" width="10.7109375" style="70" customWidth="1"/>
    <col min="12293" max="12293" width="1.5703125" style="70" customWidth="1"/>
    <col min="12294" max="12294" width="11.42578125" style="70" customWidth="1"/>
    <col min="12295" max="12295" width="11.7109375" style="70" customWidth="1"/>
    <col min="12296" max="12296" width="10.28515625" style="70" customWidth="1"/>
    <col min="12297" max="12297" width="10.7109375" style="70" customWidth="1"/>
    <col min="12298" max="12298" width="10.5703125" style="70" customWidth="1"/>
    <col min="12299" max="12299" width="8.7109375" style="70" customWidth="1"/>
    <col min="12300" max="12308" width="4.5703125" style="70" customWidth="1"/>
    <col min="12309" max="12544" width="11.42578125" style="70"/>
    <col min="12545" max="12545" width="24.28515625" style="70" customWidth="1"/>
    <col min="12546" max="12546" width="11.42578125" style="70" customWidth="1"/>
    <col min="12547" max="12547" width="1.5703125" style="70" customWidth="1"/>
    <col min="12548" max="12548" width="10.7109375" style="70" customWidth="1"/>
    <col min="12549" max="12549" width="1.5703125" style="70" customWidth="1"/>
    <col min="12550" max="12550" width="11.42578125" style="70" customWidth="1"/>
    <col min="12551" max="12551" width="11.7109375" style="70" customWidth="1"/>
    <col min="12552" max="12552" width="10.28515625" style="70" customWidth="1"/>
    <col min="12553" max="12553" width="10.7109375" style="70" customWidth="1"/>
    <col min="12554" max="12554" width="10.5703125" style="70" customWidth="1"/>
    <col min="12555" max="12555" width="8.7109375" style="70" customWidth="1"/>
    <col min="12556" max="12564" width="4.5703125" style="70" customWidth="1"/>
    <col min="12565" max="12800" width="11.42578125" style="70"/>
    <col min="12801" max="12801" width="24.28515625" style="70" customWidth="1"/>
    <col min="12802" max="12802" width="11.42578125" style="70" customWidth="1"/>
    <col min="12803" max="12803" width="1.5703125" style="70" customWidth="1"/>
    <col min="12804" max="12804" width="10.7109375" style="70" customWidth="1"/>
    <col min="12805" max="12805" width="1.5703125" style="70" customWidth="1"/>
    <col min="12806" max="12806" width="11.42578125" style="70" customWidth="1"/>
    <col min="12807" max="12807" width="11.7109375" style="70" customWidth="1"/>
    <col min="12808" max="12808" width="10.28515625" style="70" customWidth="1"/>
    <col min="12809" max="12809" width="10.7109375" style="70" customWidth="1"/>
    <col min="12810" max="12810" width="10.5703125" style="70" customWidth="1"/>
    <col min="12811" max="12811" width="8.7109375" style="70" customWidth="1"/>
    <col min="12812" max="12820" width="4.5703125" style="70" customWidth="1"/>
    <col min="12821" max="13056" width="11.42578125" style="70"/>
    <col min="13057" max="13057" width="24.28515625" style="70" customWidth="1"/>
    <col min="13058" max="13058" width="11.42578125" style="70" customWidth="1"/>
    <col min="13059" max="13059" width="1.5703125" style="70" customWidth="1"/>
    <col min="13060" max="13060" width="10.7109375" style="70" customWidth="1"/>
    <col min="13061" max="13061" width="1.5703125" style="70" customWidth="1"/>
    <col min="13062" max="13062" width="11.42578125" style="70" customWidth="1"/>
    <col min="13063" max="13063" width="11.7109375" style="70" customWidth="1"/>
    <col min="13064" max="13064" width="10.28515625" style="70" customWidth="1"/>
    <col min="13065" max="13065" width="10.7109375" style="70" customWidth="1"/>
    <col min="13066" max="13066" width="10.5703125" style="70" customWidth="1"/>
    <col min="13067" max="13067" width="8.7109375" style="70" customWidth="1"/>
    <col min="13068" max="13076" width="4.5703125" style="70" customWidth="1"/>
    <col min="13077" max="13312" width="11.42578125" style="70"/>
    <col min="13313" max="13313" width="24.28515625" style="70" customWidth="1"/>
    <col min="13314" max="13314" width="11.42578125" style="70" customWidth="1"/>
    <col min="13315" max="13315" width="1.5703125" style="70" customWidth="1"/>
    <col min="13316" max="13316" width="10.7109375" style="70" customWidth="1"/>
    <col min="13317" max="13317" width="1.5703125" style="70" customWidth="1"/>
    <col min="13318" max="13318" width="11.42578125" style="70" customWidth="1"/>
    <col min="13319" max="13319" width="11.7109375" style="70" customWidth="1"/>
    <col min="13320" max="13320" width="10.28515625" style="70" customWidth="1"/>
    <col min="13321" max="13321" width="10.7109375" style="70" customWidth="1"/>
    <col min="13322" max="13322" width="10.5703125" style="70" customWidth="1"/>
    <col min="13323" max="13323" width="8.7109375" style="70" customWidth="1"/>
    <col min="13324" max="13332" width="4.5703125" style="70" customWidth="1"/>
    <col min="13333" max="13568" width="11.42578125" style="70"/>
    <col min="13569" max="13569" width="24.28515625" style="70" customWidth="1"/>
    <col min="13570" max="13570" width="11.42578125" style="70" customWidth="1"/>
    <col min="13571" max="13571" width="1.5703125" style="70" customWidth="1"/>
    <col min="13572" max="13572" width="10.7109375" style="70" customWidth="1"/>
    <col min="13573" max="13573" width="1.5703125" style="70" customWidth="1"/>
    <col min="13574" max="13574" width="11.42578125" style="70" customWidth="1"/>
    <col min="13575" max="13575" width="11.7109375" style="70" customWidth="1"/>
    <col min="13576" max="13576" width="10.28515625" style="70" customWidth="1"/>
    <col min="13577" max="13577" width="10.7109375" style="70" customWidth="1"/>
    <col min="13578" max="13578" width="10.5703125" style="70" customWidth="1"/>
    <col min="13579" max="13579" width="8.7109375" style="70" customWidth="1"/>
    <col min="13580" max="13588" width="4.5703125" style="70" customWidth="1"/>
    <col min="13589" max="13824" width="11.42578125" style="70"/>
    <col min="13825" max="13825" width="24.28515625" style="70" customWidth="1"/>
    <col min="13826" max="13826" width="11.42578125" style="70" customWidth="1"/>
    <col min="13827" max="13827" width="1.5703125" style="70" customWidth="1"/>
    <col min="13828" max="13828" width="10.7109375" style="70" customWidth="1"/>
    <col min="13829" max="13829" width="1.5703125" style="70" customWidth="1"/>
    <col min="13830" max="13830" width="11.42578125" style="70" customWidth="1"/>
    <col min="13831" max="13831" width="11.7109375" style="70" customWidth="1"/>
    <col min="13832" max="13832" width="10.28515625" style="70" customWidth="1"/>
    <col min="13833" max="13833" width="10.7109375" style="70" customWidth="1"/>
    <col min="13834" max="13834" width="10.5703125" style="70" customWidth="1"/>
    <col min="13835" max="13835" width="8.7109375" style="70" customWidth="1"/>
    <col min="13836" max="13844" width="4.5703125" style="70" customWidth="1"/>
    <col min="13845" max="14080" width="11.42578125" style="70"/>
    <col min="14081" max="14081" width="24.28515625" style="70" customWidth="1"/>
    <col min="14082" max="14082" width="11.42578125" style="70" customWidth="1"/>
    <col min="14083" max="14083" width="1.5703125" style="70" customWidth="1"/>
    <col min="14084" max="14084" width="10.7109375" style="70" customWidth="1"/>
    <col min="14085" max="14085" width="1.5703125" style="70" customWidth="1"/>
    <col min="14086" max="14086" width="11.42578125" style="70" customWidth="1"/>
    <col min="14087" max="14087" width="11.7109375" style="70" customWidth="1"/>
    <col min="14088" max="14088" width="10.28515625" style="70" customWidth="1"/>
    <col min="14089" max="14089" width="10.7109375" style="70" customWidth="1"/>
    <col min="14090" max="14090" width="10.5703125" style="70" customWidth="1"/>
    <col min="14091" max="14091" width="8.7109375" style="70" customWidth="1"/>
    <col min="14092" max="14100" width="4.5703125" style="70" customWidth="1"/>
    <col min="14101" max="14336" width="11.42578125" style="70"/>
    <col min="14337" max="14337" width="24.28515625" style="70" customWidth="1"/>
    <col min="14338" max="14338" width="11.42578125" style="70" customWidth="1"/>
    <col min="14339" max="14339" width="1.5703125" style="70" customWidth="1"/>
    <col min="14340" max="14340" width="10.7109375" style="70" customWidth="1"/>
    <col min="14341" max="14341" width="1.5703125" style="70" customWidth="1"/>
    <col min="14342" max="14342" width="11.42578125" style="70" customWidth="1"/>
    <col min="14343" max="14343" width="11.7109375" style="70" customWidth="1"/>
    <col min="14344" max="14344" width="10.28515625" style="70" customWidth="1"/>
    <col min="14345" max="14345" width="10.7109375" style="70" customWidth="1"/>
    <col min="14346" max="14346" width="10.5703125" style="70" customWidth="1"/>
    <col min="14347" max="14347" width="8.7109375" style="70" customWidth="1"/>
    <col min="14348" max="14356" width="4.5703125" style="70" customWidth="1"/>
    <col min="14357" max="14592" width="11.42578125" style="70"/>
    <col min="14593" max="14593" width="24.28515625" style="70" customWidth="1"/>
    <col min="14594" max="14594" width="11.42578125" style="70" customWidth="1"/>
    <col min="14595" max="14595" width="1.5703125" style="70" customWidth="1"/>
    <col min="14596" max="14596" width="10.7109375" style="70" customWidth="1"/>
    <col min="14597" max="14597" width="1.5703125" style="70" customWidth="1"/>
    <col min="14598" max="14598" width="11.42578125" style="70" customWidth="1"/>
    <col min="14599" max="14599" width="11.7109375" style="70" customWidth="1"/>
    <col min="14600" max="14600" width="10.28515625" style="70" customWidth="1"/>
    <col min="14601" max="14601" width="10.7109375" style="70" customWidth="1"/>
    <col min="14602" max="14602" width="10.5703125" style="70" customWidth="1"/>
    <col min="14603" max="14603" width="8.7109375" style="70" customWidth="1"/>
    <col min="14604" max="14612" width="4.5703125" style="70" customWidth="1"/>
    <col min="14613" max="14848" width="11.42578125" style="70"/>
    <col min="14849" max="14849" width="24.28515625" style="70" customWidth="1"/>
    <col min="14850" max="14850" width="11.42578125" style="70" customWidth="1"/>
    <col min="14851" max="14851" width="1.5703125" style="70" customWidth="1"/>
    <col min="14852" max="14852" width="10.7109375" style="70" customWidth="1"/>
    <col min="14853" max="14853" width="1.5703125" style="70" customWidth="1"/>
    <col min="14854" max="14854" width="11.42578125" style="70" customWidth="1"/>
    <col min="14855" max="14855" width="11.7109375" style="70" customWidth="1"/>
    <col min="14856" max="14856" width="10.28515625" style="70" customWidth="1"/>
    <col min="14857" max="14857" width="10.7109375" style="70" customWidth="1"/>
    <col min="14858" max="14858" width="10.5703125" style="70" customWidth="1"/>
    <col min="14859" max="14859" width="8.7109375" style="70" customWidth="1"/>
    <col min="14860" max="14868" width="4.5703125" style="70" customWidth="1"/>
    <col min="14869" max="15104" width="11.42578125" style="70"/>
    <col min="15105" max="15105" width="24.28515625" style="70" customWidth="1"/>
    <col min="15106" max="15106" width="11.42578125" style="70" customWidth="1"/>
    <col min="15107" max="15107" width="1.5703125" style="70" customWidth="1"/>
    <col min="15108" max="15108" width="10.7109375" style="70" customWidth="1"/>
    <col min="15109" max="15109" width="1.5703125" style="70" customWidth="1"/>
    <col min="15110" max="15110" width="11.42578125" style="70" customWidth="1"/>
    <col min="15111" max="15111" width="11.7109375" style="70" customWidth="1"/>
    <col min="15112" max="15112" width="10.28515625" style="70" customWidth="1"/>
    <col min="15113" max="15113" width="10.7109375" style="70" customWidth="1"/>
    <col min="15114" max="15114" width="10.5703125" style="70" customWidth="1"/>
    <col min="15115" max="15115" width="8.7109375" style="70" customWidth="1"/>
    <col min="15116" max="15124" width="4.5703125" style="70" customWidth="1"/>
    <col min="15125" max="15360" width="11.42578125" style="70"/>
    <col min="15361" max="15361" width="24.28515625" style="70" customWidth="1"/>
    <col min="15362" max="15362" width="11.42578125" style="70" customWidth="1"/>
    <col min="15363" max="15363" width="1.5703125" style="70" customWidth="1"/>
    <col min="15364" max="15364" width="10.7109375" style="70" customWidth="1"/>
    <col min="15365" max="15365" width="1.5703125" style="70" customWidth="1"/>
    <col min="15366" max="15366" width="11.42578125" style="70" customWidth="1"/>
    <col min="15367" max="15367" width="11.7109375" style="70" customWidth="1"/>
    <col min="15368" max="15368" width="10.28515625" style="70" customWidth="1"/>
    <col min="15369" max="15369" width="10.7109375" style="70" customWidth="1"/>
    <col min="15370" max="15370" width="10.5703125" style="70" customWidth="1"/>
    <col min="15371" max="15371" width="8.7109375" style="70" customWidth="1"/>
    <col min="15372" max="15380" width="4.5703125" style="70" customWidth="1"/>
    <col min="15381" max="15616" width="11.42578125" style="70"/>
    <col min="15617" max="15617" width="24.28515625" style="70" customWidth="1"/>
    <col min="15618" max="15618" width="11.42578125" style="70" customWidth="1"/>
    <col min="15619" max="15619" width="1.5703125" style="70" customWidth="1"/>
    <col min="15620" max="15620" width="10.7109375" style="70" customWidth="1"/>
    <col min="15621" max="15621" width="1.5703125" style="70" customWidth="1"/>
    <col min="15622" max="15622" width="11.42578125" style="70" customWidth="1"/>
    <col min="15623" max="15623" width="11.7109375" style="70" customWidth="1"/>
    <col min="15624" max="15624" width="10.28515625" style="70" customWidth="1"/>
    <col min="15625" max="15625" width="10.7109375" style="70" customWidth="1"/>
    <col min="15626" max="15626" width="10.5703125" style="70" customWidth="1"/>
    <col min="15627" max="15627" width="8.7109375" style="70" customWidth="1"/>
    <col min="15628" max="15636" width="4.5703125" style="70" customWidth="1"/>
    <col min="15637" max="15872" width="11.42578125" style="70"/>
    <col min="15873" max="15873" width="24.28515625" style="70" customWidth="1"/>
    <col min="15874" max="15874" width="11.42578125" style="70" customWidth="1"/>
    <col min="15875" max="15875" width="1.5703125" style="70" customWidth="1"/>
    <col min="15876" max="15876" width="10.7109375" style="70" customWidth="1"/>
    <col min="15877" max="15877" width="1.5703125" style="70" customWidth="1"/>
    <col min="15878" max="15878" width="11.42578125" style="70" customWidth="1"/>
    <col min="15879" max="15879" width="11.7109375" style="70" customWidth="1"/>
    <col min="15880" max="15880" width="10.28515625" style="70" customWidth="1"/>
    <col min="15881" max="15881" width="10.7109375" style="70" customWidth="1"/>
    <col min="15882" max="15882" width="10.5703125" style="70" customWidth="1"/>
    <col min="15883" max="15883" width="8.7109375" style="70" customWidth="1"/>
    <col min="15884" max="15892" width="4.5703125" style="70" customWidth="1"/>
    <col min="15893" max="16128" width="11.42578125" style="70"/>
    <col min="16129" max="16129" width="24.28515625" style="70" customWidth="1"/>
    <col min="16130" max="16130" width="11.42578125" style="70" customWidth="1"/>
    <col min="16131" max="16131" width="1.5703125" style="70" customWidth="1"/>
    <col min="16132" max="16132" width="10.7109375" style="70" customWidth="1"/>
    <col min="16133" max="16133" width="1.5703125" style="70" customWidth="1"/>
    <col min="16134" max="16134" width="11.42578125" style="70" customWidth="1"/>
    <col min="16135" max="16135" width="11.7109375" style="70" customWidth="1"/>
    <col min="16136" max="16136" width="10.28515625" style="70" customWidth="1"/>
    <col min="16137" max="16137" width="10.7109375" style="70" customWidth="1"/>
    <col min="16138" max="16138" width="10.5703125" style="70" customWidth="1"/>
    <col min="16139" max="16139" width="8.7109375" style="70" customWidth="1"/>
    <col min="16140" max="16148" width="4.5703125" style="70" customWidth="1"/>
    <col min="16149" max="16384" width="11.42578125" style="70"/>
  </cols>
  <sheetData>
    <row r="1" spans="1:12" s="40" customFormat="1">
      <c r="A1" s="84" t="s">
        <v>367</v>
      </c>
      <c r="B1" s="39"/>
      <c r="F1" s="41"/>
      <c r="G1" s="42"/>
      <c r="I1" s="42"/>
      <c r="L1" s="39"/>
    </row>
    <row r="2" spans="1:12" s="40" customFormat="1">
      <c r="A2" s="236" t="str">
        <f>'Regulated DF Calc'!A3</f>
        <v>Proposed Effective January 1, 2023</v>
      </c>
      <c r="B2" s="43"/>
      <c r="F2" s="41"/>
      <c r="G2" s="42"/>
      <c r="H2" s="44"/>
      <c r="I2" s="42"/>
      <c r="J2" s="44"/>
      <c r="L2" s="39"/>
    </row>
    <row r="3" spans="1:12" s="40" customFormat="1" ht="12.75" customHeight="1">
      <c r="A3" s="144"/>
      <c r="B3" s="43"/>
      <c r="F3" s="41"/>
      <c r="G3" s="42"/>
      <c r="H3" s="44"/>
      <c r="I3" s="42"/>
      <c r="J3" s="44"/>
      <c r="L3" s="39"/>
    </row>
    <row r="4" spans="1:12" s="8" customFormat="1">
      <c r="A4" s="154"/>
      <c r="B4" s="154"/>
      <c r="C4" s="154"/>
      <c r="D4" s="154"/>
      <c r="E4" s="154"/>
      <c r="F4" s="154"/>
      <c r="G4" s="154"/>
      <c r="H4" s="154"/>
    </row>
    <row r="5" spans="1:12" s="8" customFormat="1" ht="30" customHeight="1">
      <c r="B5" s="237" t="s">
        <v>390</v>
      </c>
      <c r="C5" s="237"/>
      <c r="D5" s="237" t="s">
        <v>391</v>
      </c>
      <c r="H5" s="155" t="s">
        <v>390</v>
      </c>
      <c r="I5" s="155"/>
      <c r="J5" s="155" t="s">
        <v>391</v>
      </c>
    </row>
    <row r="6" spans="1:12" s="40" customFormat="1">
      <c r="A6" s="49"/>
      <c r="B6" s="50" t="s">
        <v>241</v>
      </c>
      <c r="C6" s="47"/>
      <c r="D6" s="50" t="s">
        <v>241</v>
      </c>
      <c r="E6" s="47"/>
      <c r="F6" s="48" t="s">
        <v>243</v>
      </c>
      <c r="G6" s="48"/>
      <c r="H6" s="46" t="s">
        <v>242</v>
      </c>
      <c r="I6" s="48"/>
      <c r="J6" s="46" t="s">
        <v>242</v>
      </c>
    </row>
    <row r="7" spans="1:12" s="40" customFormat="1">
      <c r="A7" s="51"/>
      <c r="B7" s="50" t="s">
        <v>69</v>
      </c>
      <c r="C7" s="47"/>
      <c r="D7" s="50" t="s">
        <v>69</v>
      </c>
      <c r="E7" s="47"/>
      <c r="F7" s="48" t="s">
        <v>63</v>
      </c>
      <c r="G7" s="48"/>
      <c r="H7" s="48" t="s">
        <v>69</v>
      </c>
      <c r="I7" s="48"/>
      <c r="J7" s="48" t="s">
        <v>69</v>
      </c>
    </row>
    <row r="8" spans="1:12" s="40" customFormat="1">
      <c r="A8" s="53" t="s">
        <v>244</v>
      </c>
      <c r="B8" s="52"/>
      <c r="C8" s="53"/>
      <c r="D8" s="53"/>
      <c r="E8" s="53"/>
      <c r="F8" s="54"/>
      <c r="G8" s="55"/>
      <c r="H8" s="56"/>
      <c r="I8" s="55"/>
      <c r="J8" s="56"/>
    </row>
    <row r="9" spans="1:12" s="40" customFormat="1">
      <c r="A9" s="40" t="s">
        <v>339</v>
      </c>
      <c r="B9" s="240">
        <v>5.45</v>
      </c>
      <c r="C9" s="241"/>
      <c r="D9" s="241">
        <v>5.42</v>
      </c>
      <c r="E9" s="61"/>
      <c r="F9" s="45">
        <f ca="1">+'Regulated DF Calc'!N27</f>
        <v>8.5202046134546003E-2</v>
      </c>
      <c r="G9" s="45"/>
      <c r="H9" s="242">
        <f ca="1">+B9+F9</f>
        <v>5.5352020461345459</v>
      </c>
      <c r="I9" s="245"/>
      <c r="J9" s="242">
        <f ca="1">+D9+F9</f>
        <v>5.5052020461345457</v>
      </c>
    </row>
    <row r="10" spans="1:12" s="40" customFormat="1">
      <c r="B10" s="58"/>
      <c r="C10" s="61"/>
      <c r="D10" s="61"/>
      <c r="E10" s="61"/>
      <c r="F10" s="45"/>
      <c r="G10" s="45"/>
      <c r="H10" s="39"/>
      <c r="I10" s="45"/>
      <c r="J10" s="39"/>
    </row>
    <row r="11" spans="1:12" s="40" customFormat="1">
      <c r="A11" s="53" t="s">
        <v>246</v>
      </c>
      <c r="B11" s="60"/>
      <c r="C11" s="62"/>
      <c r="D11" s="62"/>
      <c r="E11" s="62"/>
      <c r="F11" s="63"/>
      <c r="G11" s="63"/>
      <c r="H11" s="56"/>
      <c r="I11" s="63"/>
      <c r="J11" s="56"/>
    </row>
    <row r="12" spans="1:12" s="40" customFormat="1">
      <c r="A12" s="40" t="s">
        <v>333</v>
      </c>
      <c r="B12" s="242">
        <v>12.06</v>
      </c>
      <c r="C12" s="243"/>
      <c r="D12" s="244">
        <v>12</v>
      </c>
      <c r="F12" s="45">
        <f ca="1">+'Regulated DF Calc'!N11</f>
        <v>0.21701462338975538</v>
      </c>
      <c r="G12" s="42"/>
      <c r="H12" s="242">
        <f t="shared" ref="H12:H25" ca="1" si="0">+B12+F12</f>
        <v>12.277014623389755</v>
      </c>
      <c r="I12" s="246"/>
      <c r="J12" s="242">
        <f t="shared" ref="J12:J25" ca="1" si="1">+D12+F12</f>
        <v>12.217014623389755</v>
      </c>
    </row>
    <row r="13" spans="1:12" s="40" customFormat="1">
      <c r="A13" s="40" t="s">
        <v>334</v>
      </c>
      <c r="B13" s="242">
        <v>8.98</v>
      </c>
      <c r="C13" s="243"/>
      <c r="D13" s="243">
        <v>8.94</v>
      </c>
      <c r="F13" s="45">
        <f ca="1">+'Regulated DF Calc'!N10</f>
        <v>0.10875790594821461</v>
      </c>
      <c r="G13" s="42"/>
      <c r="H13" s="242">
        <f t="shared" ca="1" si="0"/>
        <v>9.0887579059482153</v>
      </c>
      <c r="I13" s="246"/>
      <c r="J13" s="242">
        <f t="shared" ca="1" si="1"/>
        <v>9.0487579059482144</v>
      </c>
    </row>
    <row r="14" spans="1:12" s="40" customFormat="1">
      <c r="A14" s="40" t="s">
        <v>21</v>
      </c>
      <c r="B14" s="242">
        <v>15.52</v>
      </c>
      <c r="C14" s="243"/>
      <c r="D14" s="243">
        <v>15.44</v>
      </c>
      <c r="F14" s="45">
        <f ca="1">+'Regulated DF Calc'!N14</f>
        <v>0.36892485976258421</v>
      </c>
      <c r="G14" s="42"/>
      <c r="H14" s="242">
        <f t="shared" ca="1" si="0"/>
        <v>15.888924859762584</v>
      </c>
      <c r="I14" s="246"/>
      <c r="J14" s="242">
        <f t="shared" ca="1" si="1"/>
        <v>15.808924859762584</v>
      </c>
    </row>
    <row r="15" spans="1:12" s="40" customFormat="1">
      <c r="A15" s="40" t="s">
        <v>335</v>
      </c>
      <c r="B15" s="242">
        <v>22.6</v>
      </c>
      <c r="C15" s="243"/>
      <c r="D15" s="243">
        <v>22.49</v>
      </c>
      <c r="F15" s="45">
        <f ca="1">+'Regulated DF Calc'!N16</f>
        <v>0.5533872896438764</v>
      </c>
      <c r="G15" s="42"/>
      <c r="H15" s="242">
        <f t="shared" ca="1" si="0"/>
        <v>23.153387289643877</v>
      </c>
      <c r="I15" s="246"/>
      <c r="J15" s="242">
        <f t="shared" ca="1" si="1"/>
        <v>23.043387289643874</v>
      </c>
    </row>
    <row r="16" spans="1:12" s="40" customFormat="1">
      <c r="A16" s="40" t="s">
        <v>336</v>
      </c>
      <c r="B16" s="242">
        <v>33.53</v>
      </c>
      <c r="C16" s="243"/>
      <c r="D16" s="243">
        <v>33.36</v>
      </c>
      <c r="F16" s="45">
        <f ca="1">+'Regulated DF Calc'!N17</f>
        <v>0.83550630005055815</v>
      </c>
      <c r="G16" s="42"/>
      <c r="H16" s="242">
        <f t="shared" ca="1" si="0"/>
        <v>34.365506300050562</v>
      </c>
      <c r="I16" s="246"/>
      <c r="J16" s="242">
        <f t="shared" ca="1" si="1"/>
        <v>34.19550630005056</v>
      </c>
    </row>
    <row r="17" spans="1:11" s="40" customFormat="1">
      <c r="A17" s="40" t="s">
        <v>337</v>
      </c>
      <c r="B17" s="242">
        <v>41.7</v>
      </c>
      <c r="C17" s="243"/>
      <c r="D17" s="243">
        <v>41.49</v>
      </c>
      <c r="F17" s="45">
        <f ca="1">+'Regulated DF Calc'!N18</f>
        <v>1.0525209234403141</v>
      </c>
      <c r="G17" s="42"/>
      <c r="H17" s="242">
        <f t="shared" ca="1" si="0"/>
        <v>42.752520923440315</v>
      </c>
      <c r="I17" s="246"/>
      <c r="J17" s="242">
        <f t="shared" ca="1" si="1"/>
        <v>42.542520923440314</v>
      </c>
    </row>
    <row r="18" spans="1:11" s="40" customFormat="1">
      <c r="A18" s="40" t="s">
        <v>338</v>
      </c>
      <c r="B18" s="242">
        <v>51.95</v>
      </c>
      <c r="C18" s="243"/>
      <c r="D18" s="243">
        <v>51.69</v>
      </c>
      <c r="F18" s="45">
        <f ca="1">+'Regulated DF Calc'!N19</f>
        <v>1.2695355468300691</v>
      </c>
      <c r="G18" s="42"/>
      <c r="H18" s="242">
        <f t="shared" ca="1" si="0"/>
        <v>53.219535546830073</v>
      </c>
      <c r="I18" s="246"/>
      <c r="J18" s="242">
        <f t="shared" ca="1" si="1"/>
        <v>52.959535546830068</v>
      </c>
    </row>
    <row r="19" spans="1:11" s="40" customFormat="1">
      <c r="A19" s="40" t="s">
        <v>332</v>
      </c>
      <c r="B19" s="242">
        <v>62.33</v>
      </c>
      <c r="C19" s="243"/>
      <c r="D19" s="243">
        <v>62.02</v>
      </c>
      <c r="F19" s="45">
        <f ca="1">+'Regulated DF Calc'!N20</f>
        <v>1.4865501702198247</v>
      </c>
      <c r="G19" s="42"/>
      <c r="H19" s="242">
        <f t="shared" ca="1" si="0"/>
        <v>63.81655017021982</v>
      </c>
      <c r="I19" s="246"/>
      <c r="J19" s="242">
        <f t="shared" ca="1" si="1"/>
        <v>63.506550170219825</v>
      </c>
    </row>
    <row r="20" spans="1:11" s="40" customFormat="1">
      <c r="A20" s="40" t="s">
        <v>247</v>
      </c>
      <c r="B20" s="242">
        <v>72.239999999999995</v>
      </c>
      <c r="C20" s="243"/>
      <c r="D20" s="243">
        <v>71.88</v>
      </c>
      <c r="F20" s="45">
        <f ca="1">+'Regulated DF Calc'!N21</f>
        <v>1.7406613104283415</v>
      </c>
      <c r="G20" s="42"/>
      <c r="H20" s="242">
        <f t="shared" ca="1" si="0"/>
        <v>73.980661310428331</v>
      </c>
      <c r="I20" s="246"/>
      <c r="J20" s="242">
        <f t="shared" ca="1" si="1"/>
        <v>73.620661310428332</v>
      </c>
    </row>
    <row r="21" spans="1:11" s="40" customFormat="1">
      <c r="A21" s="40" t="s">
        <v>248</v>
      </c>
      <c r="B21" s="242">
        <v>79.349999999999994</v>
      </c>
      <c r="C21" s="243"/>
      <c r="D21" s="243">
        <v>78.959999999999994</v>
      </c>
      <c r="F21" s="45">
        <f ca="1">+'Regulated DF Calc'!N22</f>
        <v>1.9205794169993358</v>
      </c>
      <c r="G21" s="42"/>
      <c r="H21" s="242">
        <f t="shared" ca="1" si="0"/>
        <v>81.270579416999325</v>
      </c>
      <c r="I21" s="246"/>
      <c r="J21" s="242">
        <f t="shared" ca="1" si="1"/>
        <v>80.880579416999325</v>
      </c>
    </row>
    <row r="22" spans="1:11" s="40" customFormat="1">
      <c r="A22" s="40" t="s">
        <v>249</v>
      </c>
      <c r="B22" s="242">
        <v>93.18</v>
      </c>
      <c r="C22" s="243"/>
      <c r="D22" s="243">
        <v>92.72</v>
      </c>
      <c r="F22" s="78">
        <f ca="1">'Regulated DF Calc'!N23</f>
        <v>2.1375940403890912</v>
      </c>
      <c r="G22" s="42"/>
      <c r="H22" s="242">
        <f t="shared" ca="1" si="0"/>
        <v>95.317594040389096</v>
      </c>
      <c r="I22" s="246"/>
      <c r="J22" s="242">
        <f t="shared" ca="1" si="1"/>
        <v>94.857594040389088</v>
      </c>
    </row>
    <row r="23" spans="1:11" s="40" customFormat="1">
      <c r="A23" s="40" t="s">
        <v>328</v>
      </c>
      <c r="B23" s="242">
        <v>13.28</v>
      </c>
      <c r="C23" s="243"/>
      <c r="D23" s="243">
        <v>13.21</v>
      </c>
      <c r="F23" s="78">
        <f ca="1">F24</f>
        <v>8.5202046134546017E-2</v>
      </c>
      <c r="G23" s="42"/>
      <c r="H23" s="242">
        <f t="shared" ca="1" si="0"/>
        <v>13.365202046134545</v>
      </c>
      <c r="I23" s="246"/>
      <c r="J23" s="242">
        <f t="shared" ca="1" si="1"/>
        <v>13.295202046134547</v>
      </c>
      <c r="K23" s="243"/>
    </row>
    <row r="24" spans="1:11" s="40" customFormat="1">
      <c r="A24" s="40" t="s">
        <v>250</v>
      </c>
      <c r="B24" s="242">
        <v>5.61</v>
      </c>
      <c r="C24" s="243"/>
      <c r="D24" s="243">
        <v>5.58</v>
      </c>
      <c r="F24" s="45">
        <f ca="1">+'Regulated DF Calc'!N13</f>
        <v>8.5202046134546017E-2</v>
      </c>
      <c r="G24" s="42"/>
      <c r="H24" s="242">
        <f t="shared" ca="1" si="0"/>
        <v>5.6952020461345461</v>
      </c>
      <c r="I24" s="246"/>
      <c r="J24" s="242">
        <f t="shared" ca="1" si="1"/>
        <v>5.6652020461345458</v>
      </c>
    </row>
    <row r="25" spans="1:11" s="40" customFormat="1">
      <c r="A25" s="40" t="s">
        <v>251</v>
      </c>
      <c r="B25" s="242">
        <v>10.39</v>
      </c>
      <c r="C25" s="243"/>
      <c r="D25" s="243">
        <v>10.34</v>
      </c>
      <c r="F25" s="45">
        <f ca="1">+'Regulated DF Calc'!N12</f>
        <v>0.18488844011196481</v>
      </c>
      <c r="G25" s="42"/>
      <c r="H25" s="242">
        <f t="shared" ca="1" si="0"/>
        <v>10.574888440111966</v>
      </c>
      <c r="I25" s="246"/>
      <c r="J25" s="242">
        <f t="shared" ca="1" si="1"/>
        <v>10.524888440111965</v>
      </c>
    </row>
    <row r="26" spans="1:11" s="40" customFormat="1">
      <c r="B26" s="242"/>
      <c r="C26" s="243"/>
      <c r="D26" s="243"/>
      <c r="F26" s="45"/>
      <c r="G26" s="42"/>
      <c r="H26" s="242"/>
      <c r="I26" s="246"/>
      <c r="J26" s="242"/>
    </row>
    <row r="27" spans="1:11" s="40" customFormat="1">
      <c r="A27" s="40" t="s">
        <v>426</v>
      </c>
      <c r="B27" s="242">
        <v>8.98</v>
      </c>
      <c r="D27" s="242">
        <v>8.94</v>
      </c>
      <c r="F27" s="45">
        <f ca="1">F13</f>
        <v>0.10875790594821461</v>
      </c>
      <c r="G27" s="42"/>
      <c r="H27" s="242">
        <f t="shared" ref="H27:H33" ca="1" si="2">+B27+F27</f>
        <v>9.0887579059482153</v>
      </c>
      <c r="I27" s="246"/>
      <c r="J27" s="242">
        <f t="shared" ref="J27:J33" ca="1" si="3">+D27+F27</f>
        <v>9.0487579059482144</v>
      </c>
      <c r="K27" s="247" t="s">
        <v>433</v>
      </c>
    </row>
    <row r="28" spans="1:11" s="40" customFormat="1">
      <c r="A28" s="40" t="s">
        <v>427</v>
      </c>
      <c r="B28" s="242">
        <v>12.06</v>
      </c>
      <c r="D28" s="242">
        <v>12</v>
      </c>
      <c r="F28" s="45">
        <f ca="1">F12</f>
        <v>0.21701462338975538</v>
      </c>
      <c r="G28" s="42"/>
      <c r="H28" s="242">
        <f t="shared" ca="1" si="2"/>
        <v>12.277014623389755</v>
      </c>
      <c r="I28" s="246"/>
      <c r="J28" s="242">
        <f t="shared" ca="1" si="3"/>
        <v>12.217014623389755</v>
      </c>
      <c r="K28" s="247" t="s">
        <v>433</v>
      </c>
    </row>
    <row r="29" spans="1:11" s="40" customFormat="1">
      <c r="A29" s="40" t="s">
        <v>428</v>
      </c>
      <c r="B29" s="242">
        <v>5.61</v>
      </c>
      <c r="D29" s="242">
        <v>5.58</v>
      </c>
      <c r="F29" s="100">
        <f ca="1">F24</f>
        <v>8.5202046134546017E-2</v>
      </c>
      <c r="G29" s="42"/>
      <c r="H29" s="242">
        <f t="shared" ca="1" si="2"/>
        <v>5.6952020461345461</v>
      </c>
      <c r="I29" s="246"/>
      <c r="J29" s="242">
        <f t="shared" ca="1" si="3"/>
        <v>5.6652020461345458</v>
      </c>
      <c r="K29" s="247" t="s">
        <v>433</v>
      </c>
    </row>
    <row r="30" spans="1:11" s="40" customFormat="1">
      <c r="A30" s="40" t="s">
        <v>429</v>
      </c>
      <c r="B30" s="242">
        <v>10.39</v>
      </c>
      <c r="D30" s="242">
        <v>10.34</v>
      </c>
      <c r="F30" s="45">
        <f ca="1">F25</f>
        <v>0.18488844011196481</v>
      </c>
      <c r="G30" s="42"/>
      <c r="H30" s="242">
        <f t="shared" ca="1" si="2"/>
        <v>10.574888440111966</v>
      </c>
      <c r="I30" s="246"/>
      <c r="J30" s="242">
        <f t="shared" ca="1" si="3"/>
        <v>10.524888440111965</v>
      </c>
      <c r="K30" s="247" t="s">
        <v>433</v>
      </c>
    </row>
    <row r="31" spans="1:11" s="40" customFormat="1">
      <c r="A31" s="40" t="s">
        <v>430</v>
      </c>
      <c r="B31" s="242">
        <v>15.52</v>
      </c>
      <c r="D31" s="242">
        <v>15.44</v>
      </c>
      <c r="F31" s="45">
        <f ca="1">F14</f>
        <v>0.36892485976258421</v>
      </c>
      <c r="G31" s="42"/>
      <c r="H31" s="242">
        <f t="shared" ca="1" si="2"/>
        <v>15.888924859762584</v>
      </c>
      <c r="I31" s="246"/>
      <c r="J31" s="242">
        <f t="shared" ca="1" si="3"/>
        <v>15.808924859762584</v>
      </c>
      <c r="K31" s="247" t="s">
        <v>433</v>
      </c>
    </row>
    <row r="32" spans="1:11" s="40" customFormat="1">
      <c r="A32" s="40" t="s">
        <v>431</v>
      </c>
      <c r="B32" s="242">
        <v>22.6</v>
      </c>
      <c r="D32" s="242">
        <v>22.49</v>
      </c>
      <c r="F32" s="100">
        <f ca="1">((References!$C$29*'Regulated DF Calc'!$H$114)*(References!$D$69/References!$F$78))*References!$C$12</f>
        <v>0.5533872896438764</v>
      </c>
      <c r="G32" s="42"/>
      <c r="H32" s="242">
        <f t="shared" ca="1" si="2"/>
        <v>23.153387289643877</v>
      </c>
      <c r="I32" s="246"/>
      <c r="J32" s="242">
        <f t="shared" ca="1" si="3"/>
        <v>23.043387289643874</v>
      </c>
      <c r="K32" s="247" t="s">
        <v>433</v>
      </c>
    </row>
    <row r="33" spans="1:13" s="40" customFormat="1">
      <c r="A33" s="40" t="s">
        <v>432</v>
      </c>
      <c r="B33" s="242">
        <v>33.53</v>
      </c>
      <c r="D33" s="242">
        <v>33.36</v>
      </c>
      <c r="F33" s="100">
        <f ca="1">((References!$C$31*'Regulated DF Calc'!$H$114)*(References!$D$69/References!$F$78))*References!$C$12</f>
        <v>0.83550630005055837</v>
      </c>
      <c r="G33" s="42"/>
      <c r="H33" s="242">
        <f t="shared" ca="1" si="2"/>
        <v>34.365506300050562</v>
      </c>
      <c r="I33" s="246"/>
      <c r="J33" s="242">
        <f t="shared" ca="1" si="3"/>
        <v>34.19550630005056</v>
      </c>
      <c r="K33" s="247" t="s">
        <v>433</v>
      </c>
    </row>
    <row r="34" spans="1:13" s="40" customFormat="1">
      <c r="B34" s="242"/>
      <c r="C34" s="243"/>
      <c r="D34" s="243"/>
      <c r="F34" s="45"/>
      <c r="G34" s="42"/>
      <c r="H34" s="242"/>
      <c r="I34" s="246"/>
      <c r="J34" s="242"/>
    </row>
    <row r="35" spans="1:13" s="40" customFormat="1">
      <c r="A35" s="53" t="s">
        <v>252</v>
      </c>
      <c r="B35" s="56"/>
      <c r="C35" s="65"/>
      <c r="D35" s="65"/>
      <c r="E35" s="65"/>
      <c r="F35" s="63"/>
      <c r="G35" s="66"/>
      <c r="H35" s="56"/>
      <c r="I35" s="66"/>
      <c r="J35" s="56"/>
    </row>
    <row r="36" spans="1:13" s="40" customFormat="1">
      <c r="A36" s="77" t="s">
        <v>292</v>
      </c>
      <c r="B36" s="242">
        <v>4.2300000000000004</v>
      </c>
      <c r="D36" s="242">
        <v>4.21</v>
      </c>
      <c r="E36" s="243"/>
      <c r="F36" s="245">
        <f ca="1">+'Regulated DF Calc'!N24</f>
        <v>8.5202046134546017E-2</v>
      </c>
      <c r="G36" s="246"/>
      <c r="H36" s="242">
        <f t="shared" ref="H36:H41" ca="1" si="4">+B36+F36</f>
        <v>4.3152020461345462</v>
      </c>
      <c r="I36" s="246"/>
      <c r="J36" s="242">
        <f t="shared" ref="J36:J41" ca="1" si="5">+D36+F36</f>
        <v>4.2952020461345457</v>
      </c>
      <c r="M36" s="152">
        <f t="shared" ref="M36" si="6">+G36+K36</f>
        <v>0</v>
      </c>
    </row>
    <row r="37" spans="1:13" s="40" customFormat="1">
      <c r="A37" s="40" t="s">
        <v>253</v>
      </c>
      <c r="B37" s="242">
        <v>4.18</v>
      </c>
      <c r="D37" s="243">
        <v>4.16</v>
      </c>
      <c r="E37" s="243"/>
      <c r="F37" s="245">
        <f ca="1">+F12/References!C12</f>
        <v>5.0118850667379998E-2</v>
      </c>
      <c r="G37" s="246"/>
      <c r="H37" s="242">
        <f t="shared" ca="1" si="4"/>
        <v>4.2301188506673801</v>
      </c>
      <c r="I37" s="246"/>
      <c r="J37" s="242">
        <f t="shared" ca="1" si="5"/>
        <v>4.2101188506673806</v>
      </c>
    </row>
    <row r="38" spans="1:13" s="40" customFormat="1">
      <c r="A38" s="40" t="s">
        <v>254</v>
      </c>
      <c r="B38" s="242">
        <v>4.42</v>
      </c>
      <c r="D38" s="243">
        <v>4.4000000000000004</v>
      </c>
      <c r="E38" s="243"/>
      <c r="F38" s="245">
        <f ca="1">+F9*2</f>
        <v>0.17040409226909201</v>
      </c>
      <c r="G38" s="246"/>
      <c r="H38" s="242">
        <f t="shared" ca="1" si="4"/>
        <v>4.5904040922690923</v>
      </c>
      <c r="I38" s="246"/>
      <c r="J38" s="242">
        <f t="shared" ca="1" si="5"/>
        <v>4.5704040922690927</v>
      </c>
    </row>
    <row r="39" spans="1:13" s="40" customFormat="1">
      <c r="A39" s="40" t="s">
        <v>255</v>
      </c>
      <c r="B39" s="242">
        <v>4.57</v>
      </c>
      <c r="D39" s="243">
        <v>4.55</v>
      </c>
      <c r="E39" s="243"/>
      <c r="F39" s="245">
        <f ca="1">+F9*3</f>
        <v>0.25560613840363799</v>
      </c>
      <c r="G39" s="246"/>
      <c r="H39" s="242">
        <f t="shared" ca="1" si="4"/>
        <v>4.8256061384036384</v>
      </c>
      <c r="I39" s="246"/>
      <c r="J39" s="242">
        <f t="shared" ca="1" si="5"/>
        <v>4.8056061384036379</v>
      </c>
    </row>
    <row r="40" spans="1:13" s="40" customFormat="1">
      <c r="A40" s="40" t="s">
        <v>256</v>
      </c>
      <c r="B40" s="242">
        <v>4.2300000000000004</v>
      </c>
      <c r="D40" s="243">
        <v>4.21</v>
      </c>
      <c r="E40" s="243"/>
      <c r="F40" s="245">
        <f ca="1">+F9</f>
        <v>8.5202046134546003E-2</v>
      </c>
      <c r="G40" s="246"/>
      <c r="H40" s="242">
        <f t="shared" ca="1" si="4"/>
        <v>4.3152020461345462</v>
      </c>
      <c r="I40" s="246"/>
      <c r="J40" s="242">
        <f t="shared" ca="1" si="5"/>
        <v>4.2952020461345457</v>
      </c>
    </row>
    <row r="41" spans="1:13" s="40" customFormat="1">
      <c r="A41" s="40" t="s">
        <v>257</v>
      </c>
      <c r="B41" s="242">
        <v>5.61</v>
      </c>
      <c r="D41" s="243">
        <v>5.58</v>
      </c>
      <c r="E41" s="243"/>
      <c r="F41" s="245">
        <f ca="1">+'Regulated DF Calc'!N25</f>
        <v>8.5202046134546003E-2</v>
      </c>
      <c r="G41" s="246"/>
      <c r="H41" s="242">
        <f t="shared" ca="1" si="4"/>
        <v>5.6952020461345461</v>
      </c>
      <c r="I41" s="246"/>
      <c r="J41" s="242">
        <f t="shared" ca="1" si="5"/>
        <v>5.6652020461345458</v>
      </c>
    </row>
    <row r="42" spans="1:13" s="40" customFormat="1">
      <c r="B42" s="39"/>
      <c r="F42" s="45"/>
      <c r="G42" s="42"/>
      <c r="H42" s="39"/>
      <c r="I42" s="42"/>
      <c r="J42" s="39"/>
    </row>
    <row r="43" spans="1:13" s="40" customFormat="1">
      <c r="A43" s="40" t="s">
        <v>434</v>
      </c>
      <c r="B43" s="242">
        <v>7.7855795470593749</v>
      </c>
      <c r="D43" s="39">
        <v>7.7717227341263495</v>
      </c>
      <c r="F43" s="45">
        <f ca="1">F12/References!$C$12</f>
        <v>5.0118850667379998E-2</v>
      </c>
      <c r="G43" s="42"/>
      <c r="H43" s="242">
        <f t="shared" ref="H43:H46" ca="1" si="7">+B43+F43</f>
        <v>7.8356983977267554</v>
      </c>
      <c r="I43" s="246"/>
      <c r="J43" s="242">
        <f t="shared" ref="J43:J46" ca="1" si="8">+D43+F43</f>
        <v>7.8218415847937299</v>
      </c>
      <c r="K43" s="247" t="s">
        <v>433</v>
      </c>
    </row>
    <row r="44" spans="1:13" s="40" customFormat="1">
      <c r="A44" s="40" t="s">
        <v>435</v>
      </c>
      <c r="B44" s="242">
        <v>10.610835650623741</v>
      </c>
      <c r="D44" s="39">
        <v>10.58083565062374</v>
      </c>
      <c r="F44" s="45">
        <f ca="1">F29</f>
        <v>8.5202046134546017E-2</v>
      </c>
      <c r="G44" s="42"/>
      <c r="H44" s="242">
        <f t="shared" ca="1" si="7"/>
        <v>10.696037696758287</v>
      </c>
      <c r="I44" s="246"/>
      <c r="J44" s="242">
        <f t="shared" ca="1" si="8"/>
        <v>10.666037696758286</v>
      </c>
      <c r="K44" s="247" t="s">
        <v>433</v>
      </c>
    </row>
    <row r="45" spans="1:13" s="40" customFormat="1">
      <c r="A45" s="40" t="s">
        <v>436</v>
      </c>
      <c r="B45" s="242">
        <v>10.219193994932574</v>
      </c>
      <c r="D45" s="39">
        <v>10.193789837888694</v>
      </c>
      <c r="F45" s="45">
        <f ca="1">F32/References!$C$12</f>
        <v>0.12780306920181903</v>
      </c>
      <c r="G45" s="42"/>
      <c r="H45" s="242">
        <f t="shared" ca="1" si="7"/>
        <v>10.346997064134394</v>
      </c>
      <c r="I45" s="246"/>
      <c r="J45" s="242">
        <f t="shared" ca="1" si="8"/>
        <v>10.321592907090514</v>
      </c>
      <c r="K45" s="247" t="s">
        <v>433</v>
      </c>
    </row>
    <row r="46" spans="1:13" s="40" customFormat="1">
      <c r="A46" s="40" t="s">
        <v>437</v>
      </c>
      <c r="B46" s="242">
        <v>12.744445992377873</v>
      </c>
      <c r="D46" s="39">
        <v>12.705185022400965</v>
      </c>
      <c r="F46" s="45">
        <f ca="1">F33/References!$C$12</f>
        <v>0.19295757506941302</v>
      </c>
      <c r="G46" s="42"/>
      <c r="H46" s="242">
        <f t="shared" ca="1" si="7"/>
        <v>12.937403567447285</v>
      </c>
      <c r="I46" s="246"/>
      <c r="J46" s="242">
        <f t="shared" ca="1" si="8"/>
        <v>12.898142597470377</v>
      </c>
      <c r="K46" s="247" t="s">
        <v>433</v>
      </c>
    </row>
    <row r="47" spans="1:13" s="40" customFormat="1">
      <c r="B47" s="242"/>
      <c r="C47" s="39"/>
      <c r="D47" s="242"/>
      <c r="F47" s="45"/>
      <c r="G47" s="42"/>
      <c r="H47" s="242"/>
      <c r="I47" s="242"/>
      <c r="J47" s="247"/>
    </row>
    <row r="48" spans="1:13" s="40" customFormat="1">
      <c r="A48" s="53" t="s">
        <v>258</v>
      </c>
      <c r="B48" s="56"/>
      <c r="C48" s="65"/>
      <c r="D48" s="65"/>
      <c r="E48" s="65"/>
      <c r="F48" s="63"/>
      <c r="G48" s="66"/>
      <c r="H48" s="56"/>
      <c r="I48" s="66"/>
      <c r="J48" s="56"/>
    </row>
    <row r="49" spans="1:13" s="40" customFormat="1">
      <c r="A49" s="40" t="s">
        <v>259</v>
      </c>
      <c r="B49" s="242">
        <v>18.93</v>
      </c>
      <c r="C49" s="243"/>
      <c r="D49" s="243">
        <v>18.84</v>
      </c>
      <c r="E49" s="243"/>
      <c r="F49" s="245">
        <f ca="1">$F$63</f>
        <v>0.31324281667112502</v>
      </c>
      <c r="G49" s="246"/>
      <c r="H49" s="242">
        <f t="shared" ref="H49:H51" ca="1" si="9">+B49+F49</f>
        <v>19.243242816671124</v>
      </c>
      <c r="I49" s="246"/>
      <c r="J49" s="242">
        <f ca="1">+D49+F49</f>
        <v>19.153242816671124</v>
      </c>
    </row>
    <row r="50" spans="1:13" s="40" customFormat="1">
      <c r="A50" s="40" t="s">
        <v>260</v>
      </c>
      <c r="B50" s="242">
        <f>B49</f>
        <v>18.93</v>
      </c>
      <c r="C50" s="243"/>
      <c r="D50" s="242">
        <f>D49</f>
        <v>18.84</v>
      </c>
      <c r="E50" s="243"/>
      <c r="F50" s="245">
        <f ca="1">$F$63</f>
        <v>0.31324281667112502</v>
      </c>
      <c r="G50" s="246"/>
      <c r="H50" s="242">
        <f t="shared" ca="1" si="9"/>
        <v>19.243242816671124</v>
      </c>
      <c r="I50" s="246"/>
      <c r="J50" s="242">
        <f ca="1">+D50+F50</f>
        <v>19.153242816671124</v>
      </c>
    </row>
    <row r="51" spans="1:13" s="40" customFormat="1">
      <c r="A51" s="40" t="s">
        <v>245</v>
      </c>
      <c r="B51" s="242">
        <f>B49</f>
        <v>18.93</v>
      </c>
      <c r="C51" s="243"/>
      <c r="D51" s="242">
        <f>D50</f>
        <v>18.84</v>
      </c>
      <c r="E51" s="243"/>
      <c r="F51" s="245">
        <f ca="1">$F$63</f>
        <v>0.31324281667112502</v>
      </c>
      <c r="G51" s="246"/>
      <c r="H51" s="242">
        <f t="shared" ca="1" si="9"/>
        <v>19.243242816671124</v>
      </c>
      <c r="I51" s="246"/>
      <c r="J51" s="242">
        <f ca="1">+D51+F51</f>
        <v>19.153242816671124</v>
      </c>
    </row>
    <row r="52" spans="1:13" s="40" customFormat="1">
      <c r="B52" s="39"/>
      <c r="F52" s="45"/>
      <c r="G52" s="42"/>
      <c r="H52" s="39"/>
      <c r="I52" s="42"/>
      <c r="J52" s="39"/>
    </row>
    <row r="53" spans="1:13" s="40" customFormat="1">
      <c r="A53" s="53" t="s">
        <v>261</v>
      </c>
      <c r="B53" s="56"/>
      <c r="C53" s="65"/>
      <c r="D53" s="65"/>
      <c r="E53" s="65"/>
      <c r="F53" s="63"/>
      <c r="G53" s="66"/>
      <c r="H53" s="56"/>
      <c r="I53" s="66"/>
      <c r="J53" s="56"/>
    </row>
    <row r="54" spans="1:13" s="41" customFormat="1">
      <c r="A54" s="41" t="s">
        <v>262</v>
      </c>
      <c r="B54" s="64"/>
      <c r="F54" s="59"/>
      <c r="G54" s="67"/>
      <c r="H54" s="64"/>
      <c r="I54" s="67"/>
      <c r="J54" s="64"/>
      <c r="L54" s="64" t="s">
        <v>293</v>
      </c>
      <c r="M54" s="41" t="s">
        <v>63</v>
      </c>
    </row>
    <row r="55" spans="1:13" s="40" customFormat="1">
      <c r="A55" s="40" t="s">
        <v>263</v>
      </c>
      <c r="B55" s="242">
        <v>3.09</v>
      </c>
      <c r="C55" s="243"/>
      <c r="D55" s="243">
        <v>3.07</v>
      </c>
      <c r="E55" s="243"/>
      <c r="F55" s="245">
        <f ca="1">+$M$55</f>
        <v>0.16509494237010933</v>
      </c>
      <c r="G55" s="246"/>
      <c r="H55" s="242">
        <f t="shared" ref="H55:H61" ca="1" si="10">+B55+F55</f>
        <v>3.2550949423701092</v>
      </c>
      <c r="I55" s="246"/>
      <c r="J55" s="242">
        <f t="shared" ref="J55:J61" ca="1" si="11">+D55+F55</f>
        <v>3.2350949423701092</v>
      </c>
      <c r="K55" s="79"/>
      <c r="L55" s="39">
        <v>50</v>
      </c>
      <c r="M55" s="79">
        <f ca="1">L55*(References!D69/References!F78)</f>
        <v>0.16509494237010933</v>
      </c>
    </row>
    <row r="56" spans="1:13" s="40" customFormat="1">
      <c r="A56" s="40" t="s">
        <v>340</v>
      </c>
      <c r="B56" s="242">
        <f>B55</f>
        <v>3.09</v>
      </c>
      <c r="C56" s="243"/>
      <c r="D56" s="243">
        <f>D55</f>
        <v>3.07</v>
      </c>
      <c r="E56" s="243"/>
      <c r="F56" s="245">
        <f ca="1">$M$55</f>
        <v>0.16509494237010933</v>
      </c>
      <c r="G56" s="246"/>
      <c r="H56" s="242">
        <f t="shared" ca="1" si="10"/>
        <v>3.2550949423701092</v>
      </c>
      <c r="I56" s="246"/>
      <c r="J56" s="242">
        <f t="shared" ca="1" si="11"/>
        <v>3.2350949423701092</v>
      </c>
    </row>
    <row r="57" spans="1:13" s="40" customFormat="1">
      <c r="A57" s="40" t="s">
        <v>341</v>
      </c>
      <c r="B57" s="242">
        <f t="shared" ref="B57:B61" si="12">B56</f>
        <v>3.09</v>
      </c>
      <c r="C57" s="243"/>
      <c r="D57" s="243">
        <f t="shared" ref="D57:D61" si="13">D56</f>
        <v>3.07</v>
      </c>
      <c r="E57" s="243"/>
      <c r="F57" s="245">
        <f ca="1">$M$55</f>
        <v>0.16509494237010933</v>
      </c>
      <c r="G57" s="246"/>
      <c r="H57" s="242">
        <f t="shared" ca="1" si="10"/>
        <v>3.2550949423701092</v>
      </c>
      <c r="I57" s="246"/>
      <c r="J57" s="242">
        <f t="shared" ca="1" si="11"/>
        <v>3.2350949423701092</v>
      </c>
    </row>
    <row r="58" spans="1:13" s="40" customFormat="1">
      <c r="A58" s="40" t="s">
        <v>342</v>
      </c>
      <c r="B58" s="242">
        <f t="shared" si="12"/>
        <v>3.09</v>
      </c>
      <c r="C58" s="243"/>
      <c r="D58" s="243">
        <f t="shared" si="13"/>
        <v>3.07</v>
      </c>
      <c r="E58" s="243"/>
      <c r="F58" s="245">
        <f t="shared" ref="F58:F61" ca="1" si="14">$M$55</f>
        <v>0.16509494237010933</v>
      </c>
      <c r="G58" s="246"/>
      <c r="H58" s="242">
        <f t="shared" ca="1" si="10"/>
        <v>3.2550949423701092</v>
      </c>
      <c r="I58" s="246"/>
      <c r="J58" s="242">
        <f t="shared" ca="1" si="11"/>
        <v>3.2350949423701092</v>
      </c>
    </row>
    <row r="59" spans="1:13" s="40" customFormat="1">
      <c r="A59" s="40" t="s">
        <v>264</v>
      </c>
      <c r="B59" s="242">
        <f t="shared" si="12"/>
        <v>3.09</v>
      </c>
      <c r="C59" s="243"/>
      <c r="D59" s="243">
        <f t="shared" si="13"/>
        <v>3.07</v>
      </c>
      <c r="E59" s="243"/>
      <c r="F59" s="245">
        <f t="shared" ca="1" si="14"/>
        <v>0.16509494237010933</v>
      </c>
      <c r="G59" s="246"/>
      <c r="H59" s="242">
        <f t="shared" ca="1" si="10"/>
        <v>3.2550949423701092</v>
      </c>
      <c r="I59" s="246"/>
      <c r="J59" s="242">
        <f t="shared" ca="1" si="11"/>
        <v>3.2350949423701092</v>
      </c>
    </row>
    <row r="60" spans="1:13" s="40" customFormat="1">
      <c r="A60" s="40" t="s">
        <v>343</v>
      </c>
      <c r="B60" s="242">
        <f t="shared" si="12"/>
        <v>3.09</v>
      </c>
      <c r="C60" s="243"/>
      <c r="D60" s="243">
        <f t="shared" si="13"/>
        <v>3.07</v>
      </c>
      <c r="E60" s="243"/>
      <c r="F60" s="245">
        <f t="shared" ca="1" si="14"/>
        <v>0.16509494237010933</v>
      </c>
      <c r="G60" s="246"/>
      <c r="H60" s="242">
        <f t="shared" ca="1" si="10"/>
        <v>3.2550949423701092</v>
      </c>
      <c r="I60" s="246"/>
      <c r="J60" s="242">
        <f t="shared" ca="1" si="11"/>
        <v>3.2350949423701092</v>
      </c>
    </row>
    <row r="61" spans="1:13" s="40" customFormat="1">
      <c r="A61" s="40" t="s">
        <v>344</v>
      </c>
      <c r="B61" s="242">
        <f t="shared" si="12"/>
        <v>3.09</v>
      </c>
      <c r="C61" s="243"/>
      <c r="D61" s="243">
        <f t="shared" si="13"/>
        <v>3.07</v>
      </c>
      <c r="E61" s="243"/>
      <c r="F61" s="245">
        <f t="shared" ca="1" si="14"/>
        <v>0.16509494237010933</v>
      </c>
      <c r="G61" s="246"/>
      <c r="H61" s="242">
        <f t="shared" ca="1" si="10"/>
        <v>3.2550949423701092</v>
      </c>
      <c r="I61" s="246"/>
      <c r="J61" s="242">
        <f t="shared" ca="1" si="11"/>
        <v>3.2350949423701092</v>
      </c>
    </row>
    <row r="62" spans="1:13" s="40" customFormat="1">
      <c r="B62" s="242"/>
      <c r="C62" s="243"/>
      <c r="D62" s="243"/>
      <c r="E62" s="243"/>
      <c r="F62" s="245"/>
      <c r="G62" s="246"/>
      <c r="H62" s="242"/>
      <c r="I62" s="246"/>
      <c r="J62" s="242"/>
    </row>
    <row r="63" spans="1:13" s="40" customFormat="1">
      <c r="A63" s="40" t="s">
        <v>289</v>
      </c>
      <c r="B63" s="242">
        <v>25.79</v>
      </c>
      <c r="C63" s="243"/>
      <c r="D63" s="243">
        <v>25.66</v>
      </c>
      <c r="E63" s="243"/>
      <c r="F63" s="245">
        <f ca="1">+'Regulated DF Calc'!N102</f>
        <v>0.31324281667112502</v>
      </c>
      <c r="G63" s="246"/>
      <c r="H63" s="242">
        <f t="shared" ref="H63:H64" ca="1" si="15">+B63+F63</f>
        <v>26.103242816671123</v>
      </c>
      <c r="I63" s="246"/>
      <c r="J63" s="242">
        <f ca="1">+D63+F63</f>
        <v>25.973242816671124</v>
      </c>
    </row>
    <row r="64" spans="1:13" s="40" customFormat="1">
      <c r="A64" s="40" t="s">
        <v>290</v>
      </c>
      <c r="B64" s="242">
        <v>20.63</v>
      </c>
      <c r="C64" s="243"/>
      <c r="D64" s="243">
        <v>20.49</v>
      </c>
      <c r="E64" s="243"/>
      <c r="F64" s="245">
        <f ca="1">+'Regulated DF Calc'!N103</f>
        <v>0.31324281667112502</v>
      </c>
      <c r="G64" s="246"/>
      <c r="H64" s="242">
        <f t="shared" ca="1" si="15"/>
        <v>20.943242816671123</v>
      </c>
      <c r="I64" s="246"/>
      <c r="J64" s="242">
        <f ca="1">+D64+F64</f>
        <v>20.803242816671123</v>
      </c>
    </row>
    <row r="65" spans="1:12">
      <c r="A65" s="70" t="s">
        <v>279</v>
      </c>
      <c r="H65" s="68"/>
      <c r="J65" s="68"/>
      <c r="L65" s="70"/>
    </row>
    <row r="66" spans="1:12" s="40" customFormat="1">
      <c r="A66" s="53" t="s">
        <v>265</v>
      </c>
      <c r="B66" s="56"/>
      <c r="C66" s="65"/>
      <c r="D66" s="65"/>
      <c r="E66" s="65"/>
      <c r="F66" s="63"/>
      <c r="G66" s="66"/>
      <c r="H66" s="56"/>
      <c r="I66" s="66"/>
      <c r="J66" s="56"/>
    </row>
    <row r="67" spans="1:12" s="40" customFormat="1">
      <c r="A67" s="41" t="s">
        <v>266</v>
      </c>
      <c r="B67" s="39"/>
      <c r="F67" s="45"/>
      <c r="G67" s="42"/>
      <c r="H67" s="39"/>
      <c r="I67" s="42"/>
      <c r="J67" s="39"/>
    </row>
    <row r="68" spans="1:12" s="40" customFormat="1">
      <c r="A68" s="40" t="s">
        <v>325</v>
      </c>
      <c r="B68" s="242">
        <v>88.72</v>
      </c>
      <c r="C68" s="243"/>
      <c r="D68" s="242">
        <v>88.72</v>
      </c>
      <c r="E68" s="243"/>
      <c r="F68" s="245">
        <f ca="1">+References!E69</f>
        <v>5.7399999999999949</v>
      </c>
      <c r="G68" s="246"/>
      <c r="H68" s="242">
        <f t="shared" ref="H68:H78" ca="1" si="16">+B68+F68</f>
        <v>94.46</v>
      </c>
      <c r="I68" s="246"/>
      <c r="J68" s="242">
        <f t="shared" ref="J68:J78" ca="1" si="17">+D68+F68</f>
        <v>94.46</v>
      </c>
    </row>
    <row r="69" spans="1:12" s="40" customFormat="1">
      <c r="A69" s="40" t="s">
        <v>267</v>
      </c>
      <c r="B69" s="242">
        <v>99.88</v>
      </c>
      <c r="C69" s="243"/>
      <c r="D69" s="242">
        <v>99.88</v>
      </c>
      <c r="E69" s="243"/>
      <c r="F69" s="245">
        <f ca="1">+References!C69</f>
        <v>6.460000000000008</v>
      </c>
      <c r="G69" s="246"/>
      <c r="H69" s="242">
        <f t="shared" ca="1" si="16"/>
        <v>106.34</v>
      </c>
      <c r="I69" s="246"/>
      <c r="J69" s="242">
        <f t="shared" ca="1" si="17"/>
        <v>106.34</v>
      </c>
    </row>
    <row r="70" spans="1:12" s="40" customFormat="1">
      <c r="A70" s="40" t="s">
        <v>268</v>
      </c>
      <c r="B70" s="242">
        <v>10</v>
      </c>
      <c r="C70" s="243"/>
      <c r="D70" s="242">
        <v>10</v>
      </c>
      <c r="E70" s="243"/>
      <c r="F70" s="245">
        <v>0</v>
      </c>
      <c r="G70" s="246"/>
      <c r="H70" s="242">
        <f t="shared" si="16"/>
        <v>10</v>
      </c>
      <c r="I70" s="246"/>
      <c r="J70" s="242">
        <f t="shared" si="17"/>
        <v>10</v>
      </c>
    </row>
    <row r="71" spans="1:12" s="40" customFormat="1">
      <c r="A71" s="40" t="s">
        <v>269</v>
      </c>
      <c r="B71" s="242">
        <v>5.33</v>
      </c>
      <c r="C71" s="243"/>
      <c r="D71" s="242">
        <v>5.33</v>
      </c>
      <c r="E71" s="243"/>
      <c r="F71" s="245">
        <v>0</v>
      </c>
      <c r="G71" s="246"/>
      <c r="H71" s="242">
        <f t="shared" si="16"/>
        <v>5.33</v>
      </c>
      <c r="I71" s="246"/>
      <c r="J71" s="242">
        <f t="shared" si="17"/>
        <v>5.33</v>
      </c>
    </row>
    <row r="72" spans="1:12" s="40" customFormat="1">
      <c r="A72" s="40" t="s">
        <v>270</v>
      </c>
      <c r="B72" s="242">
        <v>20.57</v>
      </c>
      <c r="C72" s="243"/>
      <c r="D72" s="242">
        <v>20.57</v>
      </c>
      <c r="E72" s="243"/>
      <c r="F72" s="245">
        <v>0</v>
      </c>
      <c r="G72" s="246"/>
      <c r="H72" s="242">
        <f t="shared" si="16"/>
        <v>20.57</v>
      </c>
      <c r="I72" s="246"/>
      <c r="J72" s="242">
        <f t="shared" si="17"/>
        <v>20.57</v>
      </c>
    </row>
    <row r="73" spans="1:12" s="40" customFormat="1">
      <c r="A73" s="40" t="s">
        <v>271</v>
      </c>
      <c r="B73" s="242">
        <v>5.33</v>
      </c>
      <c r="C73" s="243"/>
      <c r="D73" s="242">
        <v>5.33</v>
      </c>
      <c r="E73" s="243"/>
      <c r="F73" s="245">
        <v>0</v>
      </c>
      <c r="G73" s="246"/>
      <c r="H73" s="242">
        <f t="shared" si="16"/>
        <v>5.33</v>
      </c>
      <c r="I73" s="246"/>
      <c r="J73" s="242">
        <f t="shared" si="17"/>
        <v>5.33</v>
      </c>
    </row>
    <row r="74" spans="1:12" s="40" customFormat="1">
      <c r="A74" s="40" t="s">
        <v>272</v>
      </c>
      <c r="B74" s="242">
        <v>2.59</v>
      </c>
      <c r="C74" s="243"/>
      <c r="D74" s="242">
        <v>2.59</v>
      </c>
      <c r="E74" s="243"/>
      <c r="F74" s="245">
        <v>0</v>
      </c>
      <c r="G74" s="246"/>
      <c r="H74" s="242">
        <f t="shared" si="16"/>
        <v>2.59</v>
      </c>
      <c r="I74" s="246"/>
      <c r="J74" s="242">
        <f t="shared" si="17"/>
        <v>2.59</v>
      </c>
    </row>
    <row r="75" spans="1:12" s="40" customFormat="1">
      <c r="A75" s="40" t="s">
        <v>273</v>
      </c>
      <c r="B75" s="242">
        <v>4.93</v>
      </c>
      <c r="C75" s="243"/>
      <c r="D75" s="242">
        <v>4.93</v>
      </c>
      <c r="E75" s="243"/>
      <c r="F75" s="245">
        <v>0</v>
      </c>
      <c r="G75" s="246"/>
      <c r="H75" s="242">
        <f t="shared" si="16"/>
        <v>4.93</v>
      </c>
      <c r="I75" s="246"/>
      <c r="J75" s="242">
        <f t="shared" si="17"/>
        <v>4.93</v>
      </c>
    </row>
    <row r="76" spans="1:12" s="40" customFormat="1">
      <c r="A76" s="40" t="s">
        <v>274</v>
      </c>
      <c r="B76" s="242">
        <v>9.6</v>
      </c>
      <c r="C76" s="243"/>
      <c r="D76" s="242">
        <v>9.6</v>
      </c>
      <c r="E76" s="243"/>
      <c r="F76" s="245">
        <v>0</v>
      </c>
      <c r="G76" s="246"/>
      <c r="H76" s="242">
        <f t="shared" si="16"/>
        <v>9.6</v>
      </c>
      <c r="I76" s="246"/>
      <c r="J76" s="242">
        <f t="shared" si="17"/>
        <v>9.6</v>
      </c>
    </row>
    <row r="77" spans="1:12" s="40" customFormat="1">
      <c r="A77" s="40" t="s">
        <v>275</v>
      </c>
      <c r="B77" s="242">
        <v>18.940000000000001</v>
      </c>
      <c r="C77" s="243"/>
      <c r="D77" s="242">
        <v>18.940000000000001</v>
      </c>
      <c r="E77" s="243"/>
      <c r="F77" s="245">
        <v>0</v>
      </c>
      <c r="G77" s="246"/>
      <c r="H77" s="242">
        <f t="shared" si="16"/>
        <v>18.940000000000001</v>
      </c>
      <c r="I77" s="246"/>
      <c r="J77" s="242">
        <f t="shared" si="17"/>
        <v>18.940000000000001</v>
      </c>
    </row>
    <row r="78" spans="1:12" s="40" customFormat="1">
      <c r="A78" s="40" t="s">
        <v>276</v>
      </c>
      <c r="B78" s="242">
        <v>28.75</v>
      </c>
      <c r="C78" s="243"/>
      <c r="D78" s="242">
        <v>28.75</v>
      </c>
      <c r="E78" s="243"/>
      <c r="F78" s="245">
        <v>0</v>
      </c>
      <c r="G78" s="246"/>
      <c r="H78" s="242">
        <f t="shared" si="16"/>
        <v>28.75</v>
      </c>
      <c r="I78" s="246"/>
      <c r="J78" s="242">
        <f t="shared" si="17"/>
        <v>28.75</v>
      </c>
    </row>
    <row r="79" spans="1:12" s="40" customFormat="1">
      <c r="B79" s="39"/>
      <c r="F79" s="45"/>
      <c r="G79" s="42"/>
      <c r="H79" s="39"/>
      <c r="I79" s="42"/>
      <c r="J79" s="39"/>
    </row>
    <row r="80" spans="1:12" s="40" customFormat="1">
      <c r="A80" s="53" t="s">
        <v>277</v>
      </c>
      <c r="B80" s="56"/>
      <c r="C80" s="65"/>
      <c r="D80" s="65"/>
      <c r="E80" s="65"/>
      <c r="F80" s="63"/>
      <c r="G80" s="66"/>
      <c r="H80" s="56"/>
      <c r="I80" s="66"/>
      <c r="J80" s="56"/>
    </row>
    <row r="81" spans="1:18" s="39" customFormat="1">
      <c r="A81" s="41" t="s">
        <v>353</v>
      </c>
      <c r="C81" s="40"/>
      <c r="D81" s="40"/>
      <c r="E81" s="40"/>
      <c r="F81" s="45"/>
      <c r="G81" s="42"/>
      <c r="I81" s="42"/>
      <c r="K81" s="40"/>
      <c r="L81" s="40"/>
      <c r="M81" s="40"/>
      <c r="N81" s="40"/>
      <c r="O81" s="40"/>
      <c r="P81" s="40"/>
      <c r="Q81" s="40"/>
      <c r="R81" s="40"/>
    </row>
    <row r="82" spans="1:18" s="39" customFormat="1">
      <c r="A82" s="41" t="s">
        <v>1</v>
      </c>
      <c r="C82" s="40"/>
      <c r="D82" s="40"/>
      <c r="E82" s="40"/>
      <c r="F82" s="45"/>
      <c r="G82" s="42"/>
      <c r="I82" s="42"/>
      <c r="K82" s="40"/>
      <c r="L82" s="40"/>
      <c r="M82" s="40"/>
      <c r="N82" s="40"/>
      <c r="O82" s="40"/>
      <c r="P82" s="40"/>
      <c r="Q82" s="40"/>
      <c r="R82" s="40"/>
    </row>
    <row r="83" spans="1:18" s="39" customFormat="1">
      <c r="A83" s="40" t="s">
        <v>263</v>
      </c>
      <c r="B83" s="242">
        <v>20.079999999999998</v>
      </c>
      <c r="C83" s="243"/>
      <c r="D83" s="243">
        <v>19.98</v>
      </c>
      <c r="E83" s="243"/>
      <c r="F83" s="245">
        <f ca="1">+'Regulated DF Calc'!N36</f>
        <v>0.43853994333957508</v>
      </c>
      <c r="G83" s="246"/>
      <c r="H83" s="242">
        <f t="shared" ref="H83:H90" ca="1" si="18">+B83+F83</f>
        <v>20.518539943339572</v>
      </c>
      <c r="I83" s="246"/>
      <c r="J83" s="242">
        <f t="shared" ref="J83:J90" ca="1" si="19">+D83+F83</f>
        <v>20.418539943339574</v>
      </c>
      <c r="K83" s="40"/>
      <c r="L83" s="40"/>
      <c r="M83" s="40"/>
      <c r="N83" s="40"/>
      <c r="O83" s="40"/>
      <c r="P83" s="40"/>
      <c r="Q83" s="40"/>
      <c r="R83" s="40"/>
    </row>
    <row r="84" spans="1:18" s="39" customFormat="1">
      <c r="A84" s="40" t="s">
        <v>340</v>
      </c>
      <c r="B84" s="242">
        <v>27.08</v>
      </c>
      <c r="C84" s="243"/>
      <c r="D84" s="243">
        <v>26.95</v>
      </c>
      <c r="E84" s="243"/>
      <c r="F84" s="245">
        <f ca="1">+'Regulated DF Calc'!N39</f>
        <v>0.62648563334224994</v>
      </c>
      <c r="G84" s="246"/>
      <c r="H84" s="242">
        <f t="shared" ca="1" si="18"/>
        <v>27.706485633342247</v>
      </c>
      <c r="I84" s="246"/>
      <c r="J84" s="242">
        <f t="shared" ca="1" si="19"/>
        <v>27.576485633342248</v>
      </c>
      <c r="K84" s="40"/>
      <c r="L84" s="40"/>
      <c r="M84" s="40"/>
      <c r="N84" s="40"/>
      <c r="O84" s="40"/>
      <c r="P84" s="40"/>
      <c r="Q84" s="40"/>
      <c r="R84" s="40"/>
    </row>
    <row r="85" spans="1:18" s="39" customFormat="1">
      <c r="A85" s="40" t="s">
        <v>278</v>
      </c>
      <c r="B85" s="242">
        <v>32.35</v>
      </c>
      <c r="C85" s="243"/>
      <c r="D85" s="243">
        <v>32.19</v>
      </c>
      <c r="E85" s="243"/>
      <c r="F85" s="245">
        <f ca="1">+'Regulated DF Calc'!N42</f>
        <v>0.81192538081155607</v>
      </c>
      <c r="G85" s="246"/>
      <c r="H85" s="242">
        <f t="shared" ca="1" si="18"/>
        <v>33.16192538081156</v>
      </c>
      <c r="I85" s="246"/>
      <c r="J85" s="242">
        <f t="shared" ca="1" si="19"/>
        <v>33.001925380811556</v>
      </c>
      <c r="K85" s="40"/>
      <c r="L85" s="40"/>
      <c r="M85" s="40"/>
      <c r="N85" s="40"/>
      <c r="O85" s="40"/>
      <c r="P85" s="40"/>
      <c r="Q85" s="40"/>
      <c r="R85" s="40"/>
    </row>
    <row r="86" spans="1:18" s="39" customFormat="1">
      <c r="A86" s="40" t="s">
        <v>341</v>
      </c>
      <c r="B86" s="242">
        <v>45.19</v>
      </c>
      <c r="C86" s="243"/>
      <c r="D86" s="243">
        <v>44.97</v>
      </c>
      <c r="E86" s="243"/>
      <c r="F86" s="245">
        <f ca="1">+'Regulated DF Calc'!N48</f>
        <v>1.185310818283537</v>
      </c>
      <c r="G86" s="246"/>
      <c r="H86" s="242">
        <f t="shared" ca="1" si="18"/>
        <v>46.375310818283538</v>
      </c>
      <c r="I86" s="246"/>
      <c r="J86" s="242">
        <f t="shared" ca="1" si="19"/>
        <v>46.155310818283539</v>
      </c>
      <c r="K86" s="40"/>
      <c r="L86" s="40"/>
      <c r="M86" s="40"/>
      <c r="N86" s="40"/>
      <c r="O86" s="40"/>
      <c r="P86" s="40"/>
      <c r="Q86" s="40"/>
      <c r="R86" s="40"/>
    </row>
    <row r="87" spans="1:18" s="39" customFormat="1">
      <c r="A87" s="40" t="s">
        <v>342</v>
      </c>
      <c r="B87" s="242">
        <v>58.49</v>
      </c>
      <c r="C87" s="243"/>
      <c r="D87" s="243">
        <v>58.2</v>
      </c>
      <c r="E87" s="243"/>
      <c r="F87" s="245">
        <f ca="1">+'Regulated DF Calc'!N56</f>
        <v>1.5361427729551971</v>
      </c>
      <c r="G87" s="246"/>
      <c r="H87" s="242">
        <f t="shared" ca="1" si="18"/>
        <v>60.026142772955197</v>
      </c>
      <c r="I87" s="246"/>
      <c r="J87" s="242">
        <f t="shared" ca="1" si="19"/>
        <v>59.736142772955198</v>
      </c>
      <c r="K87" s="40"/>
      <c r="L87" s="40"/>
      <c r="M87" s="40"/>
      <c r="N87" s="40"/>
      <c r="O87" s="40"/>
      <c r="P87" s="40"/>
      <c r="Q87" s="40"/>
      <c r="R87" s="40"/>
    </row>
    <row r="88" spans="1:18" s="39" customFormat="1">
      <c r="A88" s="40" t="s">
        <v>264</v>
      </c>
      <c r="B88" s="242">
        <v>71.7</v>
      </c>
      <c r="C88" s="243"/>
      <c r="D88" s="243">
        <v>71.34</v>
      </c>
      <c r="E88" s="243"/>
      <c r="F88" s="245">
        <f ca="1">+'Regulated DF Calc'!N63</f>
        <v>1.8243261642926323</v>
      </c>
      <c r="G88" s="246"/>
      <c r="H88" s="242">
        <f t="shared" ca="1" si="18"/>
        <v>73.524326164292631</v>
      </c>
      <c r="I88" s="246"/>
      <c r="J88" s="242">
        <f t="shared" ca="1" si="19"/>
        <v>73.164326164292632</v>
      </c>
      <c r="K88" s="40"/>
      <c r="L88" s="40"/>
      <c r="M88" s="40"/>
      <c r="N88" s="40"/>
      <c r="O88" s="40"/>
      <c r="P88" s="40"/>
      <c r="Q88" s="40"/>
      <c r="R88" s="40"/>
    </row>
    <row r="89" spans="1:18" s="39" customFormat="1">
      <c r="A89" s="40" t="s">
        <v>343</v>
      </c>
      <c r="B89" s="242">
        <v>84.8</v>
      </c>
      <c r="C89" s="243"/>
      <c r="D89" s="243">
        <v>84.38</v>
      </c>
      <c r="E89" s="243"/>
      <c r="F89" s="245">
        <f ca="1">+'Regulated DF Calc'!N65</f>
        <v>2.1049917280299604</v>
      </c>
      <c r="G89" s="246"/>
      <c r="H89" s="242">
        <f t="shared" ca="1" si="18"/>
        <v>86.904991728029955</v>
      </c>
      <c r="I89" s="246"/>
      <c r="J89" s="242">
        <f t="shared" ca="1" si="19"/>
        <v>86.484991728029954</v>
      </c>
      <c r="K89" s="40"/>
      <c r="L89" s="40"/>
      <c r="M89" s="40"/>
      <c r="N89" s="40"/>
      <c r="O89" s="40"/>
      <c r="P89" s="40"/>
      <c r="Q89" s="40"/>
      <c r="R89" s="40"/>
    </row>
    <row r="90" spans="1:18" s="39" customFormat="1">
      <c r="A90" s="40" t="s">
        <v>344</v>
      </c>
      <c r="B90" s="242">
        <v>110.43</v>
      </c>
      <c r="C90" s="243"/>
      <c r="D90" s="243">
        <v>109.88</v>
      </c>
      <c r="E90" s="243"/>
      <c r="F90" s="245">
        <f ca="1">+'Regulated DF Calc'!N75</f>
        <v>2.4558236827016207</v>
      </c>
      <c r="G90" s="246"/>
      <c r="H90" s="242">
        <f t="shared" ca="1" si="18"/>
        <v>112.88582368270163</v>
      </c>
      <c r="I90" s="246"/>
      <c r="J90" s="242">
        <f t="shared" ca="1" si="19"/>
        <v>112.33582368270162</v>
      </c>
      <c r="K90" s="40"/>
      <c r="L90" s="40"/>
      <c r="M90" s="40"/>
      <c r="N90" s="40"/>
      <c r="O90" s="40"/>
      <c r="P90" s="40"/>
      <c r="Q90" s="40"/>
      <c r="R90" s="40"/>
    </row>
    <row r="91" spans="1:18" s="39" customFormat="1">
      <c r="A91" s="57"/>
      <c r="B91" s="39" t="s">
        <v>279</v>
      </c>
      <c r="C91" s="40"/>
      <c r="D91" s="40"/>
      <c r="E91" s="40"/>
      <c r="F91" s="45"/>
      <c r="G91" s="42"/>
      <c r="I91" s="42"/>
      <c r="K91" s="40"/>
      <c r="L91" s="40"/>
      <c r="M91" s="40"/>
      <c r="N91" s="40"/>
      <c r="O91" s="40"/>
      <c r="P91" s="40"/>
      <c r="Q91" s="40"/>
      <c r="R91" s="40"/>
    </row>
    <row r="92" spans="1:18" s="39" customFormat="1">
      <c r="A92" s="41" t="s">
        <v>280</v>
      </c>
      <c r="C92" s="40"/>
      <c r="D92" s="40"/>
      <c r="E92" s="40"/>
      <c r="F92" s="45"/>
      <c r="G92" s="42"/>
      <c r="I92" s="42"/>
      <c r="K92" s="40"/>
      <c r="L92" s="40"/>
      <c r="M92" s="40"/>
      <c r="N92" s="40"/>
      <c r="O92" s="40"/>
      <c r="P92" s="40"/>
      <c r="Q92" s="40"/>
      <c r="R92" s="40"/>
    </row>
    <row r="93" spans="1:18" s="39" customFormat="1">
      <c r="A93" s="40" t="s">
        <v>263</v>
      </c>
      <c r="B93" s="242">
        <v>21.21</v>
      </c>
      <c r="C93" s="243"/>
      <c r="D93" s="243">
        <v>21.1</v>
      </c>
      <c r="E93" s="243"/>
      <c r="F93" s="245">
        <f ca="1">+'Regulated DF Calc'!N78</f>
        <v>0.43853994333957497</v>
      </c>
      <c r="G93" s="246"/>
      <c r="H93" s="242">
        <f t="shared" ref="H93:H100" ca="1" si="20">+B93+F93</f>
        <v>21.648539943339575</v>
      </c>
      <c r="I93" s="246"/>
      <c r="J93" s="242">
        <f t="shared" ref="J93:J100" ca="1" si="21">+D93+F93</f>
        <v>21.538539943339575</v>
      </c>
      <c r="K93" s="40"/>
      <c r="L93" s="40"/>
      <c r="M93" s="40"/>
      <c r="N93" s="40"/>
      <c r="O93" s="40"/>
      <c r="P93" s="40"/>
      <c r="Q93" s="40"/>
      <c r="R93" s="40"/>
    </row>
    <row r="94" spans="1:18" s="39" customFormat="1">
      <c r="A94" s="40" t="s">
        <v>340</v>
      </c>
      <c r="B94" s="242">
        <v>28.23</v>
      </c>
      <c r="C94" s="243"/>
      <c r="D94" s="243">
        <v>28.09</v>
      </c>
      <c r="E94" s="243"/>
      <c r="F94" s="245">
        <f ca="1">+'Regulated DF Calc'!N79</f>
        <v>0.62648563334225005</v>
      </c>
      <c r="G94" s="246"/>
      <c r="H94" s="242">
        <f t="shared" ca="1" si="20"/>
        <v>28.856485633342249</v>
      </c>
      <c r="I94" s="246"/>
      <c r="J94" s="242">
        <f t="shared" ca="1" si="21"/>
        <v>28.716485633342248</v>
      </c>
      <c r="K94" s="40"/>
      <c r="L94" s="40"/>
      <c r="M94" s="40"/>
      <c r="N94" s="40"/>
      <c r="O94" s="40"/>
      <c r="P94" s="40"/>
      <c r="Q94" s="40"/>
      <c r="R94" s="40"/>
    </row>
    <row r="95" spans="1:18" s="39" customFormat="1">
      <c r="A95" s="40" t="s">
        <v>278</v>
      </c>
      <c r="B95" s="242">
        <v>33.49</v>
      </c>
      <c r="C95" s="243"/>
      <c r="D95" s="243">
        <v>33.32</v>
      </c>
      <c r="E95" s="243"/>
      <c r="F95" s="245">
        <f ca="1">+'Regulated DF Calc'!N80</f>
        <v>0.81192538081155619</v>
      </c>
      <c r="G95" s="246"/>
      <c r="H95" s="242">
        <f t="shared" ca="1" si="20"/>
        <v>34.301925380811561</v>
      </c>
      <c r="I95" s="246"/>
      <c r="J95" s="242">
        <f t="shared" ca="1" si="21"/>
        <v>34.131925380811559</v>
      </c>
      <c r="K95" s="40"/>
      <c r="L95" s="40"/>
      <c r="M95" s="40"/>
      <c r="N95" s="40"/>
      <c r="O95" s="40"/>
      <c r="P95" s="40"/>
      <c r="Q95" s="40"/>
      <c r="R95" s="40"/>
    </row>
    <row r="96" spans="1:18" s="39" customFormat="1">
      <c r="A96" s="40" t="s">
        <v>341</v>
      </c>
      <c r="B96" s="242">
        <v>46.32</v>
      </c>
      <c r="C96" s="243"/>
      <c r="D96" s="243">
        <v>46.09</v>
      </c>
      <c r="E96" s="243"/>
      <c r="F96" s="245">
        <f ca="1">+'Regulated DF Calc'!N81</f>
        <v>1.185310818283537</v>
      </c>
      <c r="G96" s="246"/>
      <c r="H96" s="242">
        <f t="shared" ca="1" si="20"/>
        <v>47.50531081828354</v>
      </c>
      <c r="I96" s="246"/>
      <c r="J96" s="242">
        <f t="shared" ca="1" si="21"/>
        <v>47.275310818283543</v>
      </c>
      <c r="K96" s="40"/>
      <c r="L96" s="40"/>
      <c r="M96" s="40"/>
      <c r="N96" s="40"/>
      <c r="O96" s="40"/>
      <c r="P96" s="40"/>
      <c r="Q96" s="40"/>
      <c r="R96" s="40"/>
    </row>
    <row r="97" spans="1:18" s="39" customFormat="1">
      <c r="A97" s="40" t="s">
        <v>342</v>
      </c>
      <c r="B97" s="242">
        <v>59.62</v>
      </c>
      <c r="C97" s="243"/>
      <c r="D97" s="243">
        <v>59.32</v>
      </c>
      <c r="E97" s="243"/>
      <c r="F97" s="245">
        <f ca="1">+'Regulated DF Calc'!N83</f>
        <v>1.5361427729551971</v>
      </c>
      <c r="G97" s="246"/>
      <c r="H97" s="242">
        <f t="shared" ca="1" si="20"/>
        <v>61.156142772955192</v>
      </c>
      <c r="I97" s="246"/>
      <c r="J97" s="242">
        <f t="shared" ca="1" si="21"/>
        <v>60.856142772955195</v>
      </c>
      <c r="K97" s="40"/>
      <c r="L97" s="40"/>
      <c r="M97" s="40"/>
      <c r="N97" s="40"/>
      <c r="O97" s="40"/>
      <c r="P97" s="40"/>
      <c r="Q97" s="40"/>
      <c r="R97" s="40"/>
    </row>
    <row r="98" spans="1:18" s="39" customFormat="1">
      <c r="A98" s="40" t="s">
        <v>264</v>
      </c>
      <c r="B98" s="242">
        <v>72.84</v>
      </c>
      <c r="C98" s="243"/>
      <c r="D98" s="243">
        <v>72.459999999999994</v>
      </c>
      <c r="E98" s="243"/>
      <c r="F98" s="245">
        <f ca="1">F88</f>
        <v>1.8243261642926323</v>
      </c>
      <c r="G98" s="246"/>
      <c r="H98" s="242">
        <f t="shared" ca="1" si="20"/>
        <v>74.664326164292632</v>
      </c>
      <c r="I98" s="246"/>
      <c r="J98" s="242">
        <f t="shared" ca="1" si="21"/>
        <v>74.284326164292622</v>
      </c>
      <c r="K98" s="40"/>
      <c r="L98" s="40"/>
      <c r="M98" s="40"/>
      <c r="N98" s="40"/>
      <c r="O98" s="40"/>
      <c r="P98" s="40"/>
      <c r="Q98" s="40"/>
      <c r="R98" s="40"/>
    </row>
    <row r="99" spans="1:18" s="39" customFormat="1">
      <c r="A99" s="40" t="s">
        <v>343</v>
      </c>
      <c r="B99" s="242">
        <v>85.94</v>
      </c>
      <c r="C99" s="243"/>
      <c r="D99" s="243">
        <v>85.51</v>
      </c>
      <c r="E99" s="243"/>
      <c r="F99" s="245">
        <f ca="1">+'Regulated DF Calc'!N84</f>
        <v>2.1049917280299604</v>
      </c>
      <c r="G99" s="246"/>
      <c r="H99" s="242">
        <f t="shared" ca="1" si="20"/>
        <v>88.044991728029956</v>
      </c>
      <c r="I99" s="246"/>
      <c r="J99" s="242">
        <f t="shared" ca="1" si="21"/>
        <v>87.614991728029963</v>
      </c>
      <c r="K99" s="40"/>
      <c r="L99" s="40"/>
      <c r="M99" s="40"/>
      <c r="N99" s="40"/>
      <c r="O99" s="40"/>
      <c r="P99" s="40"/>
      <c r="Q99" s="40"/>
      <c r="R99" s="40"/>
    </row>
    <row r="100" spans="1:18" s="39" customFormat="1">
      <c r="A100" s="40" t="s">
        <v>344</v>
      </c>
      <c r="B100" s="242">
        <v>111.57</v>
      </c>
      <c r="C100" s="243"/>
      <c r="D100" s="243">
        <v>111.02</v>
      </c>
      <c r="E100" s="243"/>
      <c r="F100" s="245">
        <f ca="1">+'Regulated DF Calc'!N85</f>
        <v>2.4558236827016198</v>
      </c>
      <c r="G100" s="246"/>
      <c r="H100" s="242">
        <f t="shared" ca="1" si="20"/>
        <v>114.02582368270161</v>
      </c>
      <c r="I100" s="246"/>
      <c r="J100" s="242">
        <f t="shared" ca="1" si="21"/>
        <v>113.47582368270162</v>
      </c>
      <c r="K100" s="40"/>
      <c r="L100" s="40"/>
      <c r="M100" s="40"/>
      <c r="N100" s="40"/>
      <c r="O100" s="40"/>
      <c r="P100" s="40"/>
      <c r="Q100" s="40"/>
      <c r="R100" s="40"/>
    </row>
    <row r="101" spans="1:18" s="39" customFormat="1">
      <c r="A101" s="57"/>
      <c r="B101" s="242" t="s">
        <v>279</v>
      </c>
      <c r="C101" s="243"/>
      <c r="D101" s="243"/>
      <c r="E101" s="243"/>
      <c r="F101" s="245"/>
      <c r="G101" s="246"/>
      <c r="H101" s="242"/>
      <c r="I101" s="246"/>
      <c r="J101" s="242"/>
      <c r="K101" s="40"/>
      <c r="L101" s="40"/>
      <c r="M101" s="40"/>
      <c r="N101" s="40"/>
      <c r="O101" s="40"/>
      <c r="P101" s="40"/>
      <c r="Q101" s="40"/>
      <c r="R101" s="40"/>
    </row>
    <row r="102" spans="1:18" s="39" customFormat="1">
      <c r="A102" s="41" t="s">
        <v>281</v>
      </c>
      <c r="B102" s="242"/>
      <c r="C102" s="243"/>
      <c r="D102" s="243"/>
      <c r="E102" s="243"/>
      <c r="F102" s="245"/>
      <c r="G102" s="246"/>
      <c r="H102" s="242"/>
      <c r="I102" s="246"/>
      <c r="J102" s="242"/>
      <c r="K102" s="40"/>
      <c r="L102" s="40"/>
      <c r="M102" s="40"/>
      <c r="N102" s="40"/>
      <c r="O102" s="40"/>
      <c r="P102" s="40"/>
      <c r="Q102" s="40"/>
      <c r="R102" s="40"/>
    </row>
    <row r="103" spans="1:18" s="39" customFormat="1">
      <c r="A103" s="41" t="s">
        <v>1</v>
      </c>
      <c r="B103" s="242"/>
      <c r="C103" s="243"/>
      <c r="D103" s="243"/>
      <c r="E103" s="243"/>
      <c r="F103" s="245"/>
      <c r="G103" s="246"/>
      <c r="H103" s="242"/>
      <c r="I103" s="246"/>
      <c r="J103" s="242"/>
      <c r="K103" s="40"/>
      <c r="L103" s="40"/>
      <c r="M103" s="40"/>
      <c r="N103" s="40"/>
      <c r="O103" s="40"/>
      <c r="P103" s="40"/>
      <c r="Q103" s="40"/>
      <c r="R103" s="40"/>
    </row>
    <row r="104" spans="1:18" s="39" customFormat="1">
      <c r="A104" s="40" t="s">
        <v>263</v>
      </c>
      <c r="B104" s="242">
        <v>20.079999999999998</v>
      </c>
      <c r="C104" s="243"/>
      <c r="D104" s="243">
        <v>19.98</v>
      </c>
      <c r="E104" s="243"/>
      <c r="F104" s="245">
        <f ca="1">+'Regulated DF Calc'!N86</f>
        <v>0.43853994333957508</v>
      </c>
      <c r="G104" s="246"/>
      <c r="H104" s="242">
        <f ca="1">+B104+F104</f>
        <v>20.518539943339572</v>
      </c>
      <c r="I104" s="246"/>
      <c r="J104" s="242">
        <f t="shared" ref="J104:J111" ca="1" si="22">+D104+F104</f>
        <v>20.418539943339574</v>
      </c>
      <c r="K104" s="40"/>
      <c r="L104" s="40"/>
      <c r="M104" s="40"/>
      <c r="N104" s="40"/>
      <c r="O104" s="40"/>
      <c r="P104" s="40"/>
      <c r="Q104" s="40"/>
      <c r="R104" s="40"/>
    </row>
    <row r="105" spans="1:18" s="39" customFormat="1">
      <c r="A105" s="40" t="s">
        <v>340</v>
      </c>
      <c r="B105" s="242">
        <v>27.08</v>
      </c>
      <c r="C105" s="243"/>
      <c r="D105" s="243">
        <v>26.95</v>
      </c>
      <c r="E105" s="243"/>
      <c r="F105" s="245">
        <f ca="1">+'Regulated DF Calc'!N87</f>
        <v>0.62648563334225005</v>
      </c>
      <c r="G105" s="246"/>
      <c r="H105" s="242">
        <f t="shared" ref="H105:H111" ca="1" si="23">+B105+F105</f>
        <v>27.706485633342247</v>
      </c>
      <c r="I105" s="246"/>
      <c r="J105" s="242">
        <f t="shared" ca="1" si="22"/>
        <v>27.576485633342248</v>
      </c>
      <c r="K105" s="40"/>
      <c r="L105" s="40"/>
      <c r="M105" s="40"/>
      <c r="N105" s="40"/>
      <c r="O105" s="40"/>
      <c r="P105" s="40"/>
      <c r="Q105" s="40"/>
      <c r="R105" s="40"/>
    </row>
    <row r="106" spans="1:18" s="39" customFormat="1">
      <c r="A106" s="40" t="s">
        <v>278</v>
      </c>
      <c r="B106" s="242">
        <v>32.35</v>
      </c>
      <c r="C106" s="243"/>
      <c r="D106" s="243">
        <v>32.19</v>
      </c>
      <c r="E106" s="243"/>
      <c r="F106" s="245">
        <f ca="1">+'Regulated DF Calc'!N88</f>
        <v>0.81192538081155607</v>
      </c>
      <c r="G106" s="246"/>
      <c r="H106" s="242">
        <f t="shared" ca="1" si="23"/>
        <v>33.16192538081156</v>
      </c>
      <c r="I106" s="246"/>
      <c r="J106" s="242">
        <f t="shared" ca="1" si="22"/>
        <v>33.001925380811556</v>
      </c>
      <c r="K106" s="40"/>
      <c r="L106" s="40"/>
      <c r="M106" s="40"/>
      <c r="N106" s="40"/>
      <c r="O106" s="40"/>
      <c r="P106" s="40"/>
      <c r="Q106" s="40"/>
      <c r="R106" s="40"/>
    </row>
    <row r="107" spans="1:18" s="39" customFormat="1">
      <c r="A107" s="40" t="s">
        <v>341</v>
      </c>
      <c r="B107" s="242">
        <v>45.19</v>
      </c>
      <c r="C107" s="243"/>
      <c r="D107" s="243">
        <v>44.97</v>
      </c>
      <c r="E107" s="243"/>
      <c r="F107" s="245">
        <f ca="1">+'Regulated DF Calc'!N89</f>
        <v>1.185310818283537</v>
      </c>
      <c r="G107" s="246"/>
      <c r="H107" s="242">
        <f t="shared" ca="1" si="23"/>
        <v>46.375310818283538</v>
      </c>
      <c r="I107" s="246"/>
      <c r="J107" s="242">
        <f t="shared" ca="1" si="22"/>
        <v>46.155310818283539</v>
      </c>
      <c r="K107" s="40"/>
      <c r="L107" s="40"/>
      <c r="M107" s="40"/>
      <c r="N107" s="40"/>
      <c r="O107" s="40"/>
      <c r="P107" s="40"/>
      <c r="Q107" s="40"/>
      <c r="R107" s="40"/>
    </row>
    <row r="108" spans="1:18" s="39" customFormat="1">
      <c r="A108" s="40" t="s">
        <v>342</v>
      </c>
      <c r="B108" s="242">
        <v>58.49</v>
      </c>
      <c r="C108" s="243"/>
      <c r="D108" s="243">
        <v>58.2</v>
      </c>
      <c r="E108" s="243"/>
      <c r="F108" s="245">
        <f ca="1">+'Regulated DF Calc'!N90</f>
        <v>1.5361427729551971</v>
      </c>
      <c r="G108" s="246"/>
      <c r="H108" s="242">
        <f t="shared" ca="1" si="23"/>
        <v>60.026142772955197</v>
      </c>
      <c r="I108" s="246"/>
      <c r="J108" s="242">
        <f t="shared" ca="1" si="22"/>
        <v>59.736142772955198</v>
      </c>
      <c r="K108" s="40"/>
      <c r="L108" s="40"/>
      <c r="M108" s="40"/>
      <c r="N108" s="40"/>
      <c r="O108" s="40"/>
      <c r="P108" s="40"/>
      <c r="Q108" s="40"/>
      <c r="R108" s="40"/>
    </row>
    <row r="109" spans="1:18" s="39" customFormat="1">
      <c r="A109" s="40" t="s">
        <v>264</v>
      </c>
      <c r="B109" s="242">
        <v>71.7</v>
      </c>
      <c r="C109" s="243"/>
      <c r="D109" s="243">
        <v>71.34</v>
      </c>
      <c r="E109" s="243"/>
      <c r="F109" s="245">
        <f ca="1">F98</f>
        <v>1.8243261642926323</v>
      </c>
      <c r="G109" s="246"/>
      <c r="H109" s="242">
        <f t="shared" ca="1" si="23"/>
        <v>73.524326164292631</v>
      </c>
      <c r="I109" s="246"/>
      <c r="J109" s="242">
        <f t="shared" ca="1" si="22"/>
        <v>73.164326164292632</v>
      </c>
      <c r="K109" s="40"/>
      <c r="L109" s="40"/>
      <c r="M109" s="40"/>
      <c r="N109" s="40"/>
      <c r="O109" s="40"/>
      <c r="P109" s="40"/>
      <c r="Q109" s="40"/>
      <c r="R109" s="40"/>
    </row>
    <row r="110" spans="1:18" s="39" customFormat="1">
      <c r="A110" s="40" t="s">
        <v>343</v>
      </c>
      <c r="B110" s="242">
        <v>84.8</v>
      </c>
      <c r="C110" s="243"/>
      <c r="D110" s="243">
        <v>84.38</v>
      </c>
      <c r="E110" s="243"/>
      <c r="F110" s="245">
        <f ca="1">F99</f>
        <v>2.1049917280299604</v>
      </c>
      <c r="G110" s="246"/>
      <c r="H110" s="242">
        <f t="shared" ca="1" si="23"/>
        <v>86.904991728029955</v>
      </c>
      <c r="I110" s="246"/>
      <c r="J110" s="242">
        <f t="shared" ca="1" si="22"/>
        <v>86.484991728029954</v>
      </c>
      <c r="K110" s="40"/>
      <c r="L110" s="40"/>
      <c r="M110" s="40"/>
      <c r="N110" s="40"/>
      <c r="O110" s="40"/>
      <c r="P110" s="40"/>
      <c r="Q110" s="40"/>
      <c r="R110" s="40"/>
    </row>
    <row r="111" spans="1:18" s="40" customFormat="1">
      <c r="A111" s="40" t="s">
        <v>344</v>
      </c>
      <c r="B111" s="242">
        <v>110.43</v>
      </c>
      <c r="C111" s="243"/>
      <c r="D111" s="243">
        <v>109.88</v>
      </c>
      <c r="E111" s="243"/>
      <c r="F111" s="245">
        <f ca="1">F100</f>
        <v>2.4558236827016198</v>
      </c>
      <c r="G111" s="246"/>
      <c r="H111" s="242">
        <f t="shared" ca="1" si="23"/>
        <v>112.88582368270163</v>
      </c>
      <c r="I111" s="246"/>
      <c r="J111" s="242">
        <f t="shared" ca="1" si="22"/>
        <v>112.33582368270162</v>
      </c>
    </row>
    <row r="112" spans="1:18" s="40" customFormat="1">
      <c r="B112" s="39"/>
      <c r="F112" s="45"/>
      <c r="G112" s="42"/>
      <c r="H112" s="39"/>
      <c r="I112" s="42"/>
      <c r="J112" s="39"/>
    </row>
    <row r="113" spans="1:10" s="40" customFormat="1">
      <c r="A113" s="53" t="s">
        <v>377</v>
      </c>
      <c r="B113" s="56"/>
      <c r="C113" s="65"/>
      <c r="D113" s="65"/>
      <c r="E113" s="65"/>
      <c r="F113" s="63"/>
      <c r="G113" s="66"/>
      <c r="H113" s="56"/>
      <c r="I113" s="66"/>
      <c r="J113" s="56"/>
    </row>
    <row r="114" spans="1:10" s="40" customFormat="1">
      <c r="A114" s="41" t="s">
        <v>368</v>
      </c>
      <c r="B114" s="39"/>
      <c r="F114" s="45"/>
      <c r="G114" s="42"/>
      <c r="H114" s="39"/>
      <c r="I114" s="42"/>
      <c r="J114" s="39"/>
    </row>
    <row r="115" spans="1:10" s="40" customFormat="1">
      <c r="A115" s="40" t="s">
        <v>369</v>
      </c>
      <c r="B115" s="242">
        <v>130.41999999999999</v>
      </c>
      <c r="C115" s="243"/>
      <c r="D115" s="243">
        <v>129.77000000000001</v>
      </c>
      <c r="E115" s="243"/>
      <c r="F115" s="245">
        <f ca="1">+'Regulated DF Calc'!$N$39</f>
        <v>0.62648563334224994</v>
      </c>
      <c r="G115" s="246"/>
      <c r="H115" s="242">
        <f t="shared" ref="H115:H121" ca="1" si="24">+B115+F115</f>
        <v>131.04648563334223</v>
      </c>
      <c r="I115" s="246"/>
      <c r="J115" s="242">
        <f t="shared" ref="J115:J121" ca="1" si="25">+D115+F115</f>
        <v>130.39648563334225</v>
      </c>
    </row>
    <row r="116" spans="1:10" s="40" customFormat="1">
      <c r="A116" s="40" t="s">
        <v>370</v>
      </c>
      <c r="B116" s="242">
        <v>133.99</v>
      </c>
      <c r="C116" s="243"/>
      <c r="D116" s="243">
        <v>133.32</v>
      </c>
      <c r="E116" s="243"/>
      <c r="F116" s="245">
        <f ca="1">+'Regulated DF Calc'!$N$42</f>
        <v>0.81192538081155607</v>
      </c>
      <c r="G116" s="246"/>
      <c r="H116" s="242">
        <f t="shared" ca="1" si="24"/>
        <v>134.80192538081155</v>
      </c>
      <c r="I116" s="246"/>
      <c r="J116" s="242">
        <f t="shared" ca="1" si="25"/>
        <v>134.13192538081154</v>
      </c>
    </row>
    <row r="117" spans="1:10" s="40" customFormat="1">
      <c r="A117" s="40" t="s">
        <v>371</v>
      </c>
      <c r="B117" s="242">
        <v>141.15</v>
      </c>
      <c r="C117" s="243"/>
      <c r="D117" s="243">
        <v>140.44</v>
      </c>
      <c r="E117" s="243"/>
      <c r="F117" s="245">
        <f ca="1">+'Regulated DF Calc'!$N$48</f>
        <v>1.185310818283537</v>
      </c>
      <c r="G117" s="246"/>
      <c r="H117" s="242">
        <f t="shared" ca="1" si="24"/>
        <v>142.33531081828355</v>
      </c>
      <c r="I117" s="246"/>
      <c r="J117" s="242">
        <f t="shared" ca="1" si="25"/>
        <v>141.62531081828354</v>
      </c>
    </row>
    <row r="118" spans="1:10" s="40" customFormat="1">
      <c r="A118" s="40" t="s">
        <v>372</v>
      </c>
      <c r="B118" s="242">
        <v>147.88</v>
      </c>
      <c r="C118" s="243"/>
      <c r="D118" s="243">
        <v>147.13999999999999</v>
      </c>
      <c r="E118" s="243"/>
      <c r="F118" s="245">
        <f ca="1">+'Regulated DF Calc'!$N$56</f>
        <v>1.5361427729551971</v>
      </c>
      <c r="G118" s="246"/>
      <c r="H118" s="242">
        <f t="shared" ca="1" si="24"/>
        <v>149.4161427729552</v>
      </c>
      <c r="I118" s="246"/>
      <c r="J118" s="242">
        <f t="shared" ca="1" si="25"/>
        <v>148.67614277295519</v>
      </c>
    </row>
    <row r="119" spans="1:10" s="40" customFormat="1">
      <c r="A119" s="40" t="s">
        <v>373</v>
      </c>
      <c r="B119" s="242">
        <v>153.38999999999999</v>
      </c>
      <c r="C119" s="243"/>
      <c r="D119" s="243">
        <v>152.62</v>
      </c>
      <c r="E119" s="243"/>
      <c r="F119" s="245">
        <f ca="1">+'Regulated DF Calc'!$N$63</f>
        <v>1.8243261642926323</v>
      </c>
      <c r="G119" s="246"/>
      <c r="H119" s="242">
        <f t="shared" ca="1" si="24"/>
        <v>155.21432616429263</v>
      </c>
      <c r="I119" s="246"/>
      <c r="J119" s="242">
        <f t="shared" ca="1" si="25"/>
        <v>154.44432616429265</v>
      </c>
    </row>
    <row r="120" spans="1:10" s="40" customFormat="1">
      <c r="A120" s="40" t="s">
        <v>374</v>
      </c>
      <c r="B120" s="242">
        <v>158.77000000000001</v>
      </c>
      <c r="C120" s="243"/>
      <c r="D120" s="243">
        <v>157.97999999999999</v>
      </c>
      <c r="E120" s="243"/>
      <c r="F120" s="245">
        <f ca="1">+'Regulated DF Calc'!$N$65</f>
        <v>2.1049917280299604</v>
      </c>
      <c r="G120" s="246"/>
      <c r="H120" s="242">
        <f t="shared" ca="1" si="24"/>
        <v>160.87499172802998</v>
      </c>
      <c r="I120" s="246"/>
      <c r="J120" s="242">
        <f t="shared" ca="1" si="25"/>
        <v>160.08499172802996</v>
      </c>
    </row>
    <row r="121" spans="1:10" s="40" customFormat="1">
      <c r="A121" s="40" t="s">
        <v>375</v>
      </c>
      <c r="B121" s="242">
        <v>165.49</v>
      </c>
      <c r="C121" s="243"/>
      <c r="D121" s="243">
        <v>164.67</v>
      </c>
      <c r="E121" s="243"/>
      <c r="F121" s="245">
        <f ca="1">+'Regulated DF Calc'!$N$70</f>
        <v>2.4558236827016198</v>
      </c>
      <c r="G121" s="246"/>
      <c r="H121" s="242">
        <f t="shared" ca="1" si="24"/>
        <v>167.94582368270162</v>
      </c>
      <c r="I121" s="246"/>
      <c r="J121" s="242">
        <f t="shared" ca="1" si="25"/>
        <v>167.12582368270159</v>
      </c>
    </row>
    <row r="122" spans="1:10" s="40" customFormat="1">
      <c r="B122" s="242"/>
      <c r="C122" s="243"/>
      <c r="D122" s="243"/>
      <c r="E122" s="243"/>
      <c r="F122" s="245"/>
      <c r="G122" s="246"/>
      <c r="H122" s="242"/>
      <c r="I122" s="246"/>
      <c r="J122" s="242"/>
    </row>
    <row r="123" spans="1:10" s="40" customFormat="1">
      <c r="A123" s="41" t="s">
        <v>376</v>
      </c>
      <c r="B123" s="242"/>
      <c r="C123" s="243"/>
      <c r="D123" s="243"/>
      <c r="E123" s="243"/>
      <c r="F123" s="245"/>
      <c r="G123" s="246"/>
      <c r="H123" s="242"/>
      <c r="I123" s="246"/>
      <c r="J123" s="242"/>
    </row>
    <row r="124" spans="1:10" s="40" customFormat="1">
      <c r="A124" s="40" t="s">
        <v>369</v>
      </c>
      <c r="B124" s="242">
        <v>75.040000000000006</v>
      </c>
      <c r="C124" s="243"/>
      <c r="D124" s="243">
        <v>74.66</v>
      </c>
      <c r="E124" s="243"/>
      <c r="F124" s="245">
        <f ca="1">+'Regulated DF Calc'!$N$39</f>
        <v>0.62648563334224994</v>
      </c>
      <c r="G124" s="246"/>
      <c r="H124" s="242">
        <f t="shared" ref="H124:H130" ca="1" si="26">+B124+F124</f>
        <v>75.666485633342262</v>
      </c>
      <c r="I124" s="246"/>
      <c r="J124" s="242">
        <f t="shared" ref="J124:J130" ca="1" si="27">+D124+F124</f>
        <v>75.286485633342252</v>
      </c>
    </row>
    <row r="125" spans="1:10" s="40" customFormat="1">
      <c r="A125" s="40" t="s">
        <v>370</v>
      </c>
      <c r="B125" s="242">
        <v>78.599999999999994</v>
      </c>
      <c r="C125" s="243"/>
      <c r="D125" s="243">
        <v>78.209999999999994</v>
      </c>
      <c r="E125" s="243"/>
      <c r="F125" s="245">
        <f ca="1">+'Regulated DF Calc'!$N$42</f>
        <v>0.81192538081155607</v>
      </c>
      <c r="G125" s="246"/>
      <c r="H125" s="242">
        <f t="shared" ca="1" si="26"/>
        <v>79.411925380811553</v>
      </c>
      <c r="I125" s="246"/>
      <c r="J125" s="242">
        <f t="shared" ca="1" si="27"/>
        <v>79.021925380811552</v>
      </c>
    </row>
    <row r="126" spans="1:10" s="40" customFormat="1">
      <c r="A126" s="40" t="s">
        <v>371</v>
      </c>
      <c r="B126" s="242">
        <v>85.76</v>
      </c>
      <c r="C126" s="243"/>
      <c r="D126" s="243">
        <v>85.33</v>
      </c>
      <c r="E126" s="243"/>
      <c r="F126" s="245">
        <f ca="1">+'Regulated DF Calc'!$N$48</f>
        <v>1.185310818283537</v>
      </c>
      <c r="G126" s="246"/>
      <c r="H126" s="242">
        <f t="shared" ca="1" si="26"/>
        <v>86.945310818283545</v>
      </c>
      <c r="I126" s="246"/>
      <c r="J126" s="242">
        <f t="shared" ca="1" si="27"/>
        <v>86.515310818283538</v>
      </c>
    </row>
    <row r="127" spans="1:10" s="40" customFormat="1">
      <c r="A127" s="40" t="s">
        <v>372</v>
      </c>
      <c r="B127" s="242">
        <v>92.48</v>
      </c>
      <c r="C127" s="243"/>
      <c r="D127" s="243">
        <v>92.02</v>
      </c>
      <c r="E127" s="243"/>
      <c r="F127" s="245">
        <f ca="1">+'Regulated DF Calc'!$N$56</f>
        <v>1.5361427729551971</v>
      </c>
      <c r="G127" s="246"/>
      <c r="H127" s="242">
        <f t="shared" ca="1" si="26"/>
        <v>94.016142772955206</v>
      </c>
      <c r="I127" s="246"/>
      <c r="J127" s="242">
        <f t="shared" ca="1" si="27"/>
        <v>93.556142772955198</v>
      </c>
    </row>
    <row r="128" spans="1:10" s="40" customFormat="1">
      <c r="A128" s="40" t="s">
        <v>373</v>
      </c>
      <c r="B128" s="242">
        <v>97.99</v>
      </c>
      <c r="C128" s="243"/>
      <c r="D128" s="243">
        <v>97.5</v>
      </c>
      <c r="E128" s="243"/>
      <c r="F128" s="245">
        <f ca="1">+'Regulated DF Calc'!$N$63</f>
        <v>1.8243261642926323</v>
      </c>
      <c r="G128" s="246"/>
      <c r="H128" s="242">
        <f t="shared" ca="1" si="26"/>
        <v>99.814326164292623</v>
      </c>
      <c r="I128" s="246"/>
      <c r="J128" s="242">
        <f t="shared" ca="1" si="27"/>
        <v>99.324326164292629</v>
      </c>
    </row>
    <row r="129" spans="1:18" s="40" customFormat="1">
      <c r="A129" s="40" t="s">
        <v>374</v>
      </c>
      <c r="B129" s="242">
        <v>103.37</v>
      </c>
      <c r="C129" s="243"/>
      <c r="D129" s="243">
        <v>102.86</v>
      </c>
      <c r="E129" s="243"/>
      <c r="F129" s="245">
        <f ca="1">+'Regulated DF Calc'!$N$65</f>
        <v>2.1049917280299604</v>
      </c>
      <c r="G129" s="246"/>
      <c r="H129" s="242">
        <f t="shared" ca="1" si="26"/>
        <v>105.47499172802996</v>
      </c>
      <c r="I129" s="246"/>
      <c r="J129" s="242">
        <f t="shared" ca="1" si="27"/>
        <v>104.96499172802996</v>
      </c>
    </row>
    <row r="130" spans="1:18" s="40" customFormat="1">
      <c r="A130" s="40" t="s">
        <v>375</v>
      </c>
      <c r="B130" s="242">
        <v>110.11</v>
      </c>
      <c r="C130" s="243"/>
      <c r="D130" s="243">
        <v>109.56</v>
      </c>
      <c r="E130" s="243"/>
      <c r="F130" s="245">
        <f ca="1">+'Regulated DF Calc'!$N$70</f>
        <v>2.4558236827016198</v>
      </c>
      <c r="G130" s="246"/>
      <c r="H130" s="242">
        <f t="shared" ca="1" si="26"/>
        <v>112.56582368270162</v>
      </c>
      <c r="I130" s="246"/>
      <c r="J130" s="242">
        <f t="shared" ca="1" si="27"/>
        <v>112.01582368270162</v>
      </c>
    </row>
    <row r="131" spans="1:18" s="40" customFormat="1">
      <c r="B131" s="39"/>
      <c r="F131" s="45"/>
      <c r="G131" s="42"/>
      <c r="H131" s="39"/>
      <c r="I131" s="42"/>
      <c r="J131" s="39"/>
    </row>
    <row r="132" spans="1:18" s="40" customFormat="1">
      <c r="A132" s="53" t="s">
        <v>346</v>
      </c>
      <c r="B132" s="56"/>
      <c r="C132" s="65"/>
      <c r="D132" s="65"/>
      <c r="E132" s="65"/>
      <c r="F132" s="63"/>
      <c r="G132" s="66"/>
      <c r="H132" s="56"/>
      <c r="I132" s="66"/>
      <c r="J132" s="56"/>
    </row>
    <row r="133" spans="1:18" s="40" customFormat="1">
      <c r="A133" s="40" t="s">
        <v>345</v>
      </c>
      <c r="B133" s="242">
        <v>3.3</v>
      </c>
      <c r="C133" s="243"/>
      <c r="D133" s="243">
        <v>3.28</v>
      </c>
      <c r="F133" s="45">
        <f ca="1">+'Regulated DF Calc'!N92</f>
        <v>7.2672333467701009E-2</v>
      </c>
      <c r="G133" s="42"/>
      <c r="H133" s="242">
        <f t="shared" ref="H133:H135" ca="1" si="28">+B133+F133</f>
        <v>3.3726723334677007</v>
      </c>
      <c r="I133" s="246"/>
      <c r="J133" s="242">
        <f ca="1">+D133+F133</f>
        <v>3.3526723334677007</v>
      </c>
    </row>
    <row r="134" spans="1:18" s="40" customFormat="1">
      <c r="A134" s="40" t="s">
        <v>438</v>
      </c>
      <c r="B134" s="242">
        <v>2.7855795470593749</v>
      </c>
      <c r="C134" s="242"/>
      <c r="D134" s="242">
        <v>2.7717227341263491</v>
      </c>
      <c r="F134" s="45">
        <f ca="1">F43</f>
        <v>5.0118850667379998E-2</v>
      </c>
      <c r="G134" s="42"/>
      <c r="H134" s="242">
        <f t="shared" ca="1" si="28"/>
        <v>2.8356983977267549</v>
      </c>
      <c r="I134" s="246"/>
      <c r="J134" s="242">
        <f t="shared" ref="J134:J135" ca="1" si="29">+D134+F134</f>
        <v>2.821841584793729</v>
      </c>
      <c r="K134" s="247" t="s">
        <v>433</v>
      </c>
    </row>
    <row r="135" spans="1:18" s="40" customFormat="1">
      <c r="A135" s="40" t="s">
        <v>439</v>
      </c>
      <c r="B135" s="242">
        <v>5.6108356506237405</v>
      </c>
      <c r="C135" s="242"/>
      <c r="D135" s="242">
        <v>5.5808356506237402</v>
      </c>
      <c r="F135" s="45">
        <f ca="1">F133</f>
        <v>7.2672333467701009E-2</v>
      </c>
      <c r="G135" s="42"/>
      <c r="H135" s="242">
        <f t="shared" ca="1" si="28"/>
        <v>5.6835079840914418</v>
      </c>
      <c r="I135" s="246"/>
      <c r="J135" s="242">
        <f t="shared" ca="1" si="29"/>
        <v>5.6535079840914415</v>
      </c>
      <c r="K135" s="247" t="s">
        <v>433</v>
      </c>
    </row>
    <row r="136" spans="1:18" s="40" customFormat="1">
      <c r="A136" s="40" t="s">
        <v>440</v>
      </c>
      <c r="B136" s="242">
        <v>5.2191939949325734</v>
      </c>
      <c r="C136" s="242"/>
      <c r="D136" s="242">
        <v>5.1937898378886933</v>
      </c>
      <c r="F136" s="63"/>
      <c r="G136" s="42"/>
      <c r="H136" s="249">
        <f ca="1">H135+(H135-H134)</f>
        <v>8.5313175704561282</v>
      </c>
      <c r="I136" s="249"/>
      <c r="J136" s="249">
        <f ca="1">J135+(J135-J134)</f>
        <v>8.485174383389154</v>
      </c>
      <c r="K136" s="247" t="s">
        <v>433</v>
      </c>
    </row>
    <row r="137" spans="1:18" s="40" customFormat="1">
      <c r="A137" s="40" t="s">
        <v>441</v>
      </c>
      <c r="B137" s="242">
        <v>7.7444459923778721</v>
      </c>
      <c r="C137" s="242"/>
      <c r="D137" s="242">
        <v>7.7051850224009657</v>
      </c>
      <c r="F137" s="63"/>
      <c r="G137" s="42"/>
      <c r="H137" s="249">
        <f ca="1">H136+((H136-H135)*(65/95))</f>
        <v>10.479818866389861</v>
      </c>
      <c r="I137" s="249"/>
      <c r="J137" s="249">
        <f ca="1">J136+((J136-J135)*(65/95))</f>
        <v>10.422630340803378</v>
      </c>
      <c r="K137" s="247" t="s">
        <v>433</v>
      </c>
    </row>
    <row r="138" spans="1:18" s="39" customFormat="1">
      <c r="A138" s="57"/>
      <c r="C138" s="40"/>
      <c r="D138" s="40"/>
      <c r="E138" s="40"/>
      <c r="F138" s="45"/>
      <c r="G138" s="42"/>
      <c r="I138" s="42"/>
      <c r="K138" s="40"/>
      <c r="L138" s="40"/>
      <c r="M138" s="40"/>
      <c r="N138" s="40"/>
      <c r="O138" s="40"/>
      <c r="P138" s="40"/>
      <c r="Q138" s="40"/>
      <c r="R138" s="40"/>
    </row>
    <row r="139" spans="1:18" s="64" customFormat="1">
      <c r="A139" s="41" t="s">
        <v>354</v>
      </c>
      <c r="C139" s="41"/>
      <c r="D139" s="41"/>
      <c r="E139" s="41"/>
      <c r="F139" s="59"/>
      <c r="G139" s="67"/>
      <c r="I139" s="67"/>
      <c r="K139" s="41"/>
      <c r="L139" s="41"/>
      <c r="M139" s="41"/>
      <c r="N139" s="41"/>
      <c r="O139" s="41"/>
      <c r="P139" s="41"/>
      <c r="Q139" s="41"/>
      <c r="R139" s="41"/>
    </row>
    <row r="140" spans="1:18" s="39" customFormat="1">
      <c r="A140" s="40" t="s">
        <v>345</v>
      </c>
      <c r="B140" s="242">
        <v>13.15</v>
      </c>
      <c r="C140" s="243"/>
      <c r="D140" s="243">
        <v>13.08</v>
      </c>
      <c r="E140" s="40"/>
      <c r="F140" s="78">
        <f ca="1">F133</f>
        <v>7.2672333467701009E-2</v>
      </c>
      <c r="G140" s="42"/>
      <c r="H140" s="242">
        <f t="shared" ref="H140" ca="1" si="30">+B140+F140</f>
        <v>13.222672333467701</v>
      </c>
      <c r="I140" s="246"/>
      <c r="J140" s="242">
        <f ca="1">+D140+F140</f>
        <v>13.1526723334677</v>
      </c>
      <c r="K140" s="40"/>
      <c r="L140" s="40"/>
      <c r="M140" s="40"/>
      <c r="N140" s="40"/>
      <c r="O140" s="40"/>
      <c r="P140" s="40"/>
      <c r="Q140" s="40"/>
      <c r="R140" s="40"/>
    </row>
    <row r="141" spans="1:18" s="39" customFormat="1">
      <c r="A141" s="40" t="s">
        <v>438</v>
      </c>
      <c r="B141" s="242">
        <v>12.64</v>
      </c>
      <c r="C141" s="243"/>
      <c r="D141" s="243">
        <v>12.57</v>
      </c>
      <c r="E141" s="40"/>
      <c r="F141" s="78">
        <f ca="1">F134</f>
        <v>5.0118850667379998E-2</v>
      </c>
      <c r="G141" s="42"/>
      <c r="H141" s="242">
        <f t="shared" ref="H141:H142" ca="1" si="31">+B141+F141</f>
        <v>12.69011885066738</v>
      </c>
      <c r="I141" s="246"/>
      <c r="J141" s="242">
        <f ca="1">+D141+F141</f>
        <v>12.62011885066738</v>
      </c>
      <c r="K141" s="247" t="s">
        <v>433</v>
      </c>
      <c r="L141" s="40"/>
      <c r="M141" s="40"/>
      <c r="N141" s="40"/>
      <c r="O141" s="40"/>
      <c r="P141" s="40"/>
      <c r="Q141" s="40"/>
      <c r="R141" s="40"/>
    </row>
    <row r="142" spans="1:18" s="39" customFormat="1">
      <c r="A142" s="40" t="s">
        <v>439</v>
      </c>
      <c r="B142" s="242">
        <v>15.46</v>
      </c>
      <c r="C142" s="243"/>
      <c r="D142" s="243">
        <v>15.38</v>
      </c>
      <c r="E142" s="40"/>
      <c r="F142" s="78">
        <f ca="1">F135</f>
        <v>7.2672333467701009E-2</v>
      </c>
      <c r="G142" s="42"/>
      <c r="H142" s="242">
        <f t="shared" ca="1" si="31"/>
        <v>15.532672333467701</v>
      </c>
      <c r="I142" s="246"/>
      <c r="J142" s="242">
        <f ca="1">+D142+F142</f>
        <v>15.452672333467701</v>
      </c>
      <c r="K142" s="247" t="s">
        <v>433</v>
      </c>
      <c r="L142" s="40"/>
      <c r="M142" s="40"/>
      <c r="N142" s="40"/>
      <c r="O142" s="40"/>
      <c r="P142" s="40"/>
      <c r="Q142" s="40"/>
      <c r="R142" s="40"/>
    </row>
    <row r="143" spans="1:18" s="39" customFormat="1">
      <c r="A143" s="40" t="s">
        <v>440</v>
      </c>
      <c r="B143" s="242">
        <v>15.07</v>
      </c>
      <c r="C143" s="243"/>
      <c r="D143" s="243">
        <v>14.99</v>
      </c>
      <c r="E143" s="40"/>
      <c r="F143" s="63"/>
      <c r="G143" s="42"/>
      <c r="H143" s="249">
        <f ca="1">H142+(H142-H141)</f>
        <v>18.375225816268021</v>
      </c>
      <c r="I143" s="249"/>
      <c r="J143" s="249">
        <f ca="1">J142+(J142-J141)</f>
        <v>18.285225816268024</v>
      </c>
      <c r="K143" s="247" t="s">
        <v>433</v>
      </c>
      <c r="L143" s="40"/>
      <c r="M143" s="40"/>
      <c r="N143" s="40"/>
      <c r="O143" s="40"/>
      <c r="P143" s="40"/>
      <c r="Q143" s="40"/>
      <c r="R143" s="40"/>
    </row>
    <row r="144" spans="1:18" s="39" customFormat="1">
      <c r="A144" s="40" t="s">
        <v>441</v>
      </c>
      <c r="B144" s="242">
        <v>17.59</v>
      </c>
      <c r="C144" s="243"/>
      <c r="D144" s="243">
        <v>17.510000000000002</v>
      </c>
      <c r="E144" s="40"/>
      <c r="F144" s="63"/>
      <c r="G144" s="42"/>
      <c r="H144" s="249">
        <f ca="1">H143+((H143-H142)*(65/95))</f>
        <v>20.320130830815607</v>
      </c>
      <c r="I144" s="249"/>
      <c r="J144" s="249">
        <f ca="1">J143+((J143-J142)*(65/95))</f>
        <v>20.223288725552457</v>
      </c>
      <c r="K144" s="247" t="s">
        <v>433</v>
      </c>
      <c r="L144" s="40"/>
      <c r="M144" s="40"/>
      <c r="N144" s="40"/>
      <c r="O144" s="40"/>
      <c r="P144" s="40"/>
      <c r="Q144" s="40"/>
      <c r="R144" s="40"/>
    </row>
    <row r="145" spans="1:18" s="242" customFormat="1">
      <c r="A145" s="243"/>
      <c r="C145" s="243"/>
      <c r="D145" s="243"/>
      <c r="E145" s="243"/>
      <c r="F145" s="245"/>
      <c r="G145" s="246"/>
      <c r="I145" s="246"/>
      <c r="K145" s="243"/>
      <c r="L145" s="243"/>
      <c r="M145" s="243"/>
      <c r="N145" s="243"/>
      <c r="O145" s="243"/>
      <c r="P145" s="243"/>
      <c r="Q145" s="243"/>
      <c r="R145" s="243"/>
    </row>
    <row r="146" spans="1:18" s="39" customFormat="1">
      <c r="A146" s="40" t="s">
        <v>282</v>
      </c>
      <c r="B146" s="242">
        <v>4.5199999999999996</v>
      </c>
      <c r="C146" s="243"/>
      <c r="D146" s="243">
        <v>4.5</v>
      </c>
      <c r="E146" s="40"/>
      <c r="F146" s="78">
        <f ca="1">F133</f>
        <v>7.2672333467701009E-2</v>
      </c>
      <c r="G146" s="42"/>
      <c r="H146" s="242">
        <f ca="1">+B146+F146</f>
        <v>4.5926723334677009</v>
      </c>
      <c r="I146" s="246"/>
      <c r="J146" s="242">
        <f ca="1">+D146+F146</f>
        <v>4.5726723334677013</v>
      </c>
      <c r="K146" s="40"/>
      <c r="L146" s="40"/>
      <c r="M146" s="40"/>
      <c r="N146" s="40"/>
      <c r="O146" s="40"/>
      <c r="P146" s="40"/>
      <c r="Q146" s="40"/>
      <c r="R146" s="40"/>
    </row>
    <row r="147" spans="1:18" s="39" customFormat="1">
      <c r="A147" s="40"/>
      <c r="C147" s="40"/>
      <c r="D147" s="40"/>
      <c r="E147" s="40"/>
      <c r="F147" s="78"/>
      <c r="G147" s="42"/>
      <c r="H147" s="242"/>
      <c r="I147" s="246"/>
      <c r="J147" s="242"/>
      <c r="K147" s="40"/>
      <c r="L147" s="40"/>
      <c r="M147" s="40"/>
      <c r="N147" s="40"/>
      <c r="O147" s="40"/>
      <c r="P147" s="40"/>
      <c r="Q147" s="40"/>
      <c r="R147" s="40"/>
    </row>
    <row r="148" spans="1:18" s="39" customFormat="1">
      <c r="A148" s="40" t="s">
        <v>347</v>
      </c>
      <c r="B148" s="242">
        <v>14.28</v>
      </c>
      <c r="C148" s="243"/>
      <c r="D148" s="244">
        <v>14.2</v>
      </c>
      <c r="E148" s="40"/>
      <c r="F148" s="78">
        <f ca="1">F133*References!C12</f>
        <v>0.31467120391514536</v>
      </c>
      <c r="G148" s="42"/>
      <c r="H148" s="242">
        <f t="shared" ref="H148" ca="1" si="32">+B148+F148</f>
        <v>14.594671203915144</v>
      </c>
      <c r="I148" s="246"/>
      <c r="J148" s="242">
        <f ca="1">+D148+F148</f>
        <v>14.514671203915144</v>
      </c>
      <c r="K148" s="40"/>
      <c r="L148" s="40"/>
      <c r="M148" s="40"/>
      <c r="N148" s="40"/>
      <c r="O148" s="40"/>
      <c r="P148" s="40"/>
      <c r="Q148" s="40"/>
      <c r="R148" s="40"/>
    </row>
    <row r="149" spans="1:18" s="39" customFormat="1">
      <c r="A149" s="40" t="s">
        <v>438</v>
      </c>
      <c r="B149" s="242">
        <v>12.08</v>
      </c>
      <c r="C149" s="243"/>
      <c r="D149" s="244">
        <v>11.99</v>
      </c>
      <c r="E149" s="40"/>
      <c r="F149" s="78">
        <f ca="1">F141*References!$C$12</f>
        <v>0.21701462338975538</v>
      </c>
      <c r="G149" s="42"/>
      <c r="H149" s="242">
        <f t="shared" ref="H149:H150" ca="1" si="33">+B149+F149</f>
        <v>12.297014623389755</v>
      </c>
      <c r="I149" s="246"/>
      <c r="J149" s="242">
        <f t="shared" ref="J149:J150" ca="1" si="34">+D149+F149</f>
        <v>12.207014623389755</v>
      </c>
      <c r="K149" s="247" t="s">
        <v>433</v>
      </c>
      <c r="L149" s="40"/>
      <c r="M149" s="40"/>
      <c r="N149" s="40"/>
      <c r="O149" s="40"/>
      <c r="P149" s="40"/>
      <c r="Q149" s="40"/>
      <c r="R149" s="40"/>
    </row>
    <row r="150" spans="1:18" s="39" customFormat="1">
      <c r="A150" s="40" t="s">
        <v>439</v>
      </c>
      <c r="B150" s="242">
        <v>24.29</v>
      </c>
      <c r="C150" s="243"/>
      <c r="D150" s="244">
        <v>24.16</v>
      </c>
      <c r="E150" s="40"/>
      <c r="F150" s="78">
        <f ca="1">F142*References!$C$12</f>
        <v>0.31467120391514536</v>
      </c>
      <c r="G150" s="42"/>
      <c r="H150" s="242">
        <f t="shared" ca="1" si="33"/>
        <v>24.604671203915146</v>
      </c>
      <c r="I150" s="246"/>
      <c r="J150" s="242">
        <f t="shared" ca="1" si="34"/>
        <v>24.474671203915147</v>
      </c>
      <c r="K150" s="247" t="s">
        <v>433</v>
      </c>
      <c r="L150" s="40"/>
      <c r="M150" s="40"/>
      <c r="N150" s="40"/>
      <c r="O150" s="40"/>
      <c r="P150" s="40"/>
      <c r="Q150" s="40"/>
      <c r="R150" s="40"/>
    </row>
    <row r="151" spans="1:18" s="39" customFormat="1">
      <c r="A151" s="40" t="s">
        <v>440</v>
      </c>
      <c r="B151" s="242">
        <v>22.6</v>
      </c>
      <c r="C151" s="243"/>
      <c r="D151" s="244">
        <v>22.47</v>
      </c>
      <c r="E151" s="40"/>
      <c r="F151" s="63"/>
      <c r="G151" s="42"/>
      <c r="H151" s="249">
        <f ca="1">H136*References!$C$12</f>
        <v>36.940605080075038</v>
      </c>
      <c r="I151" s="250"/>
      <c r="J151" s="249">
        <f ca="1">J136*References!$C$12</f>
        <v>36.740805080075035</v>
      </c>
      <c r="K151" s="247" t="s">
        <v>433</v>
      </c>
      <c r="L151" s="40"/>
      <c r="M151" s="40"/>
      <c r="N151" s="40"/>
      <c r="O151" s="40"/>
      <c r="P151" s="40"/>
      <c r="Q151" s="40"/>
      <c r="R151" s="40"/>
    </row>
    <row r="152" spans="1:18" s="39" customFormat="1">
      <c r="A152" s="40" t="s">
        <v>441</v>
      </c>
      <c r="B152" s="242">
        <v>33.51</v>
      </c>
      <c r="C152" s="243"/>
      <c r="D152" s="244">
        <v>33.380000000000003</v>
      </c>
      <c r="E152" s="40"/>
      <c r="F152" s="63"/>
      <c r="G152" s="42"/>
      <c r="H152" s="249">
        <f ca="1">H137*References!$C$12</f>
        <v>45.377615691468101</v>
      </c>
      <c r="I152" s="250"/>
      <c r="J152" s="249">
        <f ca="1">J137*References!$C$12</f>
        <v>45.129989375678626</v>
      </c>
      <c r="K152" s="247" t="s">
        <v>433</v>
      </c>
      <c r="L152" s="40"/>
      <c r="M152" s="40"/>
      <c r="N152" s="40"/>
      <c r="O152" s="40"/>
      <c r="P152" s="40"/>
      <c r="Q152" s="40"/>
      <c r="R152" s="40"/>
    </row>
    <row r="153" spans="1:18" s="39" customFormat="1">
      <c r="A153" s="40"/>
      <c r="B153" s="242"/>
      <c r="C153" s="243"/>
      <c r="D153" s="244"/>
      <c r="E153" s="40"/>
      <c r="F153" s="78"/>
      <c r="G153" s="42"/>
      <c r="H153" s="242"/>
      <c r="I153" s="246"/>
      <c r="J153" s="242"/>
      <c r="K153" s="40"/>
      <c r="L153" s="40"/>
      <c r="M153" s="40"/>
      <c r="N153" s="40"/>
      <c r="O153" s="40"/>
      <c r="P153" s="40"/>
      <c r="Q153" s="40"/>
      <c r="R153" s="40"/>
    </row>
    <row r="154" spans="1:18" s="39" customFormat="1">
      <c r="A154" s="57"/>
      <c r="C154" s="40"/>
      <c r="D154" s="40"/>
      <c r="E154" s="40"/>
      <c r="F154" s="45"/>
      <c r="G154" s="42"/>
      <c r="I154" s="42"/>
      <c r="K154" s="40"/>
      <c r="L154" s="40"/>
      <c r="M154" s="40"/>
      <c r="N154" s="40"/>
      <c r="O154" s="40"/>
      <c r="P154" s="40"/>
      <c r="Q154" s="40"/>
      <c r="R154" s="40"/>
    </row>
    <row r="155" spans="1:18" s="39" customFormat="1">
      <c r="A155" s="53" t="s">
        <v>348</v>
      </c>
      <c r="B155" s="56"/>
      <c r="C155" s="65"/>
      <c r="D155" s="65"/>
      <c r="E155" s="65"/>
      <c r="F155" s="63"/>
      <c r="G155" s="66"/>
      <c r="H155" s="56"/>
      <c r="I155" s="66"/>
      <c r="J155" s="56"/>
      <c r="K155" s="40"/>
      <c r="L155" s="40"/>
      <c r="M155" s="40"/>
      <c r="N155" s="40"/>
      <c r="O155" s="40"/>
      <c r="P155" s="40"/>
      <c r="Q155" s="40"/>
      <c r="R155" s="40"/>
    </row>
    <row r="156" spans="1:18" s="39" customFormat="1">
      <c r="A156" s="41" t="s">
        <v>353</v>
      </c>
      <c r="C156" s="40"/>
      <c r="D156" s="40"/>
      <c r="E156" s="40"/>
      <c r="F156" s="45"/>
      <c r="G156" s="42"/>
      <c r="I156" s="42"/>
      <c r="K156" s="40"/>
      <c r="L156" s="40"/>
      <c r="M156" s="40"/>
      <c r="N156" s="40"/>
      <c r="O156" s="40"/>
      <c r="P156" s="40"/>
      <c r="Q156" s="40"/>
      <c r="R156" s="40"/>
    </row>
    <row r="157" spans="1:18" s="39" customFormat="1">
      <c r="A157" s="41" t="s">
        <v>1</v>
      </c>
      <c r="C157" s="40"/>
      <c r="D157" s="40"/>
      <c r="E157" s="40"/>
      <c r="F157" s="45"/>
      <c r="G157" s="42"/>
      <c r="I157" s="42"/>
      <c r="K157" s="40"/>
      <c r="L157" s="40"/>
      <c r="M157" s="40"/>
      <c r="N157" s="40"/>
      <c r="O157" s="40"/>
      <c r="P157" s="40"/>
      <c r="Q157" s="40"/>
      <c r="R157" s="40"/>
    </row>
    <row r="158" spans="1:18" s="39" customFormat="1">
      <c r="A158" s="40" t="s">
        <v>278</v>
      </c>
      <c r="B158" s="242">
        <v>70.599999999999994</v>
      </c>
      <c r="C158" s="243"/>
      <c r="D158" s="243">
        <v>70.25</v>
      </c>
      <c r="E158" s="243"/>
      <c r="F158" s="245">
        <f ca="1">+'Regulated DF Calc'!N76</f>
        <v>3.2477015232462243</v>
      </c>
      <c r="G158" s="246"/>
      <c r="H158" s="242">
        <f t="shared" ref="H158:H161" ca="1" si="35">+B158+F158</f>
        <v>73.847701523246215</v>
      </c>
      <c r="I158" s="246"/>
      <c r="J158" s="242">
        <f ca="1">+D158+F158</f>
        <v>73.497701523246221</v>
      </c>
      <c r="K158" s="40"/>
      <c r="L158" s="64" t="s">
        <v>293</v>
      </c>
      <c r="M158" s="41" t="s">
        <v>63</v>
      </c>
      <c r="N158" s="40"/>
      <c r="O158" s="40"/>
      <c r="P158" s="40"/>
      <c r="Q158" s="40"/>
      <c r="R158" s="40"/>
    </row>
    <row r="159" spans="1:18" s="39" customFormat="1">
      <c r="A159" s="40" t="s">
        <v>283</v>
      </c>
      <c r="B159" s="242">
        <v>98.99</v>
      </c>
      <c r="C159" s="243"/>
      <c r="D159" s="243">
        <v>95.52</v>
      </c>
      <c r="E159" s="243"/>
      <c r="F159" s="245">
        <f ca="1">M159</f>
        <v>4.741243273134149</v>
      </c>
      <c r="G159" s="246"/>
      <c r="H159" s="242">
        <f t="shared" ca="1" si="35"/>
        <v>103.73124327313414</v>
      </c>
      <c r="I159" s="246"/>
      <c r="J159" s="242">
        <f ca="1">+D159+F159</f>
        <v>100.26124327313414</v>
      </c>
      <c r="K159" s="40"/>
      <c r="L159" s="39">
        <f>References!C57*'Regulated DF Calc'!$H$114</f>
        <v>1435.914148873575</v>
      </c>
      <c r="M159" s="79">
        <f ca="1">L159*(References!$D$69/References!$F$78)</f>
        <v>4.741243273134149</v>
      </c>
      <c r="N159" s="40"/>
      <c r="O159" s="40"/>
      <c r="P159" s="40"/>
      <c r="Q159" s="40"/>
      <c r="R159" s="40"/>
    </row>
    <row r="160" spans="1:18" s="39" customFormat="1">
      <c r="A160" s="40" t="s">
        <v>284</v>
      </c>
      <c r="B160" s="242">
        <v>124.76</v>
      </c>
      <c r="C160" s="243"/>
      <c r="D160" s="243">
        <v>124.15</v>
      </c>
      <c r="E160" s="243"/>
      <c r="F160" s="245">
        <f ca="1">+'Regulated DF Calc'!N77</f>
        <v>6.1445710918207883</v>
      </c>
      <c r="G160" s="246"/>
      <c r="H160" s="242">
        <f t="shared" ca="1" si="35"/>
        <v>130.9045710918208</v>
      </c>
      <c r="I160" s="246"/>
      <c r="J160" s="242">
        <f ca="1">+D160+F160</f>
        <v>130.29457109182079</v>
      </c>
      <c r="K160" s="41"/>
      <c r="N160" s="40"/>
      <c r="O160" s="79"/>
      <c r="P160" s="40"/>
      <c r="Q160" s="40"/>
      <c r="R160" s="40"/>
    </row>
    <row r="161" spans="1:18" s="39" customFormat="1">
      <c r="A161" s="40" t="s">
        <v>285</v>
      </c>
      <c r="B161" s="242">
        <v>171.91</v>
      </c>
      <c r="C161" s="243"/>
      <c r="D161" s="243">
        <v>171.07</v>
      </c>
      <c r="E161" s="243"/>
      <c r="F161" s="245">
        <f ca="1">+F158*3</f>
        <v>9.7431045697386729</v>
      </c>
      <c r="G161" s="246"/>
      <c r="H161" s="242">
        <f t="shared" ca="1" si="35"/>
        <v>181.65310456973867</v>
      </c>
      <c r="I161" s="246"/>
      <c r="J161" s="242">
        <f ca="1">+D161+F161</f>
        <v>180.81310456973867</v>
      </c>
      <c r="K161" s="79"/>
      <c r="N161" s="40"/>
      <c r="O161" s="40"/>
      <c r="P161" s="40"/>
      <c r="Q161" s="40"/>
      <c r="R161" s="40"/>
    </row>
    <row r="162" spans="1:18" s="39" customFormat="1">
      <c r="A162" s="57"/>
      <c r="B162" s="242"/>
      <c r="C162" s="243"/>
      <c r="D162" s="243"/>
      <c r="E162" s="243"/>
      <c r="F162" s="245"/>
      <c r="G162" s="246"/>
      <c r="H162" s="242"/>
      <c r="I162" s="246"/>
      <c r="J162" s="242"/>
      <c r="K162" s="40"/>
      <c r="L162" s="40"/>
      <c r="M162" s="40"/>
      <c r="N162" s="40"/>
      <c r="O162" s="40"/>
      <c r="P162" s="40"/>
      <c r="Q162" s="40"/>
      <c r="R162" s="40"/>
    </row>
    <row r="163" spans="1:18" s="39" customFormat="1">
      <c r="A163" s="41" t="s">
        <v>280</v>
      </c>
      <c r="B163" s="242"/>
      <c r="C163" s="243"/>
      <c r="D163" s="243"/>
      <c r="E163" s="243"/>
      <c r="F163" s="245"/>
      <c r="G163" s="246"/>
      <c r="H163" s="242"/>
      <c r="I163" s="246"/>
      <c r="J163" s="242"/>
      <c r="K163" s="40"/>
      <c r="L163" s="40"/>
      <c r="M163" s="40"/>
      <c r="N163" s="40"/>
      <c r="O163" s="40"/>
      <c r="P163" s="40"/>
      <c r="Q163" s="40"/>
      <c r="R163" s="40"/>
    </row>
    <row r="164" spans="1:18" s="39" customFormat="1">
      <c r="A164" s="40" t="s">
        <v>278</v>
      </c>
      <c r="B164" s="242">
        <v>71.73</v>
      </c>
      <c r="C164" s="243"/>
      <c r="D164" s="243">
        <v>71.38</v>
      </c>
      <c r="E164" s="243"/>
      <c r="F164" s="245">
        <f ca="1">F158</f>
        <v>3.2477015232462243</v>
      </c>
      <c r="G164" s="246"/>
      <c r="H164" s="242">
        <f t="shared" ref="H164:H167" ca="1" si="36">+B164+F164</f>
        <v>74.977701523246225</v>
      </c>
      <c r="I164" s="246"/>
      <c r="J164" s="242">
        <f ca="1">+D164+F164</f>
        <v>74.627701523246216</v>
      </c>
      <c r="K164" s="40"/>
      <c r="L164" s="40"/>
      <c r="M164" s="40"/>
      <c r="N164" s="40"/>
      <c r="O164" s="40"/>
      <c r="P164" s="40"/>
      <c r="Q164" s="40"/>
      <c r="R164" s="40"/>
    </row>
    <row r="165" spans="1:18" s="39" customFormat="1">
      <c r="A165" s="40" t="s">
        <v>283</v>
      </c>
      <c r="B165" s="242">
        <v>98.27</v>
      </c>
      <c r="C165" s="243"/>
      <c r="D165" s="243">
        <v>97.79</v>
      </c>
      <c r="E165" s="243"/>
      <c r="F165" s="245">
        <f ca="1">+F159</f>
        <v>4.741243273134149</v>
      </c>
      <c r="G165" s="246"/>
      <c r="H165" s="242">
        <f t="shared" ca="1" si="36"/>
        <v>103.01124327313414</v>
      </c>
      <c r="I165" s="246"/>
      <c r="J165" s="242">
        <f ca="1">+D165+F165</f>
        <v>102.53124327313415</v>
      </c>
      <c r="K165" s="40"/>
      <c r="L165" s="40"/>
      <c r="M165" s="40"/>
      <c r="N165" s="40"/>
      <c r="O165" s="40"/>
      <c r="P165" s="40"/>
      <c r="Q165" s="40"/>
      <c r="R165" s="40"/>
    </row>
    <row r="166" spans="1:18" s="39" customFormat="1">
      <c r="A166" s="40" t="s">
        <v>284</v>
      </c>
      <c r="B166" s="242">
        <v>125.9</v>
      </c>
      <c r="C166" s="243"/>
      <c r="D166" s="243">
        <v>125.28</v>
      </c>
      <c r="E166" s="243"/>
      <c r="F166" s="245">
        <f ca="1">+'Regulated DF Calc'!N82</f>
        <v>6.1445710918207892</v>
      </c>
      <c r="G166" s="246"/>
      <c r="H166" s="242">
        <f t="shared" ca="1" si="36"/>
        <v>132.04457109182079</v>
      </c>
      <c r="I166" s="246"/>
      <c r="J166" s="242">
        <f ca="1">+D166+F166</f>
        <v>131.42457109182078</v>
      </c>
      <c r="K166" s="40"/>
      <c r="L166" s="40"/>
      <c r="M166" s="40"/>
      <c r="N166" s="40"/>
      <c r="O166" s="40"/>
      <c r="P166" s="40"/>
      <c r="Q166" s="40"/>
      <c r="R166" s="40"/>
    </row>
    <row r="167" spans="1:18" s="39" customFormat="1">
      <c r="A167" s="40" t="s">
        <v>285</v>
      </c>
      <c r="B167" s="242">
        <v>173.05</v>
      </c>
      <c r="C167" s="243"/>
      <c r="D167" s="243">
        <v>172.2</v>
      </c>
      <c r="E167" s="243"/>
      <c r="F167" s="245">
        <f ca="1">+F161</f>
        <v>9.7431045697386729</v>
      </c>
      <c r="G167" s="246"/>
      <c r="H167" s="242">
        <f t="shared" ca="1" si="36"/>
        <v>182.79310456973869</v>
      </c>
      <c r="I167" s="246"/>
      <c r="J167" s="242">
        <f ca="1">+D167+F167</f>
        <v>181.94310456973867</v>
      </c>
      <c r="K167" s="40"/>
      <c r="L167" s="40"/>
      <c r="M167" s="40"/>
      <c r="N167" s="40"/>
      <c r="O167" s="40"/>
      <c r="P167" s="40"/>
      <c r="Q167" s="40"/>
      <c r="R167" s="40"/>
    </row>
    <row r="168" spans="1:18" s="39" customFormat="1">
      <c r="A168" s="57"/>
      <c r="B168" s="242"/>
      <c r="C168" s="243"/>
      <c r="D168" s="243"/>
      <c r="E168" s="243"/>
      <c r="F168" s="245"/>
      <c r="G168" s="246"/>
      <c r="H168" s="242"/>
      <c r="I168" s="246"/>
      <c r="J168" s="242"/>
      <c r="K168" s="40"/>
      <c r="L168" s="40"/>
      <c r="M168" s="40"/>
      <c r="N168" s="40"/>
      <c r="O168" s="40"/>
      <c r="P168" s="40"/>
      <c r="Q168" s="40"/>
      <c r="R168" s="40"/>
    </row>
    <row r="169" spans="1:18" s="39" customFormat="1">
      <c r="A169" s="41" t="s">
        <v>281</v>
      </c>
      <c r="B169" s="242"/>
      <c r="C169" s="243"/>
      <c r="D169" s="243"/>
      <c r="E169" s="243"/>
      <c r="F169" s="245"/>
      <c r="G169" s="246"/>
      <c r="H169" s="242"/>
      <c r="I169" s="246"/>
      <c r="J169" s="242"/>
      <c r="K169" s="40"/>
      <c r="L169" s="40"/>
      <c r="M169" s="40"/>
      <c r="N169" s="40"/>
      <c r="O169" s="40"/>
      <c r="P169" s="40"/>
      <c r="Q169" s="40"/>
      <c r="R169" s="40"/>
    </row>
    <row r="170" spans="1:18" s="39" customFormat="1">
      <c r="A170" s="41" t="s">
        <v>1</v>
      </c>
      <c r="B170" s="242"/>
      <c r="C170" s="243"/>
      <c r="D170" s="243"/>
      <c r="E170" s="243"/>
      <c r="F170" s="245"/>
      <c r="G170" s="246"/>
      <c r="H170" s="242"/>
      <c r="I170" s="246"/>
      <c r="J170" s="242"/>
      <c r="K170" s="40"/>
      <c r="L170" s="40"/>
      <c r="M170" s="40"/>
      <c r="N170" s="40"/>
      <c r="O170" s="40"/>
      <c r="P170" s="40"/>
      <c r="Q170" s="40"/>
      <c r="R170" s="40"/>
    </row>
    <row r="171" spans="1:18" s="39" customFormat="1">
      <c r="A171" s="40" t="s">
        <v>278</v>
      </c>
      <c r="B171" s="242">
        <v>70.599999999999994</v>
      </c>
      <c r="C171" s="243"/>
      <c r="D171" s="243">
        <v>70.25</v>
      </c>
      <c r="E171" s="243"/>
      <c r="F171" s="245">
        <f ca="1">+F158</f>
        <v>3.2477015232462243</v>
      </c>
      <c r="G171" s="246"/>
      <c r="H171" s="242">
        <f t="shared" ref="H171:H174" ca="1" si="37">+B171+F171</f>
        <v>73.847701523246215</v>
      </c>
      <c r="I171" s="246"/>
      <c r="J171" s="242">
        <f ca="1">+D171+F171</f>
        <v>73.497701523246221</v>
      </c>
      <c r="K171" s="40"/>
      <c r="L171" s="40"/>
      <c r="M171" s="40"/>
      <c r="N171" s="40"/>
      <c r="O171" s="40"/>
      <c r="P171" s="40"/>
      <c r="Q171" s="40"/>
      <c r="R171" s="40"/>
    </row>
    <row r="172" spans="1:18" s="39" customFormat="1">
      <c r="A172" s="40" t="s">
        <v>283</v>
      </c>
      <c r="B172" s="242">
        <v>98.99</v>
      </c>
      <c r="C172" s="243"/>
      <c r="D172" s="243">
        <v>95.52</v>
      </c>
      <c r="E172" s="243"/>
      <c r="F172" s="245">
        <f ca="1">+F159</f>
        <v>4.741243273134149</v>
      </c>
      <c r="G172" s="246"/>
      <c r="H172" s="242">
        <f t="shared" ca="1" si="37"/>
        <v>103.73124327313414</v>
      </c>
      <c r="I172" s="246"/>
      <c r="J172" s="242">
        <f ca="1">+D172+F172</f>
        <v>100.26124327313414</v>
      </c>
      <c r="K172" s="40"/>
      <c r="L172" s="40"/>
      <c r="M172" s="40"/>
      <c r="N172" s="40"/>
      <c r="O172" s="40"/>
      <c r="P172" s="40"/>
      <c r="Q172" s="40"/>
      <c r="R172" s="40"/>
    </row>
    <row r="173" spans="1:18" s="39" customFormat="1">
      <c r="A173" s="40" t="s">
        <v>284</v>
      </c>
      <c r="B173" s="242">
        <v>124.76</v>
      </c>
      <c r="C173" s="243"/>
      <c r="D173" s="243">
        <v>124.15</v>
      </c>
      <c r="E173" s="243"/>
      <c r="F173" s="245">
        <f t="shared" ref="F173:F174" ca="1" si="38">+F160</f>
        <v>6.1445710918207883</v>
      </c>
      <c r="G173" s="246"/>
      <c r="H173" s="242">
        <f t="shared" ca="1" si="37"/>
        <v>130.9045710918208</v>
      </c>
      <c r="I173" s="246"/>
      <c r="J173" s="242">
        <f ca="1">+D173+F173</f>
        <v>130.29457109182079</v>
      </c>
      <c r="K173" s="40"/>
      <c r="L173" s="40"/>
      <c r="M173" s="40"/>
      <c r="N173" s="40"/>
      <c r="O173" s="40"/>
      <c r="P173" s="40"/>
      <c r="Q173" s="40"/>
      <c r="R173" s="40"/>
    </row>
    <row r="174" spans="1:18" s="39" customFormat="1">
      <c r="A174" s="40" t="s">
        <v>285</v>
      </c>
      <c r="B174" s="242">
        <v>172.02</v>
      </c>
      <c r="C174" s="243"/>
      <c r="D174" s="243">
        <v>172.2</v>
      </c>
      <c r="E174" s="243"/>
      <c r="F174" s="245">
        <f t="shared" ca="1" si="38"/>
        <v>9.7431045697386729</v>
      </c>
      <c r="G174" s="246"/>
      <c r="H174" s="242">
        <f t="shared" ca="1" si="37"/>
        <v>181.76310456973869</v>
      </c>
      <c r="I174" s="246"/>
      <c r="J174" s="242">
        <f ca="1">+D174+F174</f>
        <v>181.94310456973867</v>
      </c>
      <c r="K174" s="40"/>
      <c r="L174" s="40"/>
      <c r="M174" s="40"/>
      <c r="N174" s="40"/>
      <c r="O174" s="40"/>
      <c r="P174" s="40"/>
      <c r="Q174" s="40"/>
      <c r="R174" s="40"/>
    </row>
    <row r="175" spans="1:18" s="39" customFormat="1">
      <c r="A175" s="57"/>
      <c r="C175" s="40"/>
      <c r="D175" s="40"/>
      <c r="E175" s="40"/>
      <c r="F175" s="45"/>
      <c r="G175" s="42"/>
      <c r="I175" s="42"/>
      <c r="K175" s="40"/>
      <c r="L175" s="40"/>
      <c r="M175" s="40"/>
      <c r="N175" s="40"/>
      <c r="O175" s="40"/>
      <c r="P175" s="40"/>
      <c r="Q175" s="40"/>
      <c r="R175" s="40"/>
    </row>
    <row r="176" spans="1:18" s="39" customFormat="1">
      <c r="A176" s="53" t="s">
        <v>349</v>
      </c>
      <c r="B176" s="56"/>
      <c r="C176" s="65"/>
      <c r="D176" s="65"/>
      <c r="E176" s="65"/>
      <c r="F176" s="63"/>
      <c r="G176" s="66"/>
      <c r="H176" s="56"/>
      <c r="I176" s="66"/>
      <c r="J176" s="56"/>
      <c r="K176" s="40"/>
      <c r="L176" s="40"/>
      <c r="M176" s="40"/>
      <c r="N176" s="40"/>
      <c r="O176" s="40"/>
      <c r="P176" s="40"/>
      <c r="Q176" s="40"/>
      <c r="R176" s="40"/>
    </row>
    <row r="177" spans="1:20" s="64" customFormat="1">
      <c r="A177" s="41" t="s">
        <v>352</v>
      </c>
      <c r="B177" s="251"/>
      <c r="C177" s="252"/>
      <c r="D177" s="252"/>
      <c r="E177" s="252"/>
      <c r="F177" s="253"/>
      <c r="G177" s="254"/>
      <c r="H177" s="251"/>
      <c r="I177" s="254"/>
      <c r="J177" s="251"/>
      <c r="K177" s="252"/>
      <c r="L177" s="41"/>
      <c r="M177" s="41"/>
      <c r="N177" s="41"/>
      <c r="O177" s="41"/>
      <c r="P177" s="41"/>
      <c r="Q177" s="41"/>
      <c r="R177" s="41"/>
    </row>
    <row r="178" spans="1:20" s="40" customFormat="1">
      <c r="A178" s="40" t="s">
        <v>350</v>
      </c>
      <c r="B178" s="242">
        <v>126.65</v>
      </c>
      <c r="C178" s="243"/>
      <c r="D178" s="243">
        <v>126.03</v>
      </c>
      <c r="E178" s="243"/>
      <c r="F178" s="245">
        <f ca="1">+F160</f>
        <v>6.1445710918207883</v>
      </c>
      <c r="G178" s="246"/>
      <c r="H178" s="242">
        <f t="shared" ref="H178" ca="1" si="39">+B178+F178</f>
        <v>132.79457109182079</v>
      </c>
      <c r="I178" s="246"/>
      <c r="J178" s="242">
        <f ca="1">+D178+F178</f>
        <v>132.17457109182078</v>
      </c>
      <c r="K178" s="243"/>
    </row>
    <row r="179" spans="1:20">
      <c r="B179" s="255"/>
      <c r="C179" s="256"/>
      <c r="D179" s="256"/>
      <c r="E179" s="256"/>
      <c r="F179" s="257"/>
      <c r="G179" s="258"/>
      <c r="H179" s="255"/>
      <c r="I179" s="258"/>
      <c r="J179" s="255"/>
      <c r="K179" s="256"/>
      <c r="L179" s="70"/>
    </row>
    <row r="180" spans="1:20" s="41" customFormat="1">
      <c r="A180" s="41" t="s">
        <v>286</v>
      </c>
      <c r="B180" s="251"/>
      <c r="C180" s="252"/>
      <c r="D180" s="252"/>
      <c r="E180" s="252"/>
      <c r="F180" s="253"/>
      <c r="G180" s="254"/>
      <c r="H180" s="251"/>
      <c r="I180" s="254"/>
      <c r="J180" s="251"/>
      <c r="K180" s="252"/>
    </row>
    <row r="181" spans="1:20" s="40" customFormat="1">
      <c r="A181" s="40" t="s">
        <v>351</v>
      </c>
      <c r="B181" s="242">
        <v>126.65</v>
      </c>
      <c r="C181" s="243"/>
      <c r="D181" s="243">
        <v>126.03</v>
      </c>
      <c r="E181" s="243"/>
      <c r="F181" s="245">
        <f ca="1">+F160</f>
        <v>6.1445710918207883</v>
      </c>
      <c r="G181" s="246"/>
      <c r="H181" s="242">
        <f t="shared" ref="H181" ca="1" si="40">+B181+F181</f>
        <v>132.79457109182079</v>
      </c>
      <c r="I181" s="246"/>
      <c r="J181" s="242">
        <f ca="1">+D181+F181</f>
        <v>132.17457109182078</v>
      </c>
      <c r="K181" s="243"/>
    </row>
    <row r="182" spans="1:20" s="40" customFormat="1">
      <c r="B182" s="242"/>
      <c r="C182" s="243"/>
      <c r="D182" s="243"/>
      <c r="E182" s="243"/>
      <c r="F182" s="245"/>
      <c r="G182" s="246"/>
      <c r="H182" s="242"/>
      <c r="I182" s="246"/>
      <c r="J182" s="242"/>
      <c r="K182" s="243"/>
    </row>
    <row r="183" spans="1:20" s="39" customFormat="1">
      <c r="A183" s="40"/>
      <c r="B183" s="42"/>
      <c r="C183" s="40"/>
      <c r="D183" s="40"/>
      <c r="E183" s="40"/>
      <c r="F183" s="45"/>
      <c r="G183" s="42"/>
      <c r="H183" s="42"/>
      <c r="I183" s="42"/>
      <c r="J183" s="42"/>
      <c r="K183" s="40"/>
      <c r="M183" s="40"/>
      <c r="N183" s="40"/>
      <c r="O183" s="40"/>
      <c r="P183" s="40"/>
      <c r="Q183" s="40"/>
      <c r="R183" s="40"/>
      <c r="S183" s="40"/>
      <c r="T183" s="40"/>
    </row>
    <row r="184" spans="1:20" s="39" customFormat="1">
      <c r="A184" s="40"/>
      <c r="B184" s="42"/>
      <c r="C184" s="40"/>
      <c r="D184" s="40"/>
      <c r="E184" s="40"/>
      <c r="F184" s="45"/>
      <c r="G184" s="42"/>
      <c r="H184" s="42"/>
      <c r="I184" s="42"/>
      <c r="J184" s="42"/>
      <c r="K184" s="40"/>
      <c r="M184" s="40"/>
      <c r="N184" s="40"/>
      <c r="O184" s="40"/>
      <c r="P184" s="40"/>
      <c r="Q184" s="40"/>
      <c r="R184" s="40"/>
      <c r="S184" s="40"/>
      <c r="T184" s="40"/>
    </row>
    <row r="185" spans="1:20" s="39" customFormat="1">
      <c r="A185" s="41"/>
      <c r="B185" s="42"/>
      <c r="C185" s="40"/>
      <c r="D185" s="40"/>
      <c r="E185" s="40"/>
      <c r="F185" s="45"/>
      <c r="G185" s="42"/>
      <c r="H185" s="42"/>
      <c r="I185" s="42"/>
      <c r="J185" s="42"/>
      <c r="K185" s="40"/>
      <c r="M185" s="40"/>
      <c r="N185" s="40"/>
      <c r="O185" s="40"/>
      <c r="P185" s="40"/>
      <c r="Q185" s="40"/>
      <c r="R185" s="40"/>
      <c r="S185" s="40"/>
      <c r="T185" s="40"/>
    </row>
    <row r="186" spans="1:20" s="39" customFormat="1">
      <c r="A186" s="40"/>
      <c r="B186" s="42"/>
      <c r="C186" s="40"/>
      <c r="D186" s="40"/>
      <c r="E186" s="40"/>
      <c r="F186" s="45"/>
      <c r="G186" s="42"/>
      <c r="H186" s="42"/>
      <c r="I186" s="42"/>
      <c r="J186" s="42"/>
      <c r="K186" s="40"/>
      <c r="M186" s="40"/>
      <c r="N186" s="40"/>
      <c r="O186" s="40"/>
      <c r="P186" s="40"/>
      <c r="Q186" s="40"/>
      <c r="R186" s="40"/>
      <c r="S186" s="40"/>
      <c r="T186" s="40"/>
    </row>
    <row r="187" spans="1:20" s="39" customFormat="1">
      <c r="A187" s="40"/>
      <c r="B187" s="42"/>
      <c r="C187" s="40"/>
      <c r="D187" s="40"/>
      <c r="E187" s="40"/>
      <c r="F187" s="45"/>
      <c r="G187" s="42"/>
      <c r="H187" s="42"/>
      <c r="I187" s="42"/>
      <c r="J187" s="42"/>
      <c r="K187" s="40"/>
      <c r="M187" s="40"/>
      <c r="N187" s="40"/>
      <c r="O187" s="40"/>
      <c r="P187" s="40"/>
      <c r="Q187" s="40"/>
      <c r="R187" s="40"/>
      <c r="S187" s="40"/>
      <c r="T187" s="40"/>
    </row>
    <row r="188" spans="1:20" s="39" customFormat="1">
      <c r="A188" s="40"/>
      <c r="B188" s="42"/>
      <c r="C188" s="40"/>
      <c r="D188" s="40"/>
      <c r="E188" s="40"/>
      <c r="F188" s="45"/>
      <c r="G188" s="42"/>
      <c r="H188" s="42"/>
      <c r="I188" s="42"/>
      <c r="J188" s="42"/>
      <c r="K188" s="40"/>
      <c r="M188" s="40"/>
      <c r="N188" s="40"/>
      <c r="O188" s="40"/>
      <c r="P188" s="40"/>
      <c r="Q188" s="40"/>
      <c r="R188" s="40"/>
      <c r="S188" s="40"/>
      <c r="T188" s="40"/>
    </row>
    <row r="189" spans="1:20" s="39" customFormat="1">
      <c r="A189" s="40"/>
      <c r="B189" s="42"/>
      <c r="C189" s="40"/>
      <c r="D189" s="40"/>
      <c r="E189" s="40"/>
      <c r="F189" s="45"/>
      <c r="G189" s="42"/>
      <c r="H189" s="42"/>
      <c r="I189" s="42"/>
      <c r="J189" s="42"/>
      <c r="K189" s="40"/>
      <c r="M189" s="40"/>
      <c r="N189" s="40"/>
      <c r="O189" s="40"/>
      <c r="P189" s="40"/>
      <c r="Q189" s="40"/>
      <c r="R189" s="40"/>
      <c r="S189" s="40"/>
      <c r="T189" s="40"/>
    </row>
    <row r="190" spans="1:20" s="39" customFormat="1">
      <c r="A190" s="40"/>
      <c r="B190" s="42"/>
      <c r="C190" s="40"/>
      <c r="D190" s="40"/>
      <c r="E190" s="40"/>
      <c r="F190" s="45"/>
      <c r="G190" s="42"/>
      <c r="H190" s="42"/>
      <c r="I190" s="42"/>
      <c r="J190" s="42"/>
      <c r="K190" s="40"/>
      <c r="M190" s="40"/>
      <c r="N190" s="40"/>
      <c r="O190" s="40"/>
      <c r="P190" s="40"/>
      <c r="Q190" s="40"/>
      <c r="R190" s="40"/>
      <c r="S190" s="40"/>
      <c r="T190" s="40"/>
    </row>
    <row r="191" spans="1:20" s="39" customFormat="1">
      <c r="A191" s="40"/>
      <c r="B191" s="42"/>
      <c r="C191" s="40"/>
      <c r="D191" s="40"/>
      <c r="E191" s="40"/>
      <c r="F191" s="45"/>
      <c r="G191" s="42"/>
      <c r="H191" s="42"/>
      <c r="I191" s="42"/>
      <c r="J191" s="42"/>
      <c r="K191" s="40"/>
      <c r="M191" s="40"/>
      <c r="N191" s="40"/>
      <c r="O191" s="40"/>
      <c r="P191" s="40"/>
      <c r="Q191" s="40"/>
      <c r="R191" s="40"/>
      <c r="S191" s="40"/>
      <c r="T191" s="40"/>
    </row>
    <row r="192" spans="1:20" s="39" customFormat="1">
      <c r="A192" s="40"/>
      <c r="B192" s="42"/>
      <c r="C192" s="40"/>
      <c r="D192" s="40"/>
      <c r="E192" s="40"/>
      <c r="F192" s="45"/>
      <c r="G192" s="42"/>
      <c r="H192" s="42"/>
      <c r="I192" s="42"/>
      <c r="J192" s="42"/>
      <c r="K192" s="40"/>
      <c r="M192" s="40"/>
      <c r="N192" s="40"/>
      <c r="O192" s="40"/>
      <c r="P192" s="40"/>
      <c r="Q192" s="40"/>
      <c r="R192" s="40"/>
      <c r="S192" s="40"/>
      <c r="T192" s="40"/>
    </row>
    <row r="193" spans="1:1324" s="39" customFormat="1">
      <c r="A193" s="40"/>
      <c r="C193" s="40"/>
      <c r="D193" s="40"/>
      <c r="E193" s="40"/>
      <c r="F193" s="45"/>
      <c r="G193" s="42"/>
      <c r="H193" s="42"/>
      <c r="I193" s="42"/>
      <c r="J193" s="42"/>
      <c r="K193" s="40"/>
      <c r="M193" s="40"/>
      <c r="N193" s="40"/>
      <c r="O193" s="40"/>
      <c r="P193" s="40"/>
      <c r="Q193" s="40"/>
      <c r="R193" s="40"/>
      <c r="S193" s="40"/>
      <c r="T193" s="40"/>
    </row>
    <row r="194" spans="1:1324" s="68" customFormat="1">
      <c r="A194" s="40"/>
      <c r="B194" s="39"/>
      <c r="C194" s="40"/>
      <c r="D194" s="40"/>
      <c r="E194" s="40"/>
      <c r="F194" s="45"/>
      <c r="G194" s="42"/>
      <c r="H194" s="42"/>
      <c r="I194" s="42"/>
      <c r="J194" s="42"/>
      <c r="K194" s="40"/>
      <c r="L194" s="39"/>
      <c r="M194" s="40"/>
      <c r="N194" s="40"/>
      <c r="O194" s="40"/>
      <c r="P194" s="40"/>
      <c r="Q194" s="40"/>
      <c r="R194" s="40"/>
      <c r="S194" s="40"/>
      <c r="T194" s="40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/>
      <c r="GC194" s="39"/>
      <c r="GD194" s="39"/>
      <c r="GE194" s="39"/>
      <c r="GF194" s="39"/>
      <c r="GG194" s="39"/>
      <c r="GH194" s="39"/>
      <c r="GI194" s="39"/>
      <c r="GJ194" s="39"/>
      <c r="GK194" s="39"/>
      <c r="GL194" s="39"/>
      <c r="GM194" s="39"/>
      <c r="GN194" s="39"/>
      <c r="GO194" s="39"/>
      <c r="GP194" s="39"/>
      <c r="GQ194" s="39"/>
      <c r="GR194" s="39"/>
      <c r="GS194" s="39"/>
      <c r="GT194" s="39"/>
      <c r="GU194" s="39"/>
      <c r="GV194" s="39"/>
      <c r="GW194" s="39"/>
      <c r="GX194" s="39"/>
      <c r="GY194" s="39"/>
      <c r="GZ194" s="39"/>
      <c r="HA194" s="39"/>
      <c r="HB194" s="39"/>
      <c r="HC194" s="39"/>
      <c r="HD194" s="39"/>
      <c r="HE194" s="39"/>
      <c r="HF194" s="39"/>
      <c r="HG194" s="39"/>
      <c r="HH194" s="39"/>
      <c r="HI194" s="39"/>
      <c r="HJ194" s="39"/>
      <c r="HK194" s="39"/>
      <c r="HL194" s="39"/>
      <c r="HM194" s="39"/>
      <c r="HN194" s="39"/>
      <c r="HO194" s="39"/>
      <c r="HP194" s="39"/>
      <c r="HQ194" s="39"/>
      <c r="HR194" s="39"/>
      <c r="HS194" s="39"/>
      <c r="HT194" s="39"/>
      <c r="HU194" s="39"/>
      <c r="HV194" s="39"/>
      <c r="HW194" s="39"/>
      <c r="HX194" s="39"/>
      <c r="HY194" s="39"/>
      <c r="HZ194" s="39"/>
      <c r="IA194" s="39"/>
      <c r="IB194" s="39"/>
      <c r="IC194" s="39"/>
      <c r="ID194" s="39"/>
      <c r="IE194" s="39"/>
      <c r="IF194" s="39"/>
      <c r="IG194" s="39"/>
      <c r="IH194" s="39"/>
      <c r="II194" s="39"/>
      <c r="IJ194" s="39"/>
      <c r="IK194" s="39"/>
      <c r="IL194" s="39"/>
      <c r="IM194" s="39"/>
      <c r="IN194" s="39"/>
      <c r="IO194" s="39"/>
      <c r="IP194" s="39"/>
      <c r="IQ194" s="39"/>
      <c r="IR194" s="39"/>
      <c r="IS194" s="39"/>
      <c r="IT194" s="39"/>
      <c r="IU194" s="39"/>
      <c r="IV194" s="39"/>
      <c r="IW194" s="39"/>
      <c r="IX194" s="39"/>
      <c r="IY194" s="39"/>
      <c r="IZ194" s="39"/>
      <c r="JA194" s="39"/>
      <c r="JB194" s="39"/>
      <c r="JC194" s="39"/>
      <c r="JD194" s="39"/>
      <c r="JE194" s="39"/>
      <c r="JF194" s="39"/>
      <c r="JG194" s="39"/>
      <c r="JH194" s="39"/>
      <c r="JI194" s="39"/>
      <c r="JJ194" s="39"/>
      <c r="JK194" s="39"/>
      <c r="JL194" s="39"/>
      <c r="JM194" s="39"/>
      <c r="JN194" s="39"/>
      <c r="JO194" s="39"/>
      <c r="JP194" s="39"/>
      <c r="JQ194" s="39"/>
      <c r="JR194" s="39"/>
      <c r="JS194" s="39"/>
      <c r="JT194" s="39"/>
      <c r="JU194" s="39"/>
      <c r="JV194" s="39"/>
      <c r="JW194" s="39"/>
      <c r="JX194" s="39"/>
      <c r="JY194" s="39"/>
      <c r="JZ194" s="39"/>
      <c r="KA194" s="39"/>
      <c r="KB194" s="39"/>
      <c r="KC194" s="39"/>
      <c r="KD194" s="39"/>
      <c r="KE194" s="39"/>
      <c r="KF194" s="39"/>
      <c r="KG194" s="39"/>
      <c r="KH194" s="39"/>
      <c r="KI194" s="39"/>
      <c r="KJ194" s="39"/>
      <c r="KK194" s="39"/>
      <c r="KL194" s="39"/>
      <c r="KM194" s="39"/>
      <c r="KN194" s="39"/>
      <c r="KO194" s="39"/>
      <c r="KP194" s="39"/>
      <c r="KQ194" s="39"/>
      <c r="KR194" s="39"/>
      <c r="KS194" s="39"/>
      <c r="KT194" s="39"/>
      <c r="KU194" s="39"/>
      <c r="KV194" s="39"/>
      <c r="KW194" s="39"/>
      <c r="KX194" s="39"/>
      <c r="KY194" s="39"/>
      <c r="KZ194" s="39"/>
      <c r="LA194" s="39"/>
      <c r="LB194" s="39"/>
      <c r="LC194" s="39"/>
      <c r="LD194" s="39"/>
      <c r="LE194" s="39"/>
      <c r="LF194" s="39"/>
      <c r="LG194" s="39"/>
      <c r="LH194" s="39"/>
      <c r="LI194" s="39"/>
      <c r="LJ194" s="39"/>
      <c r="LK194" s="39"/>
      <c r="LL194" s="39"/>
      <c r="LM194" s="39"/>
      <c r="LN194" s="39"/>
      <c r="LO194" s="39"/>
      <c r="LP194" s="39"/>
      <c r="LQ194" s="39"/>
      <c r="LR194" s="39"/>
      <c r="LS194" s="39"/>
      <c r="LT194" s="39"/>
      <c r="LU194" s="39"/>
      <c r="LV194" s="39"/>
      <c r="LW194" s="39"/>
      <c r="LX194" s="39"/>
      <c r="LY194" s="39"/>
      <c r="LZ194" s="39"/>
      <c r="MA194" s="39"/>
      <c r="MB194" s="39"/>
      <c r="MC194" s="39"/>
      <c r="MD194" s="39"/>
      <c r="ME194" s="39"/>
      <c r="MF194" s="39"/>
      <c r="MG194" s="39"/>
      <c r="MH194" s="39"/>
      <c r="MI194" s="39"/>
      <c r="MJ194" s="39"/>
      <c r="MK194" s="39"/>
      <c r="ML194" s="39"/>
      <c r="MM194" s="39"/>
      <c r="MN194" s="39"/>
      <c r="MO194" s="39"/>
      <c r="MP194" s="39"/>
      <c r="MQ194" s="39"/>
      <c r="MR194" s="39"/>
      <c r="MS194" s="39"/>
      <c r="MT194" s="39"/>
      <c r="MU194" s="39"/>
      <c r="MV194" s="39"/>
      <c r="MW194" s="39"/>
      <c r="MX194" s="39"/>
      <c r="MY194" s="39"/>
      <c r="MZ194" s="39"/>
      <c r="NA194" s="39"/>
      <c r="NB194" s="39"/>
      <c r="NC194" s="39"/>
      <c r="ND194" s="39"/>
      <c r="NE194" s="39"/>
      <c r="NF194" s="39"/>
      <c r="NG194" s="39"/>
      <c r="NH194" s="39"/>
      <c r="NI194" s="39"/>
      <c r="NJ194" s="39"/>
      <c r="NK194" s="39"/>
      <c r="NL194" s="39"/>
      <c r="NM194" s="39"/>
      <c r="NN194" s="39"/>
      <c r="NO194" s="39"/>
      <c r="NP194" s="39"/>
      <c r="NQ194" s="39"/>
      <c r="NR194" s="39"/>
      <c r="NS194" s="39"/>
      <c r="NT194" s="39"/>
      <c r="NU194" s="39"/>
      <c r="NV194" s="39"/>
      <c r="NW194" s="39"/>
      <c r="NX194" s="39"/>
      <c r="NY194" s="39"/>
      <c r="NZ194" s="39"/>
      <c r="OA194" s="39"/>
      <c r="OB194" s="39"/>
      <c r="OC194" s="39"/>
      <c r="OD194" s="39"/>
      <c r="OE194" s="39"/>
      <c r="OF194" s="39"/>
      <c r="OG194" s="39"/>
      <c r="OH194" s="39"/>
      <c r="OI194" s="39"/>
      <c r="OJ194" s="39"/>
      <c r="OK194" s="39"/>
      <c r="OL194" s="39"/>
      <c r="OM194" s="39"/>
      <c r="ON194" s="39"/>
      <c r="OO194" s="39"/>
      <c r="OP194" s="39"/>
      <c r="OQ194" s="39"/>
      <c r="OR194" s="39"/>
      <c r="OS194" s="39"/>
      <c r="OT194" s="39"/>
      <c r="OU194" s="39"/>
      <c r="OV194" s="39"/>
      <c r="OW194" s="39"/>
      <c r="OX194" s="39"/>
      <c r="OY194" s="39"/>
      <c r="OZ194" s="39"/>
      <c r="PA194" s="39"/>
      <c r="PB194" s="39"/>
      <c r="PC194" s="39"/>
      <c r="PD194" s="39"/>
      <c r="PE194" s="39"/>
      <c r="PF194" s="39"/>
      <c r="PG194" s="39"/>
      <c r="PH194" s="39"/>
      <c r="PI194" s="39"/>
      <c r="PJ194" s="39"/>
      <c r="PK194" s="39"/>
      <c r="PL194" s="39"/>
      <c r="PM194" s="39"/>
      <c r="PN194" s="39"/>
      <c r="PO194" s="39"/>
      <c r="PP194" s="39"/>
      <c r="PQ194" s="39"/>
      <c r="PR194" s="39"/>
      <c r="PS194" s="39"/>
      <c r="PT194" s="39"/>
      <c r="PU194" s="39"/>
      <c r="PV194" s="39"/>
      <c r="PW194" s="39"/>
      <c r="PX194" s="39"/>
      <c r="PY194" s="39"/>
      <c r="PZ194" s="39"/>
      <c r="QA194" s="39"/>
      <c r="QB194" s="39"/>
      <c r="QC194" s="39"/>
      <c r="QD194" s="39"/>
      <c r="QE194" s="39"/>
      <c r="QF194" s="39"/>
      <c r="QG194" s="39"/>
      <c r="QH194" s="39"/>
      <c r="QI194" s="39"/>
      <c r="QJ194" s="39"/>
      <c r="QK194" s="39"/>
      <c r="QL194" s="39"/>
      <c r="QM194" s="39"/>
      <c r="QN194" s="39"/>
      <c r="QO194" s="39"/>
      <c r="QP194" s="39"/>
      <c r="QQ194" s="39"/>
      <c r="QR194" s="39"/>
      <c r="QS194" s="39"/>
      <c r="QT194" s="39"/>
      <c r="QU194" s="39"/>
      <c r="QV194" s="39"/>
      <c r="QW194" s="39"/>
      <c r="QX194" s="39"/>
      <c r="QY194" s="39"/>
      <c r="QZ194" s="39"/>
      <c r="RA194" s="39"/>
      <c r="RB194" s="39"/>
      <c r="RC194" s="39"/>
      <c r="RD194" s="39"/>
      <c r="RE194" s="39"/>
      <c r="RF194" s="39"/>
      <c r="RG194" s="39"/>
      <c r="RH194" s="39"/>
      <c r="RI194" s="39"/>
      <c r="RJ194" s="39"/>
      <c r="RK194" s="39"/>
      <c r="RL194" s="39"/>
      <c r="RM194" s="39"/>
      <c r="RN194" s="39"/>
      <c r="RO194" s="39"/>
      <c r="RP194" s="39"/>
      <c r="RQ194" s="39"/>
      <c r="RR194" s="39"/>
      <c r="RS194" s="39"/>
      <c r="RT194" s="39"/>
      <c r="RU194" s="39"/>
      <c r="RV194" s="39"/>
      <c r="RW194" s="39"/>
      <c r="RX194" s="39"/>
      <c r="RY194" s="39"/>
      <c r="RZ194" s="39"/>
      <c r="SA194" s="39"/>
      <c r="SB194" s="39"/>
      <c r="SC194" s="39"/>
      <c r="SD194" s="39"/>
      <c r="SE194" s="39"/>
      <c r="SF194" s="39"/>
      <c r="SG194" s="39"/>
      <c r="SH194" s="39"/>
      <c r="SI194" s="39"/>
      <c r="SJ194" s="39"/>
      <c r="SK194" s="39"/>
      <c r="SL194" s="39"/>
      <c r="SM194" s="39"/>
      <c r="SN194" s="39"/>
      <c r="SO194" s="39"/>
      <c r="SP194" s="39"/>
      <c r="SQ194" s="39"/>
      <c r="SR194" s="39"/>
      <c r="SS194" s="39"/>
      <c r="ST194" s="39"/>
      <c r="SU194" s="39"/>
      <c r="SV194" s="39"/>
      <c r="SW194" s="39"/>
      <c r="SX194" s="39"/>
      <c r="SY194" s="39"/>
      <c r="SZ194" s="39"/>
      <c r="TA194" s="39"/>
      <c r="TB194" s="39"/>
      <c r="TC194" s="39"/>
      <c r="TD194" s="39"/>
      <c r="TE194" s="39"/>
      <c r="TF194" s="39"/>
      <c r="TG194" s="39"/>
      <c r="TH194" s="39"/>
      <c r="TI194" s="39"/>
      <c r="TJ194" s="39"/>
      <c r="TK194" s="39"/>
      <c r="TL194" s="39"/>
      <c r="TM194" s="39"/>
      <c r="TN194" s="39"/>
      <c r="TO194" s="39"/>
      <c r="TP194" s="39"/>
      <c r="TQ194" s="39"/>
      <c r="TR194" s="39"/>
      <c r="TS194" s="39"/>
      <c r="TT194" s="39"/>
      <c r="TU194" s="39"/>
      <c r="TV194" s="39"/>
      <c r="TW194" s="39"/>
      <c r="TX194" s="39"/>
      <c r="TY194" s="39"/>
      <c r="TZ194" s="39"/>
      <c r="UA194" s="39"/>
      <c r="UB194" s="39"/>
      <c r="UC194" s="39"/>
      <c r="UD194" s="39"/>
      <c r="UE194" s="39"/>
      <c r="UF194" s="39"/>
      <c r="UG194" s="39"/>
      <c r="UH194" s="39"/>
      <c r="UI194" s="39"/>
      <c r="UJ194" s="39"/>
      <c r="UK194" s="39"/>
      <c r="UL194" s="39"/>
      <c r="UM194" s="39"/>
      <c r="UN194" s="39"/>
      <c r="UO194" s="39"/>
      <c r="UP194" s="39"/>
      <c r="UQ194" s="39"/>
      <c r="UR194" s="39"/>
      <c r="US194" s="39"/>
      <c r="UT194" s="39"/>
      <c r="UU194" s="39"/>
      <c r="UV194" s="39"/>
      <c r="UW194" s="39"/>
      <c r="UX194" s="39"/>
      <c r="UY194" s="39"/>
      <c r="UZ194" s="39"/>
      <c r="VA194" s="39"/>
      <c r="VB194" s="39"/>
      <c r="VC194" s="39"/>
      <c r="VD194" s="39"/>
      <c r="VE194" s="39"/>
      <c r="VF194" s="39"/>
      <c r="VG194" s="39"/>
      <c r="VH194" s="39"/>
      <c r="VI194" s="39"/>
      <c r="VJ194" s="39"/>
      <c r="VK194" s="39"/>
      <c r="VL194" s="39"/>
      <c r="VM194" s="39"/>
      <c r="VN194" s="39"/>
      <c r="VO194" s="39"/>
      <c r="VP194" s="39"/>
      <c r="VQ194" s="39"/>
      <c r="VR194" s="39"/>
      <c r="VS194" s="39"/>
      <c r="VT194" s="39"/>
      <c r="VU194" s="39"/>
      <c r="VV194" s="39"/>
      <c r="VW194" s="39"/>
      <c r="VX194" s="39"/>
      <c r="VY194" s="39"/>
      <c r="VZ194" s="39"/>
      <c r="WA194" s="39"/>
      <c r="WB194" s="39"/>
      <c r="WC194" s="39"/>
      <c r="WD194" s="39"/>
      <c r="WE194" s="39"/>
      <c r="WF194" s="39"/>
      <c r="WG194" s="39"/>
      <c r="WH194" s="39"/>
      <c r="WI194" s="39"/>
      <c r="WJ194" s="39"/>
      <c r="WK194" s="39"/>
      <c r="WL194" s="39"/>
      <c r="WM194" s="39"/>
      <c r="WN194" s="39"/>
      <c r="WO194" s="39"/>
      <c r="WP194" s="39"/>
      <c r="WQ194" s="39"/>
      <c r="WR194" s="39"/>
      <c r="WS194" s="39"/>
      <c r="WT194" s="39"/>
      <c r="WU194" s="39"/>
      <c r="WV194" s="39"/>
      <c r="WW194" s="39"/>
      <c r="WX194" s="39"/>
      <c r="WY194" s="39"/>
      <c r="WZ194" s="39"/>
      <c r="XA194" s="39"/>
      <c r="XB194" s="39"/>
      <c r="XC194" s="39"/>
      <c r="XD194" s="39"/>
      <c r="XE194" s="39"/>
      <c r="XF194" s="39"/>
      <c r="XG194" s="39"/>
      <c r="XH194" s="39"/>
      <c r="XI194" s="39"/>
      <c r="XJ194" s="39"/>
      <c r="XK194" s="39"/>
      <c r="XL194" s="39"/>
      <c r="XM194" s="39"/>
      <c r="XN194" s="39"/>
      <c r="XO194" s="39"/>
      <c r="XP194" s="39"/>
      <c r="XQ194" s="39"/>
      <c r="XR194" s="39"/>
      <c r="XS194" s="39"/>
      <c r="XT194" s="39"/>
      <c r="XU194" s="39"/>
      <c r="XV194" s="39"/>
      <c r="XW194" s="39"/>
      <c r="XX194" s="39"/>
      <c r="XY194" s="39"/>
      <c r="XZ194" s="39"/>
      <c r="YA194" s="39"/>
      <c r="YB194" s="39"/>
      <c r="YC194" s="39"/>
      <c r="YD194" s="39"/>
      <c r="YE194" s="39"/>
      <c r="YF194" s="39"/>
      <c r="YG194" s="39"/>
      <c r="YH194" s="39"/>
      <c r="YI194" s="39"/>
      <c r="YJ194" s="39"/>
      <c r="YK194" s="39"/>
      <c r="YL194" s="39"/>
      <c r="YM194" s="39"/>
      <c r="YN194" s="39"/>
      <c r="YO194" s="39"/>
      <c r="YP194" s="39"/>
      <c r="YQ194" s="39"/>
      <c r="YR194" s="39"/>
      <c r="YS194" s="39"/>
      <c r="YT194" s="39"/>
      <c r="YU194" s="39"/>
      <c r="YV194" s="39"/>
      <c r="YW194" s="39"/>
      <c r="YX194" s="39"/>
      <c r="YY194" s="39"/>
      <c r="YZ194" s="39"/>
      <c r="ZA194" s="39"/>
      <c r="ZB194" s="39"/>
      <c r="ZC194" s="39"/>
      <c r="ZD194" s="39"/>
      <c r="ZE194" s="39"/>
      <c r="ZF194" s="39"/>
      <c r="ZG194" s="39"/>
      <c r="ZH194" s="39"/>
      <c r="ZI194" s="39"/>
      <c r="ZJ194" s="39"/>
      <c r="ZK194" s="39"/>
      <c r="ZL194" s="39"/>
      <c r="ZM194" s="39"/>
      <c r="ZN194" s="39"/>
      <c r="ZO194" s="39"/>
      <c r="ZP194" s="39"/>
      <c r="ZQ194" s="39"/>
      <c r="ZR194" s="39"/>
      <c r="ZS194" s="39"/>
      <c r="ZT194" s="39"/>
      <c r="ZU194" s="39"/>
      <c r="ZV194" s="39"/>
      <c r="ZW194" s="39"/>
      <c r="ZX194" s="39"/>
      <c r="ZY194" s="39"/>
      <c r="ZZ194" s="39"/>
      <c r="AAA194" s="39"/>
      <c r="AAB194" s="39"/>
      <c r="AAC194" s="39"/>
      <c r="AAD194" s="39"/>
      <c r="AAE194" s="39"/>
      <c r="AAF194" s="39"/>
      <c r="AAG194" s="39"/>
      <c r="AAH194" s="39"/>
      <c r="AAI194" s="39"/>
      <c r="AAJ194" s="39"/>
      <c r="AAK194" s="39"/>
      <c r="AAL194" s="39"/>
      <c r="AAM194" s="39"/>
      <c r="AAN194" s="39"/>
      <c r="AAO194" s="39"/>
      <c r="AAP194" s="39"/>
      <c r="AAQ194" s="39"/>
      <c r="AAR194" s="39"/>
      <c r="AAS194" s="39"/>
      <c r="AAT194" s="39"/>
      <c r="AAU194" s="39"/>
      <c r="AAV194" s="39"/>
      <c r="AAW194" s="39"/>
      <c r="AAX194" s="39"/>
      <c r="AAY194" s="39"/>
      <c r="AAZ194" s="39"/>
      <c r="ABA194" s="39"/>
      <c r="ABB194" s="39"/>
      <c r="ABC194" s="39"/>
      <c r="ABD194" s="39"/>
      <c r="ABE194" s="39"/>
      <c r="ABF194" s="39"/>
      <c r="ABG194" s="39"/>
      <c r="ABH194" s="39"/>
      <c r="ABI194" s="39"/>
      <c r="ABJ194" s="39"/>
      <c r="ABK194" s="39"/>
      <c r="ABL194" s="39"/>
      <c r="ABM194" s="39"/>
      <c r="ABN194" s="39"/>
      <c r="ABO194" s="39"/>
      <c r="ABP194" s="39"/>
      <c r="ABQ194" s="39"/>
      <c r="ABR194" s="39"/>
      <c r="ABS194" s="39"/>
      <c r="ABT194" s="39"/>
      <c r="ABU194" s="39"/>
      <c r="ABV194" s="39"/>
      <c r="ABW194" s="39"/>
      <c r="ABX194" s="39"/>
      <c r="ABY194" s="39"/>
      <c r="ABZ194" s="39"/>
      <c r="ACA194" s="39"/>
      <c r="ACB194" s="39"/>
      <c r="ACC194" s="39"/>
      <c r="ACD194" s="39"/>
      <c r="ACE194" s="39"/>
      <c r="ACF194" s="39"/>
      <c r="ACG194" s="39"/>
      <c r="ACH194" s="39"/>
      <c r="ACI194" s="39"/>
      <c r="ACJ194" s="39"/>
      <c r="ACK194" s="39"/>
      <c r="ACL194" s="39"/>
      <c r="ACM194" s="39"/>
      <c r="ACN194" s="39"/>
      <c r="ACO194" s="39"/>
      <c r="ACP194" s="39"/>
      <c r="ACQ194" s="39"/>
      <c r="ACR194" s="39"/>
      <c r="ACS194" s="39"/>
      <c r="ACT194" s="39"/>
      <c r="ACU194" s="39"/>
      <c r="ACV194" s="39"/>
      <c r="ACW194" s="39"/>
      <c r="ACX194" s="39"/>
      <c r="ACY194" s="39"/>
      <c r="ACZ194" s="39"/>
      <c r="ADA194" s="39"/>
      <c r="ADB194" s="39"/>
      <c r="ADC194" s="39"/>
      <c r="ADD194" s="39"/>
      <c r="ADE194" s="39"/>
      <c r="ADF194" s="39"/>
      <c r="ADG194" s="39"/>
      <c r="ADH194" s="39"/>
      <c r="ADI194" s="39"/>
      <c r="ADJ194" s="39"/>
      <c r="ADK194" s="39"/>
      <c r="ADL194" s="39"/>
      <c r="ADM194" s="39"/>
      <c r="ADN194" s="39"/>
      <c r="ADO194" s="39"/>
      <c r="ADP194" s="39"/>
      <c r="ADQ194" s="39"/>
      <c r="ADR194" s="39"/>
      <c r="ADS194" s="39"/>
      <c r="ADT194" s="39"/>
      <c r="ADU194" s="39"/>
      <c r="ADV194" s="39"/>
      <c r="ADW194" s="39"/>
      <c r="ADX194" s="39"/>
      <c r="ADY194" s="39"/>
      <c r="ADZ194" s="39"/>
      <c r="AEA194" s="39"/>
      <c r="AEB194" s="39"/>
      <c r="AEC194" s="39"/>
      <c r="AED194" s="39"/>
      <c r="AEE194" s="39"/>
      <c r="AEF194" s="39"/>
      <c r="AEG194" s="39"/>
      <c r="AEH194" s="39"/>
      <c r="AEI194" s="39"/>
      <c r="AEJ194" s="39"/>
      <c r="AEK194" s="39"/>
      <c r="AEL194" s="39"/>
      <c r="AEM194" s="39"/>
      <c r="AEN194" s="39"/>
      <c r="AEO194" s="39"/>
      <c r="AEP194" s="39"/>
      <c r="AEQ194" s="39"/>
      <c r="AER194" s="39"/>
      <c r="AES194" s="39"/>
      <c r="AET194" s="39"/>
      <c r="AEU194" s="39"/>
      <c r="AEV194" s="39"/>
      <c r="AEW194" s="39"/>
      <c r="AEX194" s="39"/>
      <c r="AEY194" s="39"/>
      <c r="AEZ194" s="39"/>
      <c r="AFA194" s="39"/>
      <c r="AFB194" s="39"/>
      <c r="AFC194" s="39"/>
      <c r="AFD194" s="39"/>
      <c r="AFE194" s="39"/>
      <c r="AFF194" s="39"/>
      <c r="AFG194" s="39"/>
      <c r="AFH194" s="39"/>
      <c r="AFI194" s="39"/>
      <c r="AFJ194" s="39"/>
      <c r="AFK194" s="39"/>
      <c r="AFL194" s="39"/>
      <c r="AFM194" s="39"/>
      <c r="AFN194" s="39"/>
      <c r="AFO194" s="39"/>
      <c r="AFP194" s="39"/>
      <c r="AFQ194" s="39"/>
      <c r="AFR194" s="39"/>
      <c r="AFS194" s="39"/>
      <c r="AFT194" s="39"/>
      <c r="AFU194" s="39"/>
      <c r="AFV194" s="39"/>
      <c r="AFW194" s="39"/>
      <c r="AFX194" s="39"/>
      <c r="AFY194" s="39"/>
      <c r="AFZ194" s="39"/>
      <c r="AGA194" s="39"/>
      <c r="AGB194" s="39"/>
      <c r="AGC194" s="39"/>
      <c r="AGD194" s="39"/>
      <c r="AGE194" s="39"/>
      <c r="AGF194" s="39"/>
      <c r="AGG194" s="39"/>
      <c r="AGH194" s="39"/>
      <c r="AGI194" s="39"/>
      <c r="AGJ194" s="39"/>
      <c r="AGK194" s="39"/>
      <c r="AGL194" s="39"/>
      <c r="AGM194" s="39"/>
      <c r="AGN194" s="39"/>
      <c r="AGO194" s="39"/>
      <c r="AGP194" s="39"/>
      <c r="AGQ194" s="39"/>
      <c r="AGR194" s="39"/>
      <c r="AGS194" s="39"/>
      <c r="AGT194" s="39"/>
      <c r="AGU194" s="39"/>
      <c r="AGV194" s="39"/>
      <c r="AGW194" s="39"/>
      <c r="AGX194" s="39"/>
      <c r="AGY194" s="39"/>
      <c r="AGZ194" s="39"/>
      <c r="AHA194" s="39"/>
      <c r="AHB194" s="39"/>
      <c r="AHC194" s="39"/>
      <c r="AHD194" s="39"/>
      <c r="AHE194" s="39"/>
      <c r="AHF194" s="39"/>
      <c r="AHG194" s="39"/>
      <c r="AHH194" s="39"/>
      <c r="AHI194" s="39"/>
      <c r="AHJ194" s="39"/>
      <c r="AHK194" s="39"/>
      <c r="AHL194" s="39"/>
      <c r="AHM194" s="39"/>
      <c r="AHN194" s="39"/>
      <c r="AHO194" s="39"/>
      <c r="AHP194" s="39"/>
      <c r="AHQ194" s="39"/>
      <c r="AHR194" s="39"/>
      <c r="AHS194" s="39"/>
      <c r="AHT194" s="39"/>
      <c r="AHU194" s="39"/>
      <c r="AHV194" s="39"/>
      <c r="AHW194" s="39"/>
      <c r="AHX194" s="39"/>
      <c r="AHY194" s="39"/>
      <c r="AHZ194" s="39"/>
      <c r="AIA194" s="39"/>
      <c r="AIB194" s="39"/>
      <c r="AIC194" s="39"/>
      <c r="AID194" s="39"/>
      <c r="AIE194" s="39"/>
      <c r="AIF194" s="39"/>
      <c r="AIG194" s="39"/>
      <c r="AIH194" s="39"/>
      <c r="AII194" s="39"/>
      <c r="AIJ194" s="39"/>
      <c r="AIK194" s="39"/>
      <c r="AIL194" s="39"/>
      <c r="AIM194" s="39"/>
      <c r="AIN194" s="39"/>
      <c r="AIO194" s="39"/>
      <c r="AIP194" s="39"/>
      <c r="AIQ194" s="39"/>
      <c r="AIR194" s="39"/>
      <c r="AIS194" s="39"/>
      <c r="AIT194" s="39"/>
      <c r="AIU194" s="39"/>
      <c r="AIV194" s="39"/>
      <c r="AIW194" s="39"/>
      <c r="AIX194" s="39"/>
      <c r="AIY194" s="39"/>
      <c r="AIZ194" s="39"/>
      <c r="AJA194" s="39"/>
      <c r="AJB194" s="39"/>
      <c r="AJC194" s="39"/>
      <c r="AJD194" s="39"/>
      <c r="AJE194" s="39"/>
      <c r="AJF194" s="39"/>
      <c r="AJG194" s="39"/>
      <c r="AJH194" s="39"/>
      <c r="AJI194" s="39"/>
      <c r="AJJ194" s="39"/>
      <c r="AJK194" s="39"/>
      <c r="AJL194" s="39"/>
      <c r="AJM194" s="39"/>
      <c r="AJN194" s="39"/>
      <c r="AJO194" s="39"/>
      <c r="AJP194" s="39"/>
      <c r="AJQ194" s="39"/>
      <c r="AJR194" s="39"/>
      <c r="AJS194" s="39"/>
      <c r="AJT194" s="39"/>
      <c r="AJU194" s="39"/>
      <c r="AJV194" s="39"/>
      <c r="AJW194" s="39"/>
      <c r="AJX194" s="39"/>
      <c r="AJY194" s="39"/>
      <c r="AJZ194" s="39"/>
      <c r="AKA194" s="39"/>
      <c r="AKB194" s="39"/>
      <c r="AKC194" s="39"/>
      <c r="AKD194" s="39"/>
      <c r="AKE194" s="39"/>
      <c r="AKF194" s="39"/>
      <c r="AKG194" s="39"/>
      <c r="AKH194" s="39"/>
      <c r="AKI194" s="39"/>
      <c r="AKJ194" s="39"/>
      <c r="AKK194" s="39"/>
      <c r="AKL194" s="39"/>
      <c r="AKM194" s="39"/>
      <c r="AKN194" s="39"/>
      <c r="AKO194" s="39"/>
      <c r="AKP194" s="39"/>
      <c r="AKQ194" s="39"/>
      <c r="AKR194" s="39"/>
      <c r="AKS194" s="39"/>
      <c r="AKT194" s="39"/>
      <c r="AKU194" s="39"/>
      <c r="AKV194" s="39"/>
      <c r="AKW194" s="39"/>
      <c r="AKX194" s="39"/>
      <c r="AKY194" s="39"/>
      <c r="AKZ194" s="39"/>
      <c r="ALA194" s="39"/>
      <c r="ALB194" s="39"/>
      <c r="ALC194" s="39"/>
      <c r="ALD194" s="39"/>
      <c r="ALE194" s="39"/>
      <c r="ALF194" s="39"/>
      <c r="ALG194" s="39"/>
      <c r="ALH194" s="39"/>
      <c r="ALI194" s="39"/>
      <c r="ALJ194" s="39"/>
      <c r="ALK194" s="39"/>
      <c r="ALL194" s="39"/>
      <c r="ALM194" s="39"/>
      <c r="ALN194" s="39"/>
      <c r="ALO194" s="39"/>
      <c r="ALP194" s="39"/>
      <c r="ALQ194" s="39"/>
      <c r="ALR194" s="39"/>
      <c r="ALS194" s="39"/>
      <c r="ALT194" s="39"/>
      <c r="ALU194" s="39"/>
      <c r="ALV194" s="39"/>
      <c r="ALW194" s="39"/>
      <c r="ALX194" s="39"/>
      <c r="ALY194" s="39"/>
      <c r="ALZ194" s="39"/>
      <c r="AMA194" s="39"/>
      <c r="AMB194" s="39"/>
      <c r="AMC194" s="39"/>
      <c r="AMD194" s="39"/>
      <c r="AME194" s="39"/>
      <c r="AMF194" s="39"/>
      <c r="AMG194" s="39"/>
      <c r="AMH194" s="39"/>
      <c r="AMI194" s="39"/>
      <c r="AMJ194" s="39"/>
      <c r="AMK194" s="39"/>
      <c r="AML194" s="39"/>
      <c r="AMM194" s="39"/>
      <c r="AMN194" s="39"/>
      <c r="AMO194" s="39"/>
      <c r="AMP194" s="39"/>
      <c r="AMQ194" s="39"/>
      <c r="AMR194" s="39"/>
      <c r="AMS194" s="39"/>
      <c r="AMT194" s="39"/>
      <c r="AMU194" s="39"/>
      <c r="AMV194" s="39"/>
      <c r="AMW194" s="39"/>
      <c r="AMX194" s="39"/>
      <c r="AMY194" s="39"/>
      <c r="AMZ194" s="39"/>
      <c r="ANA194" s="39"/>
      <c r="ANB194" s="39"/>
      <c r="ANC194" s="39"/>
      <c r="AND194" s="39"/>
      <c r="ANE194" s="39"/>
      <c r="ANF194" s="39"/>
      <c r="ANG194" s="39"/>
      <c r="ANH194" s="39"/>
      <c r="ANI194" s="39"/>
      <c r="ANJ194" s="39"/>
      <c r="ANK194" s="39"/>
      <c r="ANL194" s="39"/>
      <c r="ANM194" s="39"/>
      <c r="ANN194" s="39"/>
      <c r="ANO194" s="39"/>
      <c r="ANP194" s="39"/>
      <c r="ANQ194" s="39"/>
      <c r="ANR194" s="39"/>
      <c r="ANS194" s="39"/>
      <c r="ANT194" s="39"/>
      <c r="ANU194" s="39"/>
      <c r="ANV194" s="39"/>
      <c r="ANW194" s="39"/>
      <c r="ANX194" s="39"/>
      <c r="ANY194" s="39"/>
      <c r="ANZ194" s="39"/>
      <c r="AOA194" s="39"/>
      <c r="AOB194" s="39"/>
      <c r="AOC194" s="39"/>
      <c r="AOD194" s="39"/>
      <c r="AOE194" s="39"/>
      <c r="AOF194" s="39"/>
      <c r="AOG194" s="39"/>
      <c r="AOH194" s="39"/>
      <c r="AOI194" s="39"/>
      <c r="AOJ194" s="39"/>
      <c r="AOK194" s="39"/>
      <c r="AOL194" s="39"/>
      <c r="AOM194" s="39"/>
      <c r="AON194" s="39"/>
      <c r="AOO194" s="39"/>
      <c r="AOP194" s="39"/>
      <c r="AOQ194" s="39"/>
      <c r="AOR194" s="39"/>
      <c r="AOS194" s="39"/>
      <c r="AOT194" s="39"/>
      <c r="AOU194" s="39"/>
      <c r="AOV194" s="39"/>
      <c r="AOW194" s="39"/>
      <c r="AOX194" s="39"/>
      <c r="AOY194" s="39"/>
      <c r="AOZ194" s="39"/>
      <c r="APA194" s="39"/>
      <c r="APB194" s="39"/>
      <c r="APC194" s="39"/>
      <c r="APD194" s="39"/>
      <c r="APE194" s="39"/>
      <c r="APF194" s="39"/>
      <c r="APG194" s="39"/>
      <c r="APH194" s="39"/>
      <c r="API194" s="39"/>
      <c r="APJ194" s="39"/>
      <c r="APK194" s="39"/>
      <c r="APL194" s="39"/>
      <c r="APM194" s="39"/>
      <c r="APN194" s="39"/>
      <c r="APO194" s="39"/>
      <c r="APP194" s="39"/>
      <c r="APQ194" s="39"/>
      <c r="APR194" s="39"/>
      <c r="APS194" s="39"/>
      <c r="APT194" s="39"/>
      <c r="APU194" s="39"/>
      <c r="APV194" s="39"/>
      <c r="APW194" s="39"/>
      <c r="APX194" s="39"/>
      <c r="APY194" s="39"/>
      <c r="APZ194" s="39"/>
      <c r="AQA194" s="39"/>
      <c r="AQB194" s="39"/>
      <c r="AQC194" s="39"/>
      <c r="AQD194" s="39"/>
      <c r="AQE194" s="39"/>
      <c r="AQF194" s="39"/>
      <c r="AQG194" s="39"/>
      <c r="AQH194" s="39"/>
      <c r="AQI194" s="39"/>
      <c r="AQJ194" s="39"/>
      <c r="AQK194" s="39"/>
      <c r="AQL194" s="39"/>
      <c r="AQM194" s="39"/>
      <c r="AQN194" s="39"/>
      <c r="AQO194" s="39"/>
      <c r="AQP194" s="39"/>
      <c r="AQQ194" s="39"/>
      <c r="AQR194" s="39"/>
      <c r="AQS194" s="39"/>
      <c r="AQT194" s="39"/>
      <c r="AQU194" s="39"/>
      <c r="AQV194" s="39"/>
      <c r="AQW194" s="39"/>
      <c r="AQX194" s="39"/>
      <c r="AQY194" s="39"/>
      <c r="AQZ194" s="39"/>
      <c r="ARA194" s="39"/>
      <c r="ARB194" s="39"/>
      <c r="ARC194" s="39"/>
      <c r="ARD194" s="39"/>
      <c r="ARE194" s="39"/>
      <c r="ARF194" s="39"/>
      <c r="ARG194" s="39"/>
      <c r="ARH194" s="39"/>
      <c r="ARI194" s="39"/>
      <c r="ARJ194" s="39"/>
      <c r="ARK194" s="39"/>
      <c r="ARL194" s="39"/>
      <c r="ARM194" s="39"/>
      <c r="ARN194" s="39"/>
      <c r="ARO194" s="39"/>
      <c r="ARP194" s="39"/>
      <c r="ARQ194" s="39"/>
      <c r="ARR194" s="39"/>
      <c r="ARS194" s="39"/>
      <c r="ART194" s="39"/>
      <c r="ARU194" s="39"/>
      <c r="ARV194" s="39"/>
      <c r="ARW194" s="39"/>
      <c r="ARX194" s="39"/>
      <c r="ARY194" s="39"/>
      <c r="ARZ194" s="39"/>
      <c r="ASA194" s="39"/>
      <c r="ASB194" s="39"/>
      <c r="ASC194" s="39"/>
      <c r="ASD194" s="39"/>
      <c r="ASE194" s="39"/>
      <c r="ASF194" s="39"/>
      <c r="ASG194" s="39"/>
      <c r="ASH194" s="39"/>
      <c r="ASI194" s="39"/>
      <c r="ASJ194" s="39"/>
      <c r="ASK194" s="39"/>
      <c r="ASL194" s="39"/>
      <c r="ASM194" s="39"/>
      <c r="ASN194" s="39"/>
      <c r="ASO194" s="39"/>
      <c r="ASP194" s="39"/>
      <c r="ASQ194" s="39"/>
      <c r="ASR194" s="39"/>
      <c r="ASS194" s="39"/>
      <c r="AST194" s="39"/>
      <c r="ASU194" s="39"/>
      <c r="ASV194" s="39"/>
      <c r="ASW194" s="39"/>
      <c r="ASX194" s="39"/>
      <c r="ASY194" s="39"/>
      <c r="ASZ194" s="39"/>
      <c r="ATA194" s="39"/>
      <c r="ATB194" s="39"/>
      <c r="ATC194" s="39"/>
      <c r="ATD194" s="39"/>
      <c r="ATE194" s="39"/>
      <c r="ATF194" s="39"/>
      <c r="ATG194" s="39"/>
      <c r="ATH194" s="39"/>
      <c r="ATI194" s="39"/>
      <c r="ATJ194" s="39"/>
      <c r="ATK194" s="39"/>
      <c r="ATL194" s="39"/>
      <c r="ATM194" s="39"/>
      <c r="ATN194" s="39"/>
      <c r="ATO194" s="39"/>
      <c r="ATP194" s="39"/>
      <c r="ATQ194" s="39"/>
      <c r="ATR194" s="39"/>
      <c r="ATS194" s="39"/>
      <c r="ATT194" s="39"/>
      <c r="ATU194" s="39"/>
      <c r="ATV194" s="39"/>
      <c r="ATW194" s="39"/>
      <c r="ATX194" s="39"/>
      <c r="ATY194" s="39"/>
      <c r="ATZ194" s="39"/>
      <c r="AUA194" s="39"/>
      <c r="AUB194" s="39"/>
      <c r="AUC194" s="39"/>
      <c r="AUD194" s="39"/>
      <c r="AUE194" s="39"/>
      <c r="AUF194" s="39"/>
      <c r="AUG194" s="39"/>
      <c r="AUH194" s="39"/>
      <c r="AUI194" s="39"/>
      <c r="AUJ194" s="39"/>
      <c r="AUK194" s="39"/>
      <c r="AUL194" s="39"/>
      <c r="AUM194" s="39"/>
      <c r="AUN194" s="39"/>
      <c r="AUO194" s="39"/>
      <c r="AUP194" s="39"/>
      <c r="AUQ194" s="39"/>
      <c r="AUR194" s="39"/>
      <c r="AUS194" s="39"/>
      <c r="AUT194" s="39"/>
      <c r="AUU194" s="39"/>
      <c r="AUV194" s="39"/>
      <c r="AUW194" s="39"/>
      <c r="AUX194" s="39"/>
      <c r="AUY194" s="39"/>
      <c r="AUZ194" s="39"/>
      <c r="AVA194" s="39"/>
      <c r="AVB194" s="39"/>
      <c r="AVC194" s="39"/>
      <c r="AVD194" s="39"/>
      <c r="AVE194" s="39"/>
      <c r="AVF194" s="39"/>
      <c r="AVG194" s="39"/>
      <c r="AVH194" s="39"/>
      <c r="AVI194" s="39"/>
      <c r="AVJ194" s="39"/>
      <c r="AVK194" s="39"/>
      <c r="AVL194" s="39"/>
      <c r="AVM194" s="39"/>
      <c r="AVN194" s="39"/>
      <c r="AVO194" s="39"/>
      <c r="AVP194" s="39"/>
      <c r="AVQ194" s="39"/>
      <c r="AVR194" s="39"/>
      <c r="AVS194" s="39"/>
      <c r="AVT194" s="39"/>
      <c r="AVU194" s="39"/>
      <c r="AVV194" s="39"/>
      <c r="AVW194" s="39"/>
      <c r="AVX194" s="39"/>
      <c r="AVY194" s="39"/>
      <c r="AVZ194" s="39"/>
      <c r="AWA194" s="39"/>
      <c r="AWB194" s="39"/>
      <c r="AWC194" s="39"/>
      <c r="AWD194" s="39"/>
      <c r="AWE194" s="39"/>
      <c r="AWF194" s="39"/>
      <c r="AWG194" s="39"/>
      <c r="AWH194" s="39"/>
      <c r="AWI194" s="39"/>
      <c r="AWJ194" s="39"/>
      <c r="AWK194" s="39"/>
      <c r="AWL194" s="39"/>
      <c r="AWM194" s="39"/>
      <c r="AWN194" s="39"/>
      <c r="AWO194" s="39"/>
      <c r="AWP194" s="39"/>
      <c r="AWQ194" s="39"/>
      <c r="AWR194" s="39"/>
      <c r="AWS194" s="39"/>
      <c r="AWT194" s="39"/>
      <c r="AWU194" s="39"/>
      <c r="AWV194" s="39"/>
      <c r="AWW194" s="39"/>
      <c r="AWX194" s="39"/>
      <c r="AWY194" s="39"/>
      <c r="AWZ194" s="39"/>
      <c r="AXA194" s="39"/>
      <c r="AXB194" s="39"/>
      <c r="AXC194" s="39"/>
      <c r="AXD194" s="39"/>
      <c r="AXE194" s="39"/>
      <c r="AXF194" s="39"/>
      <c r="AXG194" s="39"/>
      <c r="AXH194" s="39"/>
      <c r="AXI194" s="39"/>
      <c r="AXJ194" s="39"/>
      <c r="AXK194" s="39"/>
      <c r="AXL194" s="39"/>
      <c r="AXM194" s="39"/>
      <c r="AXN194" s="39"/>
      <c r="AXO194" s="39"/>
      <c r="AXP194" s="39"/>
      <c r="AXQ194" s="39"/>
      <c r="AXR194" s="39"/>
      <c r="AXS194" s="39"/>
      <c r="AXT194" s="39"/>
      <c r="AXU194" s="39"/>
      <c r="AXV194" s="39"/>
      <c r="AXW194" s="39"/>
      <c r="AXX194" s="39"/>
    </row>
    <row r="195" spans="1:1324" s="68" customFormat="1">
      <c r="A195" s="69"/>
      <c r="C195" s="70"/>
      <c r="D195" s="70"/>
      <c r="E195" s="70"/>
      <c r="F195" s="71"/>
      <c r="G195" s="72"/>
      <c r="H195" s="72"/>
      <c r="I195" s="72"/>
      <c r="J195" s="72"/>
      <c r="K195" s="70"/>
      <c r="M195" s="70"/>
      <c r="N195" s="70"/>
      <c r="O195" s="70"/>
      <c r="P195" s="70"/>
      <c r="Q195" s="70"/>
      <c r="R195" s="70"/>
      <c r="S195" s="70"/>
      <c r="T195" s="70"/>
    </row>
    <row r="196" spans="1:1324">
      <c r="A196" s="73"/>
    </row>
    <row r="197" spans="1:1324" s="68" customFormat="1">
      <c r="A197" s="70"/>
      <c r="C197" s="70"/>
      <c r="D197" s="70"/>
      <c r="E197" s="70"/>
      <c r="F197" s="71"/>
      <c r="G197" s="72"/>
      <c r="H197" s="72"/>
      <c r="I197" s="72"/>
      <c r="J197" s="72"/>
      <c r="K197" s="70"/>
      <c r="M197" s="70"/>
      <c r="N197" s="70"/>
      <c r="O197" s="70"/>
      <c r="P197" s="70"/>
      <c r="Q197" s="70"/>
      <c r="R197" s="70"/>
      <c r="S197" s="70"/>
      <c r="T197" s="70"/>
    </row>
    <row r="198" spans="1:1324" s="68" customFormat="1">
      <c r="A198" s="70"/>
      <c r="C198" s="70"/>
      <c r="D198" s="70"/>
      <c r="E198" s="70"/>
      <c r="F198" s="71"/>
      <c r="G198" s="72"/>
      <c r="H198" s="72"/>
      <c r="I198" s="72"/>
      <c r="J198" s="72"/>
      <c r="K198" s="70"/>
      <c r="M198" s="70"/>
      <c r="N198" s="70"/>
      <c r="O198" s="70"/>
      <c r="P198" s="70"/>
      <c r="Q198" s="70"/>
      <c r="R198" s="70"/>
      <c r="S198" s="70"/>
      <c r="T198" s="70"/>
    </row>
    <row r="199" spans="1:1324">
      <c r="A199" s="73"/>
    </row>
    <row r="201" spans="1:1324">
      <c r="B201" s="68" t="s">
        <v>279</v>
      </c>
    </row>
    <row r="202" spans="1:1324">
      <c r="A202" s="69"/>
    </row>
    <row r="203" spans="1:1324">
      <c r="A203" s="69"/>
    </row>
    <row r="204" spans="1:1324">
      <c r="A204" s="69"/>
    </row>
    <row r="205" spans="1:1324">
      <c r="A205" s="69"/>
    </row>
    <row r="206" spans="1:1324">
      <c r="A206" s="69"/>
    </row>
    <row r="207" spans="1:1324">
      <c r="A207" s="69"/>
    </row>
    <row r="208" spans="1:1324">
      <c r="A208" s="69"/>
    </row>
    <row r="209" spans="1:20">
      <c r="A209" s="69"/>
    </row>
    <row r="210" spans="1:20">
      <c r="A210" s="69"/>
    </row>
    <row r="211" spans="1:20">
      <c r="A211" s="69"/>
    </row>
    <row r="212" spans="1:20">
      <c r="A212" s="69"/>
    </row>
    <row r="213" spans="1:20">
      <c r="A213" s="69"/>
    </row>
    <row r="214" spans="1:20">
      <c r="A214" s="69"/>
    </row>
    <row r="215" spans="1:20">
      <c r="A215" s="69"/>
    </row>
    <row r="216" spans="1:20" s="68" customFormat="1">
      <c r="A216" s="69"/>
      <c r="C216" s="70"/>
      <c r="D216" s="70"/>
      <c r="E216" s="70"/>
      <c r="F216" s="71"/>
      <c r="G216" s="72"/>
      <c r="H216" s="72"/>
      <c r="I216" s="72"/>
      <c r="J216" s="72"/>
      <c r="K216" s="70"/>
      <c r="M216" s="70"/>
      <c r="N216" s="70"/>
      <c r="O216" s="70"/>
      <c r="P216" s="70"/>
      <c r="Q216" s="70"/>
      <c r="R216" s="70"/>
      <c r="S216" s="70"/>
      <c r="T216" s="70"/>
    </row>
    <row r="217" spans="1:20" s="68" customFormat="1">
      <c r="A217" s="74"/>
      <c r="C217" s="70"/>
      <c r="D217" s="70"/>
      <c r="E217" s="70"/>
      <c r="F217" s="71"/>
      <c r="G217" s="72"/>
      <c r="H217" s="72"/>
      <c r="I217" s="72"/>
      <c r="J217" s="72"/>
      <c r="K217" s="70"/>
      <c r="M217" s="70"/>
      <c r="N217" s="70"/>
      <c r="O217" s="70"/>
      <c r="P217" s="70"/>
      <c r="Q217" s="70"/>
      <c r="R217" s="70"/>
      <c r="S217" s="70"/>
      <c r="T217" s="70"/>
    </row>
    <row r="218" spans="1:20" s="68" customFormat="1">
      <c r="A218" s="69"/>
      <c r="C218" s="70"/>
      <c r="D218" s="70"/>
      <c r="E218" s="70"/>
      <c r="F218" s="71"/>
      <c r="G218" s="72"/>
      <c r="H218" s="72"/>
      <c r="I218" s="72"/>
      <c r="J218" s="72"/>
      <c r="K218" s="70"/>
      <c r="M218" s="70"/>
      <c r="N218" s="70"/>
      <c r="O218" s="70"/>
      <c r="P218" s="70"/>
      <c r="Q218" s="70"/>
      <c r="R218" s="70"/>
      <c r="S218" s="70"/>
      <c r="T218" s="70"/>
    </row>
    <row r="219" spans="1:20" s="68" customFormat="1">
      <c r="A219" s="69"/>
      <c r="C219" s="70"/>
      <c r="D219" s="70"/>
      <c r="E219" s="70"/>
      <c r="F219" s="71"/>
      <c r="G219" s="72"/>
      <c r="H219" s="72"/>
      <c r="I219" s="72"/>
      <c r="J219" s="72"/>
      <c r="K219" s="70"/>
      <c r="M219" s="70"/>
      <c r="N219" s="70"/>
      <c r="O219" s="70"/>
      <c r="P219" s="70"/>
      <c r="Q219" s="70"/>
      <c r="R219" s="70"/>
      <c r="S219" s="70"/>
      <c r="T219" s="70"/>
    </row>
    <row r="220" spans="1:20" s="68" customFormat="1">
      <c r="A220" s="74"/>
      <c r="C220" s="70"/>
      <c r="D220" s="70"/>
      <c r="E220" s="70"/>
      <c r="F220" s="71"/>
      <c r="G220" s="72"/>
      <c r="H220" s="72"/>
      <c r="I220" s="72"/>
      <c r="J220" s="72"/>
      <c r="K220" s="70"/>
      <c r="M220" s="70"/>
      <c r="N220" s="70"/>
      <c r="O220" s="70"/>
      <c r="P220" s="70"/>
      <c r="Q220" s="70"/>
      <c r="R220" s="70"/>
      <c r="S220" s="70"/>
      <c r="T220" s="70"/>
    </row>
    <row r="221" spans="1:20" s="68" customFormat="1">
      <c r="A221" s="74"/>
      <c r="C221" s="70"/>
      <c r="D221" s="70"/>
      <c r="E221" s="70"/>
      <c r="F221" s="71"/>
      <c r="G221" s="72"/>
      <c r="H221" s="72"/>
      <c r="I221" s="72"/>
      <c r="J221" s="72"/>
      <c r="K221" s="70"/>
      <c r="M221" s="70"/>
      <c r="N221" s="70"/>
      <c r="O221" s="70"/>
      <c r="P221" s="70"/>
      <c r="Q221" s="70"/>
      <c r="R221" s="70"/>
      <c r="S221" s="70"/>
      <c r="T221" s="70"/>
    </row>
    <row r="222" spans="1:20" s="68" customFormat="1">
      <c r="A222" s="69"/>
      <c r="C222" s="70"/>
      <c r="D222" s="70"/>
      <c r="E222" s="70"/>
      <c r="F222" s="71"/>
      <c r="G222" s="72"/>
      <c r="H222" s="72"/>
      <c r="I222" s="72"/>
      <c r="J222" s="72"/>
      <c r="K222" s="70"/>
      <c r="M222" s="70"/>
      <c r="N222" s="70"/>
      <c r="O222" s="70"/>
      <c r="P222" s="70"/>
      <c r="Q222" s="70"/>
      <c r="R222" s="70"/>
      <c r="S222" s="70"/>
      <c r="T222" s="70"/>
    </row>
    <row r="223" spans="1:20" s="68" customFormat="1">
      <c r="A223" s="69"/>
      <c r="C223" s="70"/>
      <c r="D223" s="70"/>
      <c r="E223" s="70"/>
      <c r="F223" s="71"/>
      <c r="G223" s="72"/>
      <c r="H223" s="72"/>
      <c r="I223" s="72"/>
      <c r="J223" s="72"/>
      <c r="K223" s="70"/>
      <c r="M223" s="70"/>
      <c r="N223" s="70"/>
      <c r="O223" s="70"/>
      <c r="P223" s="70"/>
      <c r="Q223" s="70"/>
      <c r="R223" s="70"/>
      <c r="S223" s="70"/>
      <c r="T223" s="70"/>
    </row>
    <row r="224" spans="1:20" s="68" customFormat="1">
      <c r="A224" s="69"/>
      <c r="C224" s="70"/>
      <c r="D224" s="70"/>
      <c r="E224" s="70"/>
      <c r="F224" s="71"/>
      <c r="G224" s="72"/>
      <c r="H224" s="72"/>
      <c r="I224" s="72"/>
      <c r="J224" s="72"/>
      <c r="K224" s="70"/>
      <c r="M224" s="70"/>
      <c r="N224" s="70"/>
      <c r="O224" s="70"/>
      <c r="P224" s="70"/>
      <c r="Q224" s="70"/>
      <c r="R224" s="70"/>
      <c r="S224" s="70"/>
      <c r="T224" s="70"/>
    </row>
    <row r="225" spans="1:20" s="68" customFormat="1">
      <c r="A225" s="69"/>
      <c r="C225" s="70"/>
      <c r="D225" s="70"/>
      <c r="E225" s="70"/>
      <c r="F225" s="71"/>
      <c r="G225" s="72"/>
      <c r="H225" s="72"/>
      <c r="I225" s="72"/>
      <c r="J225" s="72"/>
      <c r="K225" s="70"/>
      <c r="M225" s="70"/>
      <c r="N225" s="70"/>
      <c r="O225" s="70"/>
      <c r="P225" s="70"/>
      <c r="Q225" s="70"/>
      <c r="R225" s="70"/>
      <c r="S225" s="70"/>
      <c r="T225" s="70"/>
    </row>
    <row r="226" spans="1:20" s="68" customFormat="1">
      <c r="A226" s="75"/>
      <c r="C226" s="70"/>
      <c r="D226" s="70"/>
      <c r="E226" s="70"/>
      <c r="F226" s="71"/>
      <c r="G226" s="72"/>
      <c r="H226" s="72"/>
      <c r="I226" s="72"/>
      <c r="J226" s="72"/>
      <c r="K226" s="70"/>
      <c r="M226" s="70"/>
      <c r="N226" s="70"/>
      <c r="O226" s="70"/>
      <c r="P226" s="70"/>
      <c r="Q226" s="70"/>
      <c r="R226" s="70"/>
      <c r="S226" s="70"/>
      <c r="T226" s="70"/>
    </row>
    <row r="227" spans="1:20" s="68" customFormat="1">
      <c r="A227" s="69"/>
      <c r="C227" s="70"/>
      <c r="D227" s="70"/>
      <c r="E227" s="70"/>
      <c r="F227" s="71"/>
      <c r="G227" s="72"/>
      <c r="H227" s="72"/>
      <c r="I227" s="72"/>
      <c r="J227" s="72"/>
      <c r="K227" s="70"/>
      <c r="M227" s="70"/>
      <c r="N227" s="70"/>
      <c r="O227" s="70"/>
      <c r="P227" s="70"/>
      <c r="Q227" s="70"/>
      <c r="R227" s="70"/>
      <c r="S227" s="70"/>
      <c r="T227" s="70"/>
    </row>
    <row r="228" spans="1:20" s="68" customFormat="1">
      <c r="A228" s="76"/>
      <c r="C228" s="70"/>
      <c r="D228" s="70"/>
      <c r="E228" s="70"/>
      <c r="F228" s="71"/>
      <c r="G228" s="72"/>
      <c r="H228" s="72"/>
      <c r="I228" s="72"/>
      <c r="J228" s="72"/>
      <c r="K228" s="70"/>
      <c r="M228" s="70"/>
      <c r="N228" s="70"/>
      <c r="O228" s="70"/>
      <c r="P228" s="70"/>
      <c r="Q228" s="70"/>
      <c r="R228" s="70"/>
      <c r="S228" s="70"/>
      <c r="T228" s="70"/>
    </row>
    <row r="229" spans="1:20" s="68" customFormat="1">
      <c r="A229" s="76"/>
      <c r="C229" s="70"/>
      <c r="D229" s="70"/>
      <c r="E229" s="70"/>
      <c r="F229" s="71"/>
      <c r="G229" s="72"/>
      <c r="H229" s="72"/>
      <c r="I229" s="72"/>
      <c r="J229" s="72"/>
      <c r="K229" s="70"/>
      <c r="M229" s="70"/>
      <c r="N229" s="70"/>
      <c r="O229" s="70"/>
      <c r="P229" s="70"/>
      <c r="Q229" s="70"/>
      <c r="R229" s="70"/>
      <c r="S229" s="70"/>
      <c r="T229" s="70"/>
    </row>
    <row r="230" spans="1:20" s="68" customFormat="1">
      <c r="A230" s="69"/>
      <c r="C230" s="70"/>
      <c r="D230" s="70"/>
      <c r="E230" s="70"/>
      <c r="F230" s="71"/>
      <c r="G230" s="72"/>
      <c r="H230" s="72"/>
      <c r="I230" s="72"/>
      <c r="J230" s="72"/>
      <c r="K230" s="70"/>
      <c r="M230" s="70"/>
      <c r="N230" s="70"/>
      <c r="O230" s="70"/>
      <c r="P230" s="70"/>
      <c r="Q230" s="70"/>
      <c r="R230" s="70"/>
      <c r="S230" s="70"/>
      <c r="T230" s="70"/>
    </row>
    <row r="231" spans="1:20" s="68" customFormat="1">
      <c r="A231" s="76"/>
      <c r="C231" s="70"/>
      <c r="D231" s="70"/>
      <c r="E231" s="70"/>
      <c r="F231" s="71"/>
      <c r="G231" s="72"/>
      <c r="H231" s="72"/>
      <c r="I231" s="72"/>
      <c r="J231" s="72"/>
      <c r="K231" s="70"/>
      <c r="M231" s="70"/>
      <c r="N231" s="70"/>
      <c r="O231" s="70"/>
      <c r="P231" s="70"/>
      <c r="Q231" s="70"/>
      <c r="R231" s="70"/>
      <c r="S231" s="70"/>
      <c r="T231" s="70"/>
    </row>
    <row r="232" spans="1:20" s="68" customFormat="1">
      <c r="A232" s="156"/>
      <c r="C232" s="70"/>
      <c r="D232" s="70"/>
      <c r="E232" s="70"/>
      <c r="F232" s="71"/>
      <c r="G232" s="72"/>
      <c r="H232" s="72"/>
      <c r="I232" s="72"/>
      <c r="J232" s="72"/>
      <c r="K232" s="70"/>
      <c r="M232" s="70"/>
      <c r="N232" s="70"/>
      <c r="O232" s="70"/>
      <c r="P232" s="70"/>
      <c r="Q232" s="70"/>
      <c r="R232" s="70"/>
      <c r="S232" s="70"/>
      <c r="T232" s="70"/>
    </row>
    <row r="233" spans="1:20" s="68" customFormat="1">
      <c r="A233" s="74"/>
      <c r="C233" s="70"/>
      <c r="D233" s="70"/>
      <c r="E233" s="70"/>
      <c r="F233" s="71"/>
      <c r="G233" s="72"/>
      <c r="H233" s="72"/>
      <c r="I233" s="72"/>
      <c r="J233" s="72"/>
      <c r="K233" s="70"/>
      <c r="M233" s="70"/>
      <c r="N233" s="70"/>
      <c r="O233" s="70"/>
      <c r="P233" s="70"/>
      <c r="Q233" s="70"/>
      <c r="R233" s="70"/>
      <c r="S233" s="70"/>
      <c r="T233" s="70"/>
    </row>
    <row r="234" spans="1:20" s="68" customFormat="1">
      <c r="A234" s="69"/>
      <c r="C234" s="70"/>
      <c r="D234" s="70"/>
      <c r="E234" s="70"/>
      <c r="F234" s="71"/>
      <c r="G234" s="72"/>
      <c r="H234" s="72"/>
      <c r="I234" s="72"/>
      <c r="J234" s="72"/>
      <c r="K234" s="70"/>
      <c r="M234" s="70"/>
      <c r="N234" s="70"/>
      <c r="O234" s="70"/>
      <c r="P234" s="70"/>
      <c r="Q234" s="70"/>
      <c r="R234" s="70"/>
      <c r="S234" s="70"/>
      <c r="T234" s="70"/>
    </row>
    <row r="235" spans="1:20" s="68" customFormat="1">
      <c r="A235" s="69"/>
      <c r="C235" s="70"/>
      <c r="D235" s="70"/>
      <c r="E235" s="70"/>
      <c r="F235" s="71"/>
      <c r="G235" s="72"/>
      <c r="H235" s="72"/>
      <c r="I235" s="72"/>
      <c r="J235" s="72"/>
      <c r="K235" s="70"/>
      <c r="M235" s="70"/>
      <c r="N235" s="70"/>
      <c r="O235" s="70"/>
      <c r="P235" s="70"/>
      <c r="Q235" s="70"/>
      <c r="R235" s="70"/>
      <c r="S235" s="70"/>
      <c r="T235" s="70"/>
    </row>
    <row r="236" spans="1:20" s="68" customFormat="1">
      <c r="A236" s="69"/>
      <c r="C236" s="70"/>
      <c r="D236" s="70"/>
      <c r="E236" s="70"/>
      <c r="F236" s="71"/>
      <c r="G236" s="72"/>
      <c r="H236" s="72"/>
      <c r="I236" s="72"/>
      <c r="J236" s="72"/>
      <c r="K236" s="70"/>
      <c r="M236" s="70"/>
      <c r="N236" s="70"/>
      <c r="O236" s="70"/>
      <c r="P236" s="70"/>
      <c r="Q236" s="70"/>
      <c r="R236" s="70"/>
      <c r="S236" s="70"/>
      <c r="T236" s="70"/>
    </row>
    <row r="237" spans="1:20" s="68" customFormat="1">
      <c r="A237" s="69"/>
      <c r="C237" s="70"/>
      <c r="D237" s="70"/>
      <c r="E237" s="70"/>
      <c r="F237" s="71"/>
      <c r="G237" s="72"/>
      <c r="H237" s="72"/>
      <c r="I237" s="72"/>
      <c r="J237" s="72"/>
      <c r="K237" s="70"/>
      <c r="M237" s="70"/>
      <c r="N237" s="70"/>
      <c r="O237" s="70"/>
      <c r="P237" s="70"/>
      <c r="Q237" s="70"/>
      <c r="R237" s="70"/>
      <c r="S237" s="70"/>
      <c r="T237" s="70"/>
    </row>
    <row r="238" spans="1:20" s="68" customFormat="1">
      <c r="A238" s="69"/>
      <c r="C238" s="70"/>
      <c r="D238" s="70"/>
      <c r="E238" s="70"/>
      <c r="F238" s="71"/>
      <c r="G238" s="72"/>
      <c r="H238" s="72"/>
      <c r="I238" s="72"/>
      <c r="J238" s="72"/>
      <c r="K238" s="70"/>
      <c r="M238" s="70"/>
      <c r="N238" s="70"/>
      <c r="O238" s="70"/>
      <c r="P238" s="70"/>
      <c r="Q238" s="70"/>
      <c r="R238" s="70"/>
      <c r="S238" s="70"/>
      <c r="T238" s="70"/>
    </row>
    <row r="239" spans="1:20" s="68" customFormat="1">
      <c r="A239" s="69"/>
      <c r="C239" s="70"/>
      <c r="D239" s="70"/>
      <c r="E239" s="70"/>
      <c r="F239" s="71"/>
      <c r="G239" s="72"/>
      <c r="H239" s="72"/>
      <c r="I239" s="72"/>
      <c r="J239" s="72"/>
      <c r="K239" s="70"/>
      <c r="M239" s="70"/>
      <c r="N239" s="70"/>
      <c r="O239" s="70"/>
      <c r="P239" s="70"/>
      <c r="Q239" s="70"/>
      <c r="R239" s="70"/>
      <c r="S239" s="70"/>
      <c r="T239" s="70"/>
    </row>
    <row r="240" spans="1:20" s="68" customFormat="1">
      <c r="A240" s="69"/>
      <c r="C240" s="70"/>
      <c r="D240" s="70"/>
      <c r="E240" s="70"/>
      <c r="F240" s="71"/>
      <c r="G240" s="72"/>
      <c r="H240" s="72"/>
      <c r="I240" s="72"/>
      <c r="J240" s="72"/>
      <c r="K240" s="70"/>
      <c r="M240" s="70"/>
      <c r="N240" s="70"/>
      <c r="O240" s="70"/>
      <c r="P240" s="70"/>
      <c r="Q240" s="70"/>
      <c r="R240" s="70"/>
      <c r="S240" s="70"/>
      <c r="T240" s="70"/>
    </row>
    <row r="241" spans="1:20" s="68" customFormat="1">
      <c r="A241" s="69"/>
      <c r="C241" s="70"/>
      <c r="D241" s="70"/>
      <c r="E241" s="70"/>
      <c r="F241" s="71"/>
      <c r="G241" s="72"/>
      <c r="H241" s="72"/>
      <c r="I241" s="72"/>
      <c r="J241" s="72"/>
      <c r="K241" s="70"/>
      <c r="M241" s="70"/>
      <c r="N241" s="70"/>
      <c r="O241" s="70"/>
      <c r="P241" s="70"/>
      <c r="Q241" s="70"/>
      <c r="R241" s="70"/>
      <c r="S241" s="70"/>
      <c r="T241" s="70"/>
    </row>
    <row r="242" spans="1:20" s="68" customFormat="1">
      <c r="A242" s="69"/>
      <c r="C242" s="70"/>
      <c r="D242" s="70"/>
      <c r="E242" s="70"/>
      <c r="F242" s="71"/>
      <c r="G242" s="72"/>
      <c r="H242" s="72"/>
      <c r="I242" s="72"/>
      <c r="J242" s="72"/>
      <c r="K242" s="70"/>
      <c r="M242" s="70"/>
      <c r="N242" s="70"/>
      <c r="O242" s="70"/>
      <c r="P242" s="70"/>
      <c r="Q242" s="70"/>
      <c r="R242" s="70"/>
      <c r="S242" s="70"/>
      <c r="T242" s="70"/>
    </row>
    <row r="243" spans="1:20" s="68" customFormat="1">
      <c r="A243" s="69"/>
      <c r="C243" s="70"/>
      <c r="D243" s="70"/>
      <c r="E243" s="70"/>
      <c r="F243" s="71"/>
      <c r="G243" s="72"/>
      <c r="H243" s="72"/>
      <c r="I243" s="72"/>
      <c r="J243" s="72"/>
      <c r="K243" s="70"/>
      <c r="M243" s="70"/>
      <c r="N243" s="70"/>
      <c r="O243" s="70"/>
      <c r="P243" s="70"/>
      <c r="Q243" s="70"/>
      <c r="R243" s="70"/>
      <c r="S243" s="70"/>
      <c r="T243" s="70"/>
    </row>
    <row r="244" spans="1:20" s="68" customFormat="1">
      <c r="A244" s="69"/>
      <c r="C244" s="70"/>
      <c r="D244" s="70"/>
      <c r="E244" s="70"/>
      <c r="F244" s="71"/>
      <c r="G244" s="72"/>
      <c r="H244" s="72"/>
      <c r="I244" s="72"/>
      <c r="J244" s="72"/>
      <c r="K244" s="70"/>
      <c r="M244" s="70"/>
      <c r="N244" s="70"/>
      <c r="O244" s="70"/>
      <c r="P244" s="70"/>
      <c r="Q244" s="70"/>
      <c r="R244" s="70"/>
      <c r="S244" s="70"/>
      <c r="T244" s="70"/>
    </row>
    <row r="245" spans="1:20" s="68" customFormat="1">
      <c r="A245" s="69"/>
      <c r="C245" s="70"/>
      <c r="D245" s="70"/>
      <c r="E245" s="70"/>
      <c r="F245" s="71"/>
      <c r="G245" s="72"/>
      <c r="H245" s="72"/>
      <c r="I245" s="72"/>
      <c r="J245" s="72"/>
      <c r="K245" s="70"/>
      <c r="M245" s="70"/>
      <c r="N245" s="70"/>
      <c r="O245" s="70"/>
      <c r="P245" s="70"/>
      <c r="Q245" s="70"/>
      <c r="R245" s="70"/>
      <c r="S245" s="70"/>
      <c r="T245" s="70"/>
    </row>
    <row r="246" spans="1:20" s="68" customFormat="1">
      <c r="A246" s="69"/>
      <c r="C246" s="70"/>
      <c r="D246" s="70"/>
      <c r="E246" s="70"/>
      <c r="F246" s="71"/>
      <c r="G246" s="72"/>
      <c r="H246" s="72"/>
      <c r="I246" s="72"/>
      <c r="J246" s="72"/>
      <c r="K246" s="70"/>
      <c r="M246" s="70"/>
      <c r="N246" s="70"/>
      <c r="O246" s="70"/>
      <c r="P246" s="70"/>
      <c r="Q246" s="70"/>
      <c r="R246" s="70"/>
      <c r="S246" s="70"/>
      <c r="T246" s="70"/>
    </row>
    <row r="247" spans="1:20" s="68" customFormat="1">
      <c r="A247" s="69"/>
      <c r="C247" s="70"/>
      <c r="D247" s="70"/>
      <c r="E247" s="70"/>
      <c r="F247" s="71"/>
      <c r="G247" s="72"/>
      <c r="H247" s="72"/>
      <c r="I247" s="72"/>
      <c r="J247" s="72"/>
      <c r="K247" s="70"/>
      <c r="M247" s="70"/>
      <c r="N247" s="70"/>
      <c r="O247" s="70"/>
      <c r="P247" s="70"/>
      <c r="Q247" s="70"/>
      <c r="R247" s="70"/>
      <c r="S247" s="70"/>
      <c r="T247" s="70"/>
    </row>
    <row r="248" spans="1:20" s="68" customFormat="1">
      <c r="A248" s="69"/>
      <c r="C248" s="70"/>
      <c r="D248" s="70"/>
      <c r="E248" s="70"/>
      <c r="F248" s="71"/>
      <c r="G248" s="72"/>
      <c r="H248" s="72"/>
      <c r="I248" s="72"/>
      <c r="J248" s="72"/>
      <c r="K248" s="70"/>
      <c r="M248" s="70"/>
      <c r="N248" s="70"/>
      <c r="O248" s="70"/>
      <c r="P248" s="70"/>
      <c r="Q248" s="70"/>
      <c r="R248" s="70"/>
      <c r="S248" s="70"/>
      <c r="T248" s="70"/>
    </row>
    <row r="249" spans="1:20" s="68" customFormat="1">
      <c r="A249" s="69"/>
      <c r="C249" s="70"/>
      <c r="D249" s="70"/>
      <c r="E249" s="70"/>
      <c r="F249" s="71"/>
      <c r="G249" s="72"/>
      <c r="H249" s="72"/>
      <c r="I249" s="72"/>
      <c r="J249" s="72"/>
      <c r="K249" s="70"/>
      <c r="M249" s="70"/>
      <c r="N249" s="70"/>
      <c r="O249" s="70"/>
      <c r="P249" s="70"/>
      <c r="Q249" s="70"/>
      <c r="R249" s="70"/>
      <c r="S249" s="70"/>
      <c r="T249" s="70"/>
    </row>
    <row r="250" spans="1:20" s="68" customFormat="1">
      <c r="A250" s="69"/>
      <c r="C250" s="70"/>
      <c r="D250" s="70"/>
      <c r="E250" s="70"/>
      <c r="F250" s="71"/>
      <c r="G250" s="72"/>
      <c r="H250" s="72"/>
      <c r="I250" s="72"/>
      <c r="J250" s="72"/>
      <c r="K250" s="70"/>
      <c r="M250" s="70"/>
      <c r="N250" s="70"/>
      <c r="O250" s="70"/>
      <c r="P250" s="70"/>
      <c r="Q250" s="70"/>
      <c r="R250" s="70"/>
      <c r="S250" s="70"/>
      <c r="T250" s="70"/>
    </row>
    <row r="251" spans="1:20" s="68" customFormat="1">
      <c r="A251" s="69"/>
      <c r="C251" s="70"/>
      <c r="D251" s="70"/>
      <c r="E251" s="70"/>
      <c r="F251" s="71"/>
      <c r="G251" s="72"/>
      <c r="H251" s="72"/>
      <c r="I251" s="72"/>
      <c r="J251" s="72"/>
      <c r="K251" s="70"/>
      <c r="M251" s="70"/>
      <c r="N251" s="70"/>
      <c r="O251" s="70"/>
      <c r="P251" s="70"/>
      <c r="Q251" s="70"/>
      <c r="R251" s="70"/>
      <c r="S251" s="70"/>
      <c r="T251" s="70"/>
    </row>
    <row r="252" spans="1:20" s="68" customFormat="1">
      <c r="A252" s="69"/>
      <c r="C252" s="70"/>
      <c r="D252" s="70"/>
      <c r="E252" s="70"/>
      <c r="F252" s="71"/>
      <c r="G252" s="72"/>
      <c r="H252" s="72"/>
      <c r="I252" s="72"/>
      <c r="J252" s="72"/>
      <c r="K252" s="70"/>
      <c r="M252" s="70"/>
      <c r="N252" s="70"/>
      <c r="O252" s="70"/>
      <c r="P252" s="70"/>
      <c r="Q252" s="70"/>
      <c r="R252" s="70"/>
      <c r="S252" s="70"/>
      <c r="T252" s="70"/>
    </row>
    <row r="253" spans="1:20" s="68" customFormat="1">
      <c r="A253" s="69"/>
      <c r="C253" s="70"/>
      <c r="D253" s="70"/>
      <c r="E253" s="70"/>
      <c r="F253" s="71"/>
      <c r="G253" s="72"/>
      <c r="H253" s="72"/>
      <c r="I253" s="72"/>
      <c r="J253" s="72"/>
      <c r="K253" s="70"/>
      <c r="M253" s="70"/>
      <c r="N253" s="70"/>
      <c r="O253" s="70"/>
      <c r="P253" s="70"/>
      <c r="Q253" s="70"/>
      <c r="R253" s="70"/>
      <c r="S253" s="70"/>
      <c r="T253" s="70"/>
    </row>
    <row r="254" spans="1:20" s="68" customFormat="1">
      <c r="A254" s="69"/>
      <c r="C254" s="70"/>
      <c r="D254" s="70"/>
      <c r="E254" s="70"/>
      <c r="F254" s="71"/>
      <c r="G254" s="72"/>
      <c r="H254" s="72"/>
      <c r="I254" s="72"/>
      <c r="J254" s="72"/>
      <c r="K254" s="70"/>
      <c r="M254" s="70"/>
      <c r="N254" s="70"/>
      <c r="O254" s="70"/>
      <c r="P254" s="70"/>
      <c r="Q254" s="70"/>
      <c r="R254" s="70"/>
      <c r="S254" s="70"/>
      <c r="T254" s="70"/>
    </row>
    <row r="255" spans="1:20" s="68" customFormat="1">
      <c r="A255" s="69"/>
      <c r="C255" s="70"/>
      <c r="D255" s="70"/>
      <c r="E255" s="70"/>
      <c r="F255" s="71"/>
      <c r="G255" s="72"/>
      <c r="H255" s="72"/>
      <c r="I255" s="72"/>
      <c r="J255" s="72"/>
      <c r="K255" s="70"/>
      <c r="M255" s="70"/>
      <c r="N255" s="70"/>
      <c r="O255" s="70"/>
      <c r="P255" s="70"/>
      <c r="Q255" s="70"/>
      <c r="R255" s="70"/>
      <c r="S255" s="70"/>
      <c r="T255" s="70"/>
    </row>
    <row r="256" spans="1:20" s="68" customFormat="1">
      <c r="A256" s="69"/>
      <c r="C256" s="70"/>
      <c r="D256" s="70"/>
      <c r="E256" s="70"/>
      <c r="F256" s="71"/>
      <c r="G256" s="72"/>
      <c r="H256" s="72"/>
      <c r="I256" s="72"/>
      <c r="J256" s="72"/>
      <c r="K256" s="70"/>
      <c r="M256" s="70"/>
      <c r="N256" s="70"/>
      <c r="O256" s="70"/>
      <c r="P256" s="70"/>
      <c r="Q256" s="70"/>
      <c r="R256" s="70"/>
      <c r="S256" s="70"/>
      <c r="T256" s="70"/>
    </row>
    <row r="257" spans="1:20" s="68" customFormat="1">
      <c r="A257" s="69"/>
      <c r="C257" s="70"/>
      <c r="D257" s="70"/>
      <c r="E257" s="70"/>
      <c r="F257" s="71"/>
      <c r="G257" s="72"/>
      <c r="H257" s="72"/>
      <c r="I257" s="72"/>
      <c r="J257" s="72"/>
      <c r="K257" s="70"/>
      <c r="M257" s="70"/>
      <c r="N257" s="70"/>
      <c r="O257" s="70"/>
      <c r="P257" s="70"/>
      <c r="Q257" s="70"/>
      <c r="R257" s="70"/>
      <c r="S257" s="70"/>
      <c r="T257" s="70"/>
    </row>
    <row r="258" spans="1:20" s="68" customFormat="1">
      <c r="A258" s="69"/>
      <c r="C258" s="70"/>
      <c r="D258" s="70"/>
      <c r="E258" s="70"/>
      <c r="F258" s="71"/>
      <c r="G258" s="72"/>
      <c r="H258" s="72"/>
      <c r="I258" s="72"/>
      <c r="J258" s="72"/>
      <c r="K258" s="70"/>
      <c r="M258" s="70"/>
      <c r="N258" s="70"/>
      <c r="O258" s="70"/>
      <c r="P258" s="70"/>
      <c r="Q258" s="70"/>
      <c r="R258" s="70"/>
      <c r="S258" s="70"/>
      <c r="T258" s="70"/>
    </row>
    <row r="259" spans="1:20" s="68" customFormat="1">
      <c r="A259" s="69"/>
      <c r="C259" s="70"/>
      <c r="D259" s="70"/>
      <c r="E259" s="70"/>
      <c r="F259" s="71"/>
      <c r="G259" s="72"/>
      <c r="H259" s="72"/>
      <c r="I259" s="72"/>
      <c r="J259" s="72"/>
      <c r="K259" s="70"/>
      <c r="M259" s="70"/>
      <c r="N259" s="70"/>
      <c r="O259" s="70"/>
      <c r="P259" s="70"/>
      <c r="Q259" s="70"/>
      <c r="R259" s="70"/>
      <c r="S259" s="70"/>
      <c r="T259" s="70"/>
    </row>
    <row r="260" spans="1:20" s="68" customFormat="1">
      <c r="A260" s="69"/>
      <c r="C260" s="70"/>
      <c r="D260" s="70"/>
      <c r="E260" s="70"/>
      <c r="F260" s="71"/>
      <c r="G260" s="72"/>
      <c r="H260" s="72"/>
      <c r="I260" s="72"/>
      <c r="J260" s="72"/>
      <c r="K260" s="70"/>
      <c r="M260" s="70"/>
      <c r="N260" s="70"/>
      <c r="O260" s="70"/>
      <c r="P260" s="70"/>
      <c r="Q260" s="70"/>
      <c r="R260" s="70"/>
      <c r="S260" s="70"/>
      <c r="T260" s="70"/>
    </row>
    <row r="261" spans="1:20" s="68" customFormat="1">
      <c r="A261" s="69"/>
      <c r="C261" s="70"/>
      <c r="D261" s="70"/>
      <c r="E261" s="70"/>
      <c r="F261" s="71"/>
      <c r="G261" s="72"/>
      <c r="H261" s="72"/>
      <c r="I261" s="72"/>
      <c r="J261" s="72"/>
      <c r="K261" s="70"/>
      <c r="M261" s="70"/>
      <c r="N261" s="70"/>
      <c r="O261" s="70"/>
      <c r="P261" s="70"/>
      <c r="Q261" s="70"/>
      <c r="R261" s="70"/>
      <c r="S261" s="70"/>
      <c r="T261" s="70"/>
    </row>
    <row r="262" spans="1:20" s="68" customFormat="1">
      <c r="A262" s="69"/>
      <c r="C262" s="70"/>
      <c r="D262" s="70"/>
      <c r="E262" s="70"/>
      <c r="F262" s="71"/>
      <c r="G262" s="72"/>
      <c r="H262" s="72"/>
      <c r="I262" s="72"/>
      <c r="J262" s="72"/>
      <c r="K262" s="70"/>
      <c r="M262" s="70"/>
      <c r="N262" s="70"/>
      <c r="O262" s="70"/>
      <c r="P262" s="70"/>
      <c r="Q262" s="70"/>
      <c r="R262" s="70"/>
      <c r="S262" s="70"/>
      <c r="T262" s="70"/>
    </row>
    <row r="263" spans="1:20" s="68" customFormat="1">
      <c r="A263" s="69"/>
      <c r="C263" s="70"/>
      <c r="D263" s="70"/>
      <c r="E263" s="70"/>
      <c r="F263" s="71"/>
      <c r="G263" s="72"/>
      <c r="H263" s="72"/>
      <c r="I263" s="72"/>
      <c r="J263" s="72"/>
      <c r="K263" s="70"/>
      <c r="M263" s="70"/>
      <c r="N263" s="70"/>
      <c r="O263" s="70"/>
      <c r="P263" s="70"/>
      <c r="Q263" s="70"/>
      <c r="R263" s="70"/>
      <c r="S263" s="70"/>
      <c r="T263" s="70"/>
    </row>
    <row r="264" spans="1:20" s="68" customFormat="1">
      <c r="A264" s="69"/>
      <c r="C264" s="70"/>
      <c r="D264" s="70"/>
      <c r="E264" s="70"/>
      <c r="F264" s="71"/>
      <c r="G264" s="72"/>
      <c r="H264" s="72"/>
      <c r="I264" s="72"/>
      <c r="J264" s="72"/>
      <c r="K264" s="70"/>
      <c r="M264" s="70"/>
      <c r="N264" s="70"/>
      <c r="O264" s="70"/>
      <c r="P264" s="70"/>
      <c r="Q264" s="70"/>
      <c r="R264" s="70"/>
      <c r="S264" s="70"/>
      <c r="T264" s="70"/>
    </row>
    <row r="265" spans="1:20" s="68" customFormat="1">
      <c r="A265" s="69"/>
      <c r="C265" s="70"/>
      <c r="D265" s="70"/>
      <c r="E265" s="70"/>
      <c r="F265" s="71"/>
      <c r="G265" s="72"/>
      <c r="H265" s="72"/>
      <c r="I265" s="72"/>
      <c r="J265" s="72"/>
      <c r="K265" s="70"/>
      <c r="M265" s="70"/>
      <c r="N265" s="70"/>
      <c r="O265" s="70"/>
      <c r="P265" s="70"/>
      <c r="Q265" s="70"/>
      <c r="R265" s="70"/>
      <c r="S265" s="70"/>
      <c r="T265" s="70"/>
    </row>
    <row r="266" spans="1:20" s="68" customFormat="1">
      <c r="A266" s="69"/>
      <c r="C266" s="70"/>
      <c r="D266" s="70"/>
      <c r="E266" s="70"/>
      <c r="F266" s="71"/>
      <c r="G266" s="72"/>
      <c r="H266" s="72"/>
      <c r="I266" s="72"/>
      <c r="J266" s="72"/>
      <c r="K266" s="70"/>
      <c r="M266" s="70"/>
      <c r="N266" s="70"/>
      <c r="O266" s="70"/>
      <c r="P266" s="70"/>
      <c r="Q266" s="70"/>
      <c r="R266" s="70"/>
      <c r="S266" s="70"/>
      <c r="T266" s="70"/>
    </row>
    <row r="267" spans="1:20" s="68" customFormat="1">
      <c r="A267" s="69"/>
      <c r="C267" s="70"/>
      <c r="D267" s="70"/>
      <c r="E267" s="70"/>
      <c r="F267" s="71"/>
      <c r="G267" s="72"/>
      <c r="H267" s="72"/>
      <c r="I267" s="72"/>
      <c r="J267" s="72"/>
      <c r="K267" s="70"/>
      <c r="M267" s="70"/>
      <c r="N267" s="70"/>
      <c r="O267" s="70"/>
      <c r="P267" s="70"/>
      <c r="Q267" s="70"/>
      <c r="R267" s="70"/>
      <c r="S267" s="70"/>
      <c r="T267" s="70"/>
    </row>
    <row r="268" spans="1:20" s="68" customFormat="1">
      <c r="A268" s="69"/>
      <c r="C268" s="70"/>
      <c r="D268" s="70"/>
      <c r="E268" s="70"/>
      <c r="F268" s="71"/>
      <c r="G268" s="72"/>
      <c r="H268" s="72"/>
      <c r="I268" s="72"/>
      <c r="J268" s="72"/>
      <c r="K268" s="70"/>
      <c r="M268" s="70"/>
      <c r="N268" s="70"/>
      <c r="O268" s="70"/>
      <c r="P268" s="70"/>
      <c r="Q268" s="70"/>
      <c r="R268" s="70"/>
      <c r="S268" s="70"/>
      <c r="T268" s="70"/>
    </row>
    <row r="269" spans="1:20" s="68" customFormat="1">
      <c r="A269" s="69"/>
      <c r="C269" s="70"/>
      <c r="D269" s="70"/>
      <c r="E269" s="70"/>
      <c r="F269" s="71"/>
      <c r="G269" s="72"/>
      <c r="H269" s="72"/>
      <c r="I269" s="72"/>
      <c r="J269" s="72"/>
      <c r="K269" s="70"/>
      <c r="M269" s="70"/>
      <c r="N269" s="70"/>
      <c r="O269" s="70"/>
      <c r="P269" s="70"/>
      <c r="Q269" s="70"/>
      <c r="R269" s="70"/>
      <c r="S269" s="70"/>
      <c r="T269" s="70"/>
    </row>
    <row r="270" spans="1:20" s="68" customFormat="1">
      <c r="A270" s="69"/>
      <c r="C270" s="70"/>
      <c r="D270" s="70"/>
      <c r="E270" s="70"/>
      <c r="F270" s="71"/>
      <c r="G270" s="72"/>
      <c r="H270" s="72"/>
      <c r="I270" s="72"/>
      <c r="J270" s="72"/>
      <c r="K270" s="70"/>
      <c r="M270" s="70"/>
      <c r="N270" s="70"/>
      <c r="O270" s="70"/>
      <c r="P270" s="70"/>
      <c r="Q270" s="70"/>
      <c r="R270" s="70"/>
      <c r="S270" s="70"/>
      <c r="T270" s="70"/>
    </row>
    <row r="271" spans="1:20" s="68" customFormat="1">
      <c r="A271" s="69"/>
      <c r="C271" s="70"/>
      <c r="D271" s="70"/>
      <c r="E271" s="70"/>
      <c r="F271" s="71"/>
      <c r="G271" s="72"/>
      <c r="H271" s="72"/>
      <c r="I271" s="72"/>
      <c r="J271" s="72"/>
      <c r="K271" s="70"/>
      <c r="M271" s="70"/>
      <c r="N271" s="70"/>
      <c r="O271" s="70"/>
      <c r="P271" s="70"/>
      <c r="Q271" s="70"/>
      <c r="R271" s="70"/>
      <c r="S271" s="70"/>
      <c r="T271" s="70"/>
    </row>
    <row r="272" spans="1:20" s="68" customFormat="1">
      <c r="A272" s="69"/>
      <c r="C272" s="70"/>
      <c r="D272" s="70"/>
      <c r="E272" s="70"/>
      <c r="F272" s="71"/>
      <c r="G272" s="72"/>
      <c r="H272" s="72"/>
      <c r="I272" s="72"/>
      <c r="J272" s="72"/>
      <c r="K272" s="70"/>
      <c r="M272" s="70"/>
      <c r="N272" s="70"/>
      <c r="O272" s="70"/>
      <c r="P272" s="70"/>
      <c r="Q272" s="70"/>
      <c r="R272" s="70"/>
      <c r="S272" s="70"/>
      <c r="T272" s="70"/>
    </row>
    <row r="273" spans="1:20" s="68" customFormat="1">
      <c r="A273" s="69"/>
      <c r="C273" s="70"/>
      <c r="D273" s="70"/>
      <c r="E273" s="70"/>
      <c r="F273" s="71"/>
      <c r="G273" s="72"/>
      <c r="H273" s="72"/>
      <c r="I273" s="72"/>
      <c r="J273" s="72"/>
      <c r="K273" s="70"/>
      <c r="M273" s="70"/>
      <c r="N273" s="70"/>
      <c r="O273" s="70"/>
      <c r="P273" s="70"/>
      <c r="Q273" s="70"/>
      <c r="R273" s="70"/>
      <c r="S273" s="70"/>
      <c r="T273" s="70"/>
    </row>
    <row r="274" spans="1:20" s="68" customFormat="1">
      <c r="A274" s="69"/>
      <c r="C274" s="70"/>
      <c r="D274" s="70"/>
      <c r="E274" s="70"/>
      <c r="F274" s="71"/>
      <c r="G274" s="72"/>
      <c r="H274" s="72"/>
      <c r="I274" s="72"/>
      <c r="J274" s="72"/>
      <c r="K274" s="70"/>
      <c r="M274" s="70"/>
      <c r="N274" s="70"/>
      <c r="O274" s="70"/>
      <c r="P274" s="70"/>
      <c r="Q274" s="70"/>
      <c r="R274" s="70"/>
      <c r="S274" s="70"/>
      <c r="T274" s="70"/>
    </row>
    <row r="275" spans="1:20" s="68" customFormat="1">
      <c r="A275" s="69"/>
      <c r="C275" s="70"/>
      <c r="D275" s="70"/>
      <c r="E275" s="70"/>
      <c r="F275" s="71"/>
      <c r="G275" s="72"/>
      <c r="H275" s="72"/>
      <c r="I275" s="72"/>
      <c r="J275" s="72"/>
      <c r="K275" s="70"/>
      <c r="M275" s="70"/>
      <c r="N275" s="70"/>
      <c r="O275" s="70"/>
      <c r="P275" s="70"/>
      <c r="Q275" s="70"/>
      <c r="R275" s="70"/>
      <c r="S275" s="70"/>
      <c r="T275" s="70"/>
    </row>
    <row r="276" spans="1:20" s="68" customFormat="1">
      <c r="A276" s="69"/>
      <c r="C276" s="70"/>
      <c r="D276" s="70"/>
      <c r="E276" s="70"/>
      <c r="F276" s="71"/>
      <c r="G276" s="72"/>
      <c r="H276" s="72"/>
      <c r="I276" s="72"/>
      <c r="J276" s="72"/>
      <c r="K276" s="70"/>
      <c r="M276" s="70"/>
      <c r="N276" s="70"/>
      <c r="O276" s="70"/>
      <c r="P276" s="70"/>
      <c r="Q276" s="70"/>
      <c r="R276" s="70"/>
      <c r="S276" s="70"/>
      <c r="T276" s="70"/>
    </row>
    <row r="277" spans="1:20" s="68" customFormat="1">
      <c r="A277" s="69"/>
      <c r="C277" s="70"/>
      <c r="D277" s="70"/>
      <c r="E277" s="70"/>
      <c r="F277" s="71"/>
      <c r="G277" s="72"/>
      <c r="H277" s="72"/>
      <c r="I277" s="72"/>
      <c r="J277" s="72"/>
      <c r="K277" s="70"/>
      <c r="M277" s="70"/>
      <c r="N277" s="70"/>
      <c r="O277" s="70"/>
      <c r="P277" s="70"/>
      <c r="Q277" s="70"/>
      <c r="R277" s="70"/>
      <c r="S277" s="70"/>
      <c r="T277" s="70"/>
    </row>
    <row r="278" spans="1:20" s="68" customFormat="1">
      <c r="A278" s="69"/>
      <c r="C278" s="70"/>
      <c r="D278" s="70"/>
      <c r="E278" s="70"/>
      <c r="F278" s="71"/>
      <c r="G278" s="72"/>
      <c r="H278" s="72"/>
      <c r="I278" s="72"/>
      <c r="J278" s="72"/>
      <c r="K278" s="70"/>
      <c r="M278" s="70"/>
      <c r="N278" s="70"/>
      <c r="O278" s="70"/>
      <c r="P278" s="70"/>
      <c r="Q278" s="70"/>
      <c r="R278" s="70"/>
      <c r="S278" s="70"/>
      <c r="T278" s="70"/>
    </row>
    <row r="279" spans="1:20" s="68" customFormat="1">
      <c r="A279" s="69"/>
      <c r="C279" s="70"/>
      <c r="D279" s="70"/>
      <c r="E279" s="70"/>
      <c r="F279" s="71"/>
      <c r="G279" s="72"/>
      <c r="H279" s="72"/>
      <c r="I279" s="72"/>
      <c r="J279" s="72"/>
      <c r="K279" s="70"/>
      <c r="M279" s="70"/>
      <c r="N279" s="70"/>
      <c r="O279" s="70"/>
      <c r="P279" s="70"/>
      <c r="Q279" s="70"/>
      <c r="R279" s="70"/>
      <c r="S279" s="70"/>
      <c r="T279" s="70"/>
    </row>
    <row r="280" spans="1:20" s="68" customFormat="1">
      <c r="A280" s="69"/>
      <c r="C280" s="70"/>
      <c r="D280" s="70"/>
      <c r="E280" s="70"/>
      <c r="F280" s="71"/>
      <c r="G280" s="72"/>
      <c r="H280" s="72"/>
      <c r="I280" s="72"/>
      <c r="J280" s="72"/>
      <c r="K280" s="70"/>
      <c r="M280" s="70"/>
      <c r="N280" s="70"/>
      <c r="O280" s="70"/>
      <c r="P280" s="70"/>
      <c r="Q280" s="70"/>
      <c r="R280" s="70"/>
      <c r="S280" s="70"/>
      <c r="T280" s="70"/>
    </row>
    <row r="281" spans="1:20" s="68" customFormat="1">
      <c r="A281" s="69"/>
      <c r="C281" s="70"/>
      <c r="D281" s="70"/>
      <c r="E281" s="70"/>
      <c r="F281" s="71"/>
      <c r="G281" s="72"/>
      <c r="H281" s="72"/>
      <c r="I281" s="72"/>
      <c r="J281" s="72"/>
      <c r="K281" s="70"/>
      <c r="M281" s="70"/>
      <c r="N281" s="70"/>
      <c r="O281" s="70"/>
      <c r="P281" s="70"/>
      <c r="Q281" s="70"/>
      <c r="R281" s="70"/>
      <c r="S281" s="70"/>
      <c r="T281" s="70"/>
    </row>
    <row r="282" spans="1:20" s="68" customFormat="1">
      <c r="A282" s="69"/>
      <c r="C282" s="70"/>
      <c r="D282" s="70"/>
      <c r="E282" s="70"/>
      <c r="F282" s="71"/>
      <c r="G282" s="72"/>
      <c r="H282" s="72"/>
      <c r="I282" s="72"/>
      <c r="J282" s="72"/>
      <c r="K282" s="70"/>
      <c r="M282" s="70"/>
      <c r="N282" s="70"/>
      <c r="O282" s="70"/>
      <c r="P282" s="70"/>
      <c r="Q282" s="70"/>
      <c r="R282" s="70"/>
      <c r="S282" s="70"/>
      <c r="T282" s="70"/>
    </row>
    <row r="283" spans="1:20" s="68" customFormat="1">
      <c r="A283" s="69"/>
      <c r="C283" s="70"/>
      <c r="D283" s="70"/>
      <c r="E283" s="70"/>
      <c r="F283" s="71"/>
      <c r="G283" s="72"/>
      <c r="H283" s="72"/>
      <c r="I283" s="72"/>
      <c r="J283" s="72"/>
      <c r="K283" s="70"/>
      <c r="M283" s="70"/>
      <c r="N283" s="70"/>
      <c r="O283" s="70"/>
      <c r="P283" s="70"/>
      <c r="Q283" s="70"/>
      <c r="R283" s="70"/>
      <c r="S283" s="70"/>
      <c r="T283" s="70"/>
    </row>
    <row r="284" spans="1:20" s="68" customFormat="1">
      <c r="A284" s="69"/>
      <c r="C284" s="70"/>
      <c r="D284" s="70"/>
      <c r="E284" s="70"/>
      <c r="F284" s="71"/>
      <c r="G284" s="72"/>
      <c r="H284" s="72"/>
      <c r="I284" s="72"/>
      <c r="J284" s="72"/>
      <c r="K284" s="70"/>
      <c r="M284" s="70"/>
      <c r="N284" s="70"/>
      <c r="O284" s="70"/>
      <c r="P284" s="70"/>
      <c r="Q284" s="70"/>
      <c r="R284" s="70"/>
      <c r="S284" s="70"/>
      <c r="T284" s="70"/>
    </row>
    <row r="285" spans="1:20" s="68" customFormat="1">
      <c r="A285" s="69"/>
      <c r="C285" s="70"/>
      <c r="D285" s="70"/>
      <c r="E285" s="70"/>
      <c r="F285" s="71"/>
      <c r="G285" s="72"/>
      <c r="H285" s="72"/>
      <c r="I285" s="72"/>
      <c r="J285" s="72"/>
      <c r="K285" s="70"/>
      <c r="M285" s="70"/>
      <c r="N285" s="70"/>
      <c r="O285" s="70"/>
      <c r="P285" s="70"/>
      <c r="Q285" s="70"/>
      <c r="R285" s="70"/>
      <c r="S285" s="70"/>
      <c r="T285" s="70"/>
    </row>
    <row r="286" spans="1:20" s="68" customFormat="1">
      <c r="A286" s="69"/>
      <c r="C286" s="70"/>
      <c r="D286" s="70"/>
      <c r="E286" s="70"/>
      <c r="F286" s="71"/>
      <c r="G286" s="72"/>
      <c r="H286" s="72"/>
      <c r="I286" s="72"/>
      <c r="J286" s="72"/>
      <c r="K286" s="70"/>
      <c r="M286" s="70"/>
      <c r="N286" s="70"/>
      <c r="O286" s="70"/>
      <c r="P286" s="70"/>
      <c r="Q286" s="70"/>
      <c r="R286" s="70"/>
      <c r="S286" s="70"/>
      <c r="T286" s="70"/>
    </row>
    <row r="287" spans="1:20" s="68" customFormat="1">
      <c r="A287" s="69"/>
      <c r="C287" s="70"/>
      <c r="D287" s="70"/>
      <c r="E287" s="70"/>
      <c r="F287" s="71"/>
      <c r="G287" s="72"/>
      <c r="H287" s="72"/>
      <c r="I287" s="72"/>
      <c r="J287" s="72"/>
      <c r="K287" s="70"/>
      <c r="M287" s="70"/>
      <c r="N287" s="70"/>
      <c r="O287" s="70"/>
      <c r="P287" s="70"/>
      <c r="Q287" s="70"/>
      <c r="R287" s="70"/>
      <c r="S287" s="70"/>
      <c r="T287" s="70"/>
    </row>
    <row r="288" spans="1:20" s="68" customFormat="1">
      <c r="A288" s="69"/>
      <c r="C288" s="70"/>
      <c r="D288" s="70"/>
      <c r="E288" s="70"/>
      <c r="F288" s="71"/>
      <c r="G288" s="72"/>
      <c r="H288" s="72"/>
      <c r="I288" s="72"/>
      <c r="J288" s="72"/>
      <c r="K288" s="70"/>
      <c r="M288" s="70"/>
      <c r="N288" s="70"/>
      <c r="O288" s="70"/>
      <c r="P288" s="70"/>
      <c r="Q288" s="70"/>
      <c r="R288" s="70"/>
      <c r="S288" s="70"/>
      <c r="T288" s="70"/>
    </row>
    <row r="289" spans="1:20" s="68" customFormat="1">
      <c r="A289" s="69"/>
      <c r="C289" s="70"/>
      <c r="D289" s="70"/>
      <c r="E289" s="70"/>
      <c r="F289" s="71"/>
      <c r="G289" s="72"/>
      <c r="H289" s="72"/>
      <c r="I289" s="72"/>
      <c r="J289" s="72"/>
      <c r="K289" s="70"/>
      <c r="M289" s="70"/>
      <c r="N289" s="70"/>
      <c r="O289" s="70"/>
      <c r="P289" s="70"/>
      <c r="Q289" s="70"/>
      <c r="R289" s="70"/>
      <c r="S289" s="70"/>
      <c r="T289" s="70"/>
    </row>
    <row r="290" spans="1:20" s="68" customFormat="1">
      <c r="A290" s="69"/>
      <c r="C290" s="70"/>
      <c r="D290" s="70"/>
      <c r="E290" s="70"/>
      <c r="F290" s="71"/>
      <c r="G290" s="72"/>
      <c r="H290" s="72"/>
      <c r="I290" s="72"/>
      <c r="J290" s="72"/>
      <c r="K290" s="70"/>
      <c r="M290" s="70"/>
      <c r="N290" s="70"/>
      <c r="O290" s="70"/>
      <c r="P290" s="70"/>
      <c r="Q290" s="70"/>
      <c r="R290" s="70"/>
      <c r="S290" s="70"/>
      <c r="T290" s="70"/>
    </row>
    <row r="291" spans="1:20" s="68" customFormat="1">
      <c r="A291" s="69"/>
      <c r="C291" s="70"/>
      <c r="D291" s="70"/>
      <c r="E291" s="70"/>
      <c r="F291" s="71"/>
      <c r="G291" s="72"/>
      <c r="H291" s="72"/>
      <c r="I291" s="72"/>
      <c r="J291" s="72"/>
      <c r="K291" s="70"/>
      <c r="M291" s="70"/>
      <c r="N291" s="70"/>
      <c r="O291" s="70"/>
      <c r="P291" s="70"/>
      <c r="Q291" s="70"/>
      <c r="R291" s="70"/>
      <c r="S291" s="70"/>
      <c r="T291" s="70"/>
    </row>
    <row r="292" spans="1:20" s="68" customFormat="1">
      <c r="A292" s="69"/>
      <c r="C292" s="70"/>
      <c r="D292" s="70"/>
      <c r="E292" s="70"/>
      <c r="F292" s="71"/>
      <c r="G292" s="72"/>
      <c r="H292" s="72"/>
      <c r="I292" s="72"/>
      <c r="J292" s="72"/>
      <c r="K292" s="70"/>
      <c r="M292" s="70"/>
      <c r="N292" s="70"/>
      <c r="O292" s="70"/>
      <c r="P292" s="70"/>
      <c r="Q292" s="70"/>
      <c r="R292" s="70"/>
      <c r="S292" s="70"/>
      <c r="T292" s="70"/>
    </row>
    <row r="293" spans="1:20" s="68" customFormat="1">
      <c r="A293" s="69"/>
      <c r="C293" s="70"/>
      <c r="D293" s="70"/>
      <c r="E293" s="70"/>
      <c r="F293" s="71"/>
      <c r="G293" s="72"/>
      <c r="H293" s="72"/>
      <c r="I293" s="72"/>
      <c r="J293" s="72"/>
      <c r="K293" s="70"/>
      <c r="M293" s="70"/>
      <c r="N293" s="70"/>
      <c r="O293" s="70"/>
      <c r="P293" s="70"/>
      <c r="Q293" s="70"/>
      <c r="R293" s="70"/>
      <c r="S293" s="70"/>
      <c r="T293" s="70"/>
    </row>
    <row r="294" spans="1:20" s="68" customFormat="1">
      <c r="A294" s="69"/>
      <c r="C294" s="70"/>
      <c r="D294" s="70"/>
      <c r="E294" s="70"/>
      <c r="F294" s="71"/>
      <c r="G294" s="72"/>
      <c r="H294" s="72"/>
      <c r="I294" s="72"/>
      <c r="J294" s="72"/>
      <c r="K294" s="70"/>
      <c r="M294" s="70"/>
      <c r="N294" s="70"/>
      <c r="O294" s="70"/>
      <c r="P294" s="70"/>
      <c r="Q294" s="70"/>
      <c r="R294" s="70"/>
      <c r="S294" s="70"/>
      <c r="T294" s="70"/>
    </row>
    <row r="295" spans="1:20" s="68" customFormat="1">
      <c r="A295" s="69"/>
      <c r="C295" s="70"/>
      <c r="D295" s="70"/>
      <c r="E295" s="70"/>
      <c r="F295" s="71"/>
      <c r="G295" s="72"/>
      <c r="H295" s="72"/>
      <c r="I295" s="72"/>
      <c r="J295" s="72"/>
      <c r="K295" s="70"/>
      <c r="M295" s="70"/>
      <c r="N295" s="70"/>
      <c r="O295" s="70"/>
      <c r="P295" s="70"/>
      <c r="Q295" s="70"/>
      <c r="R295" s="70"/>
      <c r="S295" s="70"/>
      <c r="T295" s="70"/>
    </row>
    <row r="296" spans="1:20" s="68" customFormat="1">
      <c r="A296" s="74"/>
      <c r="C296" s="70"/>
      <c r="D296" s="70"/>
      <c r="E296" s="70"/>
      <c r="F296" s="71"/>
      <c r="G296" s="72"/>
      <c r="H296" s="72"/>
      <c r="I296" s="72"/>
      <c r="J296" s="72"/>
      <c r="K296" s="70"/>
      <c r="M296" s="70"/>
      <c r="N296" s="70"/>
      <c r="O296" s="70"/>
      <c r="P296" s="70"/>
      <c r="Q296" s="70"/>
      <c r="R296" s="70"/>
      <c r="S296" s="70"/>
      <c r="T296" s="70"/>
    </row>
    <row r="297" spans="1:20" s="68" customFormat="1">
      <c r="A297" s="69"/>
      <c r="C297" s="70"/>
      <c r="D297" s="70"/>
      <c r="E297" s="70"/>
      <c r="F297" s="71"/>
      <c r="G297" s="72"/>
      <c r="H297" s="72"/>
      <c r="I297" s="72"/>
      <c r="J297" s="72"/>
      <c r="K297" s="70"/>
      <c r="M297" s="70"/>
      <c r="N297" s="70"/>
      <c r="O297" s="70"/>
      <c r="P297" s="70"/>
      <c r="Q297" s="70"/>
      <c r="R297" s="70"/>
      <c r="S297" s="70"/>
      <c r="T297" s="70"/>
    </row>
    <row r="298" spans="1:20" s="68" customFormat="1">
      <c r="A298" s="69"/>
      <c r="C298" s="70"/>
      <c r="D298" s="70"/>
      <c r="E298" s="70"/>
      <c r="F298" s="71"/>
      <c r="G298" s="72"/>
      <c r="H298" s="72"/>
      <c r="I298" s="72"/>
      <c r="J298" s="72"/>
      <c r="K298" s="70"/>
      <c r="M298" s="70"/>
      <c r="N298" s="70"/>
      <c r="O298" s="70"/>
      <c r="P298" s="70"/>
      <c r="Q298" s="70"/>
      <c r="R298" s="70"/>
      <c r="S298" s="70"/>
      <c r="T298" s="70"/>
    </row>
    <row r="299" spans="1:20" s="68" customFormat="1">
      <c r="A299" s="74"/>
      <c r="C299" s="70"/>
      <c r="D299" s="70"/>
      <c r="E299" s="70"/>
      <c r="F299" s="71"/>
      <c r="G299" s="72"/>
      <c r="H299" s="72"/>
      <c r="I299" s="72"/>
      <c r="J299" s="72"/>
      <c r="K299" s="70"/>
      <c r="M299" s="70"/>
      <c r="N299" s="70"/>
      <c r="O299" s="70"/>
      <c r="P299" s="70"/>
      <c r="Q299" s="70"/>
      <c r="R299" s="70"/>
      <c r="S299" s="70"/>
      <c r="T299" s="70"/>
    </row>
    <row r="300" spans="1:20" s="68" customFormat="1">
      <c r="A300" s="74"/>
      <c r="C300" s="70"/>
      <c r="D300" s="70"/>
      <c r="E300" s="70"/>
      <c r="F300" s="71"/>
      <c r="G300" s="72"/>
      <c r="H300" s="72"/>
      <c r="I300" s="72"/>
      <c r="J300" s="72"/>
      <c r="K300" s="70"/>
      <c r="M300" s="70"/>
      <c r="N300" s="70"/>
      <c r="O300" s="70"/>
      <c r="P300" s="70"/>
      <c r="Q300" s="70"/>
      <c r="R300" s="70"/>
      <c r="S300" s="70"/>
      <c r="T300" s="70"/>
    </row>
    <row r="301" spans="1:20" s="68" customFormat="1">
      <c r="A301" s="69"/>
      <c r="C301" s="70"/>
      <c r="D301" s="70"/>
      <c r="E301" s="70"/>
      <c r="F301" s="71"/>
      <c r="G301" s="72"/>
      <c r="H301" s="72"/>
      <c r="I301" s="72"/>
      <c r="J301" s="72"/>
      <c r="K301" s="70"/>
      <c r="M301" s="70"/>
      <c r="N301" s="70"/>
      <c r="O301" s="70"/>
      <c r="P301" s="70"/>
      <c r="Q301" s="70"/>
      <c r="R301" s="70"/>
      <c r="S301" s="70"/>
      <c r="T301" s="70"/>
    </row>
    <row r="302" spans="1:20" s="68" customFormat="1">
      <c r="A302" s="69"/>
      <c r="C302" s="70"/>
      <c r="D302" s="70"/>
      <c r="E302" s="70"/>
      <c r="F302" s="71"/>
      <c r="G302" s="72"/>
      <c r="H302" s="72"/>
      <c r="I302" s="72"/>
      <c r="J302" s="72"/>
      <c r="K302" s="70"/>
      <c r="M302" s="70"/>
      <c r="N302" s="70"/>
      <c r="O302" s="70"/>
      <c r="P302" s="70"/>
      <c r="Q302" s="70"/>
      <c r="R302" s="70"/>
      <c r="S302" s="70"/>
      <c r="T302" s="70"/>
    </row>
    <row r="303" spans="1:20" s="68" customFormat="1">
      <c r="A303" s="69"/>
      <c r="C303" s="70"/>
      <c r="D303" s="70"/>
      <c r="E303" s="70"/>
      <c r="F303" s="71"/>
      <c r="G303" s="72"/>
      <c r="H303" s="72"/>
      <c r="I303" s="72"/>
      <c r="J303" s="72"/>
      <c r="K303" s="70"/>
      <c r="M303" s="70"/>
      <c r="N303" s="70"/>
      <c r="O303" s="70"/>
      <c r="P303" s="70"/>
      <c r="Q303" s="70"/>
      <c r="R303" s="70"/>
      <c r="S303" s="70"/>
      <c r="T303" s="70"/>
    </row>
    <row r="304" spans="1:20" s="68" customFormat="1">
      <c r="A304" s="69"/>
      <c r="C304" s="70"/>
      <c r="D304" s="70"/>
      <c r="E304" s="70"/>
      <c r="F304" s="71"/>
      <c r="G304" s="72"/>
      <c r="H304" s="72"/>
      <c r="I304" s="72"/>
      <c r="J304" s="72"/>
      <c r="K304" s="70"/>
      <c r="M304" s="70"/>
      <c r="N304" s="70"/>
      <c r="O304" s="70"/>
      <c r="P304" s="70"/>
      <c r="Q304" s="70"/>
      <c r="R304" s="70"/>
      <c r="S304" s="70"/>
      <c r="T304" s="70"/>
    </row>
    <row r="305" spans="1:20" s="68" customFormat="1">
      <c r="A305" s="75"/>
      <c r="C305" s="70"/>
      <c r="D305" s="70"/>
      <c r="E305" s="70"/>
      <c r="F305" s="71"/>
      <c r="G305" s="72"/>
      <c r="H305" s="72"/>
      <c r="I305" s="72"/>
      <c r="J305" s="72"/>
      <c r="K305" s="70"/>
      <c r="M305" s="70"/>
      <c r="N305" s="70"/>
      <c r="O305" s="70"/>
      <c r="P305" s="70"/>
      <c r="Q305" s="70"/>
      <c r="R305" s="70"/>
      <c r="S305" s="70"/>
      <c r="T305" s="70"/>
    </row>
    <row r="306" spans="1:20" s="68" customFormat="1">
      <c r="A306" s="69"/>
      <c r="C306" s="70"/>
      <c r="D306" s="70"/>
      <c r="E306" s="70"/>
      <c r="F306" s="71"/>
      <c r="G306" s="72"/>
      <c r="H306" s="72"/>
      <c r="I306" s="72"/>
      <c r="J306" s="72"/>
      <c r="K306" s="70"/>
      <c r="M306" s="70"/>
      <c r="N306" s="70"/>
      <c r="O306" s="70"/>
      <c r="P306" s="70"/>
      <c r="Q306" s="70"/>
      <c r="R306" s="70"/>
      <c r="S306" s="70"/>
      <c r="T306" s="70"/>
    </row>
    <row r="307" spans="1:20" s="68" customFormat="1">
      <c r="A307" s="76"/>
      <c r="C307" s="70"/>
      <c r="D307" s="70"/>
      <c r="E307" s="70"/>
      <c r="F307" s="71"/>
      <c r="G307" s="72"/>
      <c r="H307" s="72"/>
      <c r="I307" s="72"/>
      <c r="J307" s="72"/>
      <c r="K307" s="70"/>
      <c r="M307" s="70"/>
      <c r="N307" s="70"/>
      <c r="O307" s="70"/>
      <c r="P307" s="70"/>
      <c r="Q307" s="70"/>
      <c r="R307" s="70"/>
      <c r="S307" s="70"/>
      <c r="T307" s="70"/>
    </row>
    <row r="308" spans="1:20" s="68" customFormat="1">
      <c r="A308" s="76"/>
      <c r="C308" s="70"/>
      <c r="D308" s="70"/>
      <c r="E308" s="70"/>
      <c r="F308" s="71"/>
      <c r="G308" s="72"/>
      <c r="H308" s="72"/>
      <c r="I308" s="72"/>
      <c r="J308" s="72"/>
      <c r="K308" s="70"/>
      <c r="M308" s="70"/>
      <c r="N308" s="70"/>
      <c r="O308" s="70"/>
      <c r="P308" s="70"/>
      <c r="Q308" s="70"/>
      <c r="R308" s="70"/>
      <c r="S308" s="70"/>
      <c r="T308" s="70"/>
    </row>
    <row r="309" spans="1:20" s="68" customFormat="1">
      <c r="A309" s="69"/>
      <c r="C309" s="70"/>
      <c r="D309" s="70"/>
      <c r="E309" s="70"/>
      <c r="F309" s="71"/>
      <c r="G309" s="72"/>
      <c r="H309" s="72"/>
      <c r="I309" s="72"/>
      <c r="J309" s="72"/>
      <c r="K309" s="70"/>
      <c r="M309" s="70"/>
      <c r="N309" s="70"/>
      <c r="O309" s="70"/>
      <c r="P309" s="70"/>
      <c r="Q309" s="70"/>
      <c r="R309" s="70"/>
      <c r="S309" s="70"/>
      <c r="T309" s="70"/>
    </row>
    <row r="310" spans="1:20" s="68" customFormat="1">
      <c r="A310" s="76"/>
      <c r="C310" s="70"/>
      <c r="D310" s="70"/>
      <c r="E310" s="70"/>
      <c r="F310" s="71"/>
      <c r="G310" s="72"/>
      <c r="H310" s="72"/>
      <c r="I310" s="72"/>
      <c r="J310" s="72"/>
      <c r="K310" s="70"/>
      <c r="M310" s="70"/>
      <c r="N310" s="70"/>
      <c r="O310" s="70"/>
      <c r="P310" s="70"/>
      <c r="Q310" s="70"/>
      <c r="R310" s="70"/>
      <c r="S310" s="70"/>
      <c r="T310" s="70"/>
    </row>
    <row r="311" spans="1:20" s="68" customFormat="1">
      <c r="A311" s="156"/>
      <c r="C311" s="70"/>
      <c r="D311" s="70"/>
      <c r="E311" s="70"/>
      <c r="F311" s="71"/>
      <c r="G311" s="72"/>
      <c r="H311" s="72"/>
      <c r="I311" s="72"/>
      <c r="J311" s="72"/>
      <c r="K311" s="70"/>
      <c r="M311" s="70"/>
      <c r="N311" s="70"/>
      <c r="O311" s="70"/>
      <c r="P311" s="70"/>
      <c r="Q311" s="70"/>
      <c r="R311" s="70"/>
      <c r="S311" s="70"/>
      <c r="T311" s="70"/>
    </row>
    <row r="312" spans="1:20" s="68" customFormat="1">
      <c r="A312" s="156"/>
      <c r="C312" s="70"/>
      <c r="D312" s="70"/>
      <c r="E312" s="70"/>
      <c r="F312" s="71"/>
      <c r="G312" s="72"/>
      <c r="H312" s="72"/>
      <c r="I312" s="72"/>
      <c r="J312" s="72"/>
      <c r="K312" s="70"/>
      <c r="M312" s="70"/>
      <c r="N312" s="70"/>
      <c r="O312" s="70"/>
      <c r="P312" s="70"/>
      <c r="Q312" s="70"/>
      <c r="R312" s="70"/>
      <c r="S312" s="70"/>
      <c r="T312" s="70"/>
    </row>
    <row r="313" spans="1:20" s="68" customFormat="1">
      <c r="A313" s="69"/>
      <c r="C313" s="70"/>
      <c r="D313" s="70"/>
      <c r="E313" s="70"/>
      <c r="F313" s="71"/>
      <c r="G313" s="72"/>
      <c r="H313" s="72"/>
      <c r="I313" s="72"/>
      <c r="J313" s="72"/>
      <c r="K313" s="70"/>
      <c r="M313" s="70"/>
      <c r="N313" s="70"/>
      <c r="O313" s="70"/>
      <c r="P313" s="70"/>
      <c r="Q313" s="70"/>
      <c r="R313" s="70"/>
      <c r="S313" s="70"/>
      <c r="T313" s="70"/>
    </row>
    <row r="314" spans="1:20" s="68" customFormat="1">
      <c r="A314" s="157"/>
      <c r="C314" s="70"/>
      <c r="D314" s="70"/>
      <c r="E314" s="70"/>
      <c r="F314" s="71"/>
      <c r="G314" s="72"/>
      <c r="H314" s="72"/>
      <c r="I314" s="72"/>
      <c r="J314" s="72"/>
      <c r="K314" s="70"/>
      <c r="M314" s="70"/>
      <c r="N314" s="70"/>
      <c r="O314" s="70"/>
      <c r="P314" s="70"/>
      <c r="Q314" s="70"/>
      <c r="R314" s="70"/>
      <c r="S314" s="70"/>
      <c r="T314" s="70"/>
    </row>
    <row r="315" spans="1:20" s="68" customFormat="1">
      <c r="A315" s="157"/>
      <c r="C315" s="70"/>
      <c r="D315" s="70"/>
      <c r="E315" s="70"/>
      <c r="F315" s="71"/>
      <c r="G315" s="72"/>
      <c r="H315" s="72"/>
      <c r="I315" s="72"/>
      <c r="J315" s="72"/>
      <c r="K315" s="70"/>
      <c r="M315" s="70"/>
      <c r="N315" s="70"/>
      <c r="O315" s="70"/>
      <c r="P315" s="70"/>
      <c r="Q315" s="70"/>
      <c r="R315" s="70"/>
      <c r="S315" s="70"/>
      <c r="T315" s="70"/>
    </row>
    <row r="316" spans="1:20" s="68" customFormat="1">
      <c r="A316" s="74"/>
      <c r="C316" s="70"/>
      <c r="D316" s="70"/>
      <c r="E316" s="70"/>
      <c r="F316" s="71"/>
      <c r="G316" s="72"/>
      <c r="H316" s="72"/>
      <c r="I316" s="72"/>
      <c r="J316" s="72"/>
      <c r="K316" s="70"/>
      <c r="M316" s="70"/>
      <c r="N316" s="70"/>
      <c r="O316" s="70"/>
      <c r="P316" s="70"/>
      <c r="Q316" s="70"/>
      <c r="R316" s="70"/>
      <c r="S316" s="70"/>
      <c r="T316" s="70"/>
    </row>
    <row r="317" spans="1:20" s="68" customFormat="1">
      <c r="A317" s="75"/>
      <c r="C317" s="70"/>
      <c r="D317" s="70"/>
      <c r="E317" s="70"/>
      <c r="F317" s="71"/>
      <c r="G317" s="72"/>
      <c r="H317" s="72"/>
      <c r="I317" s="72"/>
      <c r="J317" s="72"/>
      <c r="K317" s="70"/>
      <c r="M317" s="70"/>
      <c r="N317" s="70"/>
      <c r="O317" s="70"/>
      <c r="P317" s="70"/>
      <c r="Q317" s="70"/>
      <c r="R317" s="70"/>
      <c r="S317" s="70"/>
      <c r="T317" s="70"/>
    </row>
    <row r="318" spans="1:20" s="68" customFormat="1">
      <c r="A318" s="69"/>
      <c r="C318" s="70"/>
      <c r="D318" s="70"/>
      <c r="E318" s="70"/>
      <c r="F318" s="71"/>
      <c r="G318" s="72"/>
      <c r="H318" s="72"/>
      <c r="I318" s="72"/>
      <c r="J318" s="72"/>
      <c r="K318" s="70"/>
      <c r="M318" s="70"/>
      <c r="N318" s="70"/>
      <c r="O318" s="70"/>
      <c r="P318" s="70"/>
      <c r="Q318" s="70"/>
      <c r="R318" s="70"/>
      <c r="S318" s="70"/>
      <c r="T318" s="70"/>
    </row>
    <row r="319" spans="1:20" s="68" customFormat="1">
      <c r="A319" s="76"/>
      <c r="C319" s="70"/>
      <c r="D319" s="70"/>
      <c r="E319" s="70"/>
      <c r="F319" s="71"/>
      <c r="G319" s="72"/>
      <c r="H319" s="72"/>
      <c r="I319" s="72"/>
      <c r="J319" s="72"/>
      <c r="K319" s="70"/>
      <c r="M319" s="70"/>
      <c r="N319" s="70"/>
      <c r="O319" s="70"/>
      <c r="P319" s="70"/>
      <c r="Q319" s="70"/>
      <c r="R319" s="70"/>
      <c r="S319" s="70"/>
      <c r="T319" s="70"/>
    </row>
    <row r="320" spans="1:20" s="68" customFormat="1">
      <c r="A320" s="76"/>
      <c r="C320" s="70"/>
      <c r="D320" s="70"/>
      <c r="E320" s="70"/>
      <c r="F320" s="71"/>
      <c r="G320" s="72"/>
      <c r="H320" s="72"/>
      <c r="I320" s="72"/>
      <c r="J320" s="72"/>
      <c r="K320" s="70"/>
      <c r="M320" s="70"/>
      <c r="N320" s="70"/>
      <c r="O320" s="70"/>
      <c r="P320" s="70"/>
      <c r="Q320" s="70"/>
      <c r="R320" s="70"/>
      <c r="S320" s="70"/>
      <c r="T320" s="70"/>
    </row>
    <row r="321" spans="1:20" s="68" customFormat="1">
      <c r="A321" s="69"/>
      <c r="C321" s="70"/>
      <c r="D321" s="70"/>
      <c r="E321" s="70"/>
      <c r="F321" s="71"/>
      <c r="G321" s="72"/>
      <c r="H321" s="72"/>
      <c r="I321" s="72"/>
      <c r="J321" s="72"/>
      <c r="K321" s="70"/>
      <c r="M321" s="70"/>
      <c r="N321" s="70"/>
      <c r="O321" s="70"/>
      <c r="P321" s="70"/>
      <c r="Q321" s="70"/>
      <c r="R321" s="70"/>
      <c r="S321" s="70"/>
      <c r="T321" s="70"/>
    </row>
    <row r="322" spans="1:20" s="68" customFormat="1">
      <c r="A322" s="69"/>
      <c r="C322" s="70"/>
      <c r="D322" s="70"/>
      <c r="E322" s="70"/>
      <c r="F322" s="71"/>
      <c r="G322" s="72"/>
      <c r="H322" s="72"/>
      <c r="I322" s="72"/>
      <c r="J322" s="72"/>
      <c r="K322" s="70"/>
      <c r="M322" s="70"/>
      <c r="N322" s="70"/>
      <c r="O322" s="70"/>
      <c r="P322" s="70"/>
      <c r="Q322" s="70"/>
      <c r="R322" s="70"/>
      <c r="S322" s="70"/>
      <c r="T322" s="70"/>
    </row>
    <row r="323" spans="1:20" s="68" customFormat="1">
      <c r="A323" s="69"/>
      <c r="C323" s="70"/>
      <c r="D323" s="70"/>
      <c r="E323" s="70"/>
      <c r="F323" s="71"/>
      <c r="G323" s="72"/>
      <c r="H323" s="72"/>
      <c r="I323" s="72"/>
      <c r="J323" s="72"/>
      <c r="K323" s="70"/>
      <c r="M323" s="70"/>
      <c r="N323" s="70"/>
      <c r="O323" s="70"/>
      <c r="P323" s="70"/>
      <c r="Q323" s="70"/>
      <c r="R323" s="70"/>
      <c r="S323" s="70"/>
      <c r="T323" s="70"/>
    </row>
    <row r="324" spans="1:20" s="68" customFormat="1">
      <c r="A324" s="157"/>
      <c r="C324" s="70"/>
      <c r="D324" s="70"/>
      <c r="E324" s="70"/>
      <c r="F324" s="71"/>
      <c r="G324" s="72"/>
      <c r="H324" s="72"/>
      <c r="I324" s="72"/>
      <c r="J324" s="72"/>
      <c r="K324" s="70"/>
      <c r="M324" s="70"/>
      <c r="N324" s="70"/>
      <c r="O324" s="70"/>
      <c r="P324" s="70"/>
      <c r="Q324" s="70"/>
      <c r="R324" s="70"/>
      <c r="S324" s="70"/>
      <c r="T324" s="70"/>
    </row>
    <row r="325" spans="1:20" s="68" customFormat="1">
      <c r="A325" s="158"/>
      <c r="C325" s="70"/>
      <c r="D325" s="70"/>
      <c r="E325" s="70"/>
      <c r="F325" s="71"/>
      <c r="G325" s="72"/>
      <c r="H325" s="72"/>
      <c r="I325" s="72"/>
      <c r="J325" s="72"/>
      <c r="K325" s="70"/>
      <c r="M325" s="70"/>
      <c r="N325" s="70"/>
      <c r="O325" s="70"/>
      <c r="P325" s="70"/>
      <c r="Q325" s="70"/>
      <c r="R325" s="70"/>
      <c r="S325" s="70"/>
      <c r="T325" s="70"/>
    </row>
    <row r="326" spans="1:20" s="68" customFormat="1">
      <c r="A326" s="158"/>
      <c r="C326" s="70"/>
      <c r="D326" s="70"/>
      <c r="E326" s="70"/>
      <c r="F326" s="71"/>
      <c r="G326" s="72"/>
      <c r="H326" s="72"/>
      <c r="I326" s="72"/>
      <c r="J326" s="72"/>
      <c r="K326" s="70"/>
      <c r="M326" s="70"/>
      <c r="N326" s="70"/>
      <c r="O326" s="70"/>
      <c r="P326" s="70"/>
      <c r="Q326" s="70"/>
      <c r="R326" s="70"/>
      <c r="S326" s="70"/>
      <c r="T326" s="70"/>
    </row>
    <row r="327" spans="1:20" s="68" customFormat="1">
      <c r="A327" s="157"/>
      <c r="C327" s="70"/>
      <c r="D327" s="70"/>
      <c r="E327" s="70"/>
      <c r="F327" s="71"/>
      <c r="G327" s="72"/>
      <c r="H327" s="72"/>
      <c r="I327" s="72"/>
      <c r="J327" s="72"/>
      <c r="K327" s="70"/>
      <c r="M327" s="70"/>
      <c r="N327" s="70"/>
      <c r="O327" s="70"/>
      <c r="P327" s="70"/>
      <c r="Q327" s="70"/>
      <c r="R327" s="70"/>
      <c r="S327" s="70"/>
      <c r="T327" s="70"/>
    </row>
    <row r="328" spans="1:20">
      <c r="A328" s="158"/>
    </row>
    <row r="329" spans="1:20">
      <c r="A329" s="158"/>
    </row>
  </sheetData>
  <pageMargins left="0.7" right="0.7" top="0.75" bottom="0.75" header="0.3" footer="0.3"/>
  <pageSetup fitToHeight="4" pageOrder="overThenDown" orientation="portrait" r:id="rId1"/>
  <headerFooter>
    <oddFooter xml:space="preserve">&amp;L&amp;F - &amp;A
&amp;R&amp;P of &amp;N
</oddFooter>
  </headerFooter>
  <rowBreaks count="3" manualBreakCount="3">
    <brk id="65" max="9" man="1"/>
    <brk id="131" max="9" man="1"/>
    <brk id="181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view="pageBreakPreview" zoomScale="85" zoomScaleNormal="100" zoomScaleSheetLayoutView="85" workbookViewId="0">
      <selection activeCell="C57" sqref="C57"/>
    </sheetView>
  </sheetViews>
  <sheetFormatPr defaultRowHeight="15"/>
  <cols>
    <col min="3" max="3" width="31.140625" customWidth="1"/>
    <col min="4" max="4" width="13.85546875" customWidth="1"/>
    <col min="5" max="5" width="20.85546875" customWidth="1"/>
    <col min="6" max="6" width="16.28515625" customWidth="1"/>
    <col min="7" max="7" width="13.42578125" customWidth="1"/>
    <col min="8" max="8" width="38.140625" bestFit="1" customWidth="1"/>
    <col min="9" max="9" width="15.28515625" bestFit="1" customWidth="1"/>
    <col min="10" max="10" width="11.85546875" customWidth="1"/>
    <col min="12" max="13" width="15.28515625" bestFit="1" customWidth="1"/>
    <col min="14" max="14" width="13.42578125" bestFit="1" customWidth="1"/>
  </cols>
  <sheetData>
    <row r="1" spans="1:12" ht="15.75" thickBot="1">
      <c r="A1" s="166" t="s">
        <v>411</v>
      </c>
    </row>
    <row r="2" spans="1:12" ht="15.75" thickBot="1">
      <c r="A2" s="166" t="s">
        <v>412</v>
      </c>
      <c r="D2" s="228" t="s">
        <v>425</v>
      </c>
      <c r="E2" s="229"/>
      <c r="F2" s="229"/>
      <c r="G2" s="229"/>
      <c r="H2" s="229"/>
      <c r="I2" s="230"/>
    </row>
    <row r="3" spans="1:12">
      <c r="A3" s="166" t="s">
        <v>413</v>
      </c>
    </row>
    <row r="4" spans="1:12">
      <c r="A4" s="166"/>
    </row>
    <row r="5" spans="1:12">
      <c r="A5" s="274" t="s">
        <v>414</v>
      </c>
      <c r="B5" s="274"/>
      <c r="C5" s="274"/>
      <c r="D5" s="274"/>
      <c r="E5" s="274"/>
      <c r="F5" s="274"/>
      <c r="G5" s="274"/>
      <c r="H5" s="274"/>
    </row>
    <row r="6" spans="1:12">
      <c r="A6" s="274"/>
      <c r="B6" s="274"/>
      <c r="C6" s="274"/>
      <c r="D6" s="274"/>
      <c r="E6" s="274"/>
      <c r="F6" s="274"/>
      <c r="G6" s="274"/>
      <c r="H6" s="274"/>
    </row>
    <row r="7" spans="1:12">
      <c r="A7" s="274"/>
      <c r="B7" s="274"/>
      <c r="C7" s="274"/>
      <c r="D7" s="274"/>
      <c r="E7" s="274"/>
      <c r="F7" s="274"/>
      <c r="G7" s="274"/>
      <c r="H7" s="274"/>
    </row>
    <row r="8" spans="1:12">
      <c r="A8" s="166"/>
    </row>
    <row r="9" spans="1:12" ht="15.75" thickBot="1"/>
    <row r="10" spans="1:12">
      <c r="C10" s="271" t="s">
        <v>415</v>
      </c>
      <c r="D10" s="272"/>
      <c r="E10" s="272"/>
      <c r="F10" s="273"/>
      <c r="H10" s="271" t="s">
        <v>416</v>
      </c>
      <c r="I10" s="272"/>
      <c r="J10" s="273"/>
    </row>
    <row r="11" spans="1:12">
      <c r="C11" s="167"/>
      <c r="D11" s="168" t="s">
        <v>295</v>
      </c>
      <c r="E11" s="168" t="s">
        <v>296</v>
      </c>
      <c r="F11" s="169"/>
      <c r="H11" s="167" t="s">
        <v>297</v>
      </c>
      <c r="I11" s="170">
        <f>+'[16]Master IS (C)'!E150</f>
        <v>25898341</v>
      </c>
      <c r="J11" s="169"/>
    </row>
    <row r="12" spans="1:12">
      <c r="C12" s="171" t="s">
        <v>298</v>
      </c>
      <c r="D12" s="172">
        <f>+'[34]Waste Works Breakdown'!D4</f>
        <v>92024.240000000034</v>
      </c>
      <c r="E12" s="173">
        <f>+'[34]Waste Works Breakdown'!E4</f>
        <v>8234515.3400000026</v>
      </c>
      <c r="F12" s="174">
        <f>E12/D12</f>
        <v>89.482024953425309</v>
      </c>
      <c r="H12" s="167"/>
      <c r="I12" s="170"/>
      <c r="J12" s="169"/>
    </row>
    <row r="13" spans="1:12">
      <c r="C13" s="171" t="s">
        <v>299</v>
      </c>
      <c r="D13" s="172">
        <f>+'[34]Waste Works Breakdown'!D5</f>
        <v>0</v>
      </c>
      <c r="E13" s="173">
        <f>+'[34]Waste Works Breakdown'!E5</f>
        <v>7.1054273576010019E-15</v>
      </c>
      <c r="F13" s="169"/>
      <c r="H13" s="167" t="s">
        <v>300</v>
      </c>
      <c r="I13" s="170">
        <f>+E32</f>
        <v>8234515.3400000026</v>
      </c>
      <c r="J13" s="175"/>
    </row>
    <row r="14" spans="1:12">
      <c r="C14" s="171" t="s">
        <v>301</v>
      </c>
      <c r="D14" s="172">
        <f>+'[34]Waste Works Breakdown'!D6</f>
        <v>1957.53</v>
      </c>
      <c r="E14" s="173">
        <f>+'[34]Waste Works Breakdown'!E6</f>
        <v>70422.400000000009</v>
      </c>
      <c r="F14" s="174">
        <f>E14/D14</f>
        <v>35.975131926458346</v>
      </c>
      <c r="H14" s="167" t="s">
        <v>302</v>
      </c>
      <c r="I14" s="170">
        <f>+E33</f>
        <v>16362444.449999999</v>
      </c>
      <c r="J14" s="175"/>
      <c r="L14" s="176"/>
    </row>
    <row r="15" spans="1:12" ht="15.75" thickBot="1">
      <c r="C15" s="171"/>
      <c r="D15" s="177">
        <f>SUM(D12:D14)</f>
        <v>93981.770000000033</v>
      </c>
      <c r="E15" s="178">
        <f>SUM(E12:E14)</f>
        <v>8304937.740000003</v>
      </c>
      <c r="F15" s="169"/>
      <c r="H15" s="167" t="s">
        <v>303</v>
      </c>
      <c r="I15" s="179">
        <f>+E34</f>
        <v>1298721.94</v>
      </c>
      <c r="J15" s="175"/>
    </row>
    <row r="16" spans="1:12" ht="16.5" thickTop="1" thickBot="1">
      <c r="C16" s="167"/>
      <c r="D16" s="180"/>
      <c r="E16" s="170"/>
      <c r="F16" s="169"/>
      <c r="H16" s="167"/>
      <c r="I16" s="181">
        <f>SUM(I13:I15)</f>
        <v>25895681.730000004</v>
      </c>
      <c r="J16" s="169"/>
      <c r="L16" s="176"/>
    </row>
    <row r="17" spans="3:14" ht="15.75" thickTop="1">
      <c r="C17" s="167" t="s">
        <v>304</v>
      </c>
      <c r="D17" s="180">
        <f>+'[34]Waste Works Breakdown'!D9</f>
        <v>93981.770000000019</v>
      </c>
      <c r="E17" s="170">
        <f>+'[34]Waste Works Breakdown'!E9</f>
        <v>8304937.7400000049</v>
      </c>
      <c r="F17" s="169"/>
      <c r="H17" s="167" t="s">
        <v>306</v>
      </c>
      <c r="I17" s="170">
        <f>+I16-I11</f>
        <v>-2659.2699999958277</v>
      </c>
      <c r="J17" s="169"/>
      <c r="M17" s="182"/>
      <c r="N17" s="176"/>
    </row>
    <row r="18" spans="3:14">
      <c r="C18" s="167" t="s">
        <v>305</v>
      </c>
      <c r="D18" s="180">
        <f>+D17-D15</f>
        <v>0</v>
      </c>
      <c r="E18" s="180">
        <f>+E17-E15</f>
        <v>0</v>
      </c>
      <c r="F18" s="169"/>
      <c r="H18" s="183"/>
      <c r="I18" s="184">
        <f>I17/I16</f>
        <v>-1.0269163900462517E-4</v>
      </c>
      <c r="J18" s="185" t="s">
        <v>417</v>
      </c>
      <c r="M18" s="182"/>
      <c r="N18" s="176"/>
    </row>
    <row r="19" spans="3:14" ht="15.75" thickBot="1">
      <c r="C19" s="167"/>
      <c r="D19" s="180"/>
      <c r="E19" s="170"/>
      <c r="F19" s="169"/>
      <c r="H19" s="186"/>
      <c r="I19" s="187"/>
      <c r="J19" s="188"/>
      <c r="M19" s="182"/>
    </row>
    <row r="20" spans="3:14">
      <c r="C20" s="167"/>
      <c r="D20" s="180"/>
      <c r="E20" s="170"/>
      <c r="F20" s="169"/>
      <c r="H20" s="189"/>
      <c r="M20" s="176"/>
    </row>
    <row r="21" spans="3:14" ht="15.75" thickBot="1">
      <c r="C21" s="190" t="s">
        <v>397</v>
      </c>
      <c r="D21" s="191">
        <f>+'[34]Waste Works Breakdown'!D13</f>
        <v>165572.63</v>
      </c>
      <c r="E21" s="192">
        <f>+'[34]Waste Works Breakdown'!E13</f>
        <v>16362444.449999999</v>
      </c>
      <c r="F21" s="174">
        <f>E21/D21</f>
        <v>98.823365009059756</v>
      </c>
      <c r="K21" s="193"/>
    </row>
    <row r="22" spans="3:14">
      <c r="C22" s="190" t="s">
        <v>398</v>
      </c>
      <c r="D22" s="191">
        <f>+'[34]Waste Works Breakdown'!D14</f>
        <v>1132.8400000000001</v>
      </c>
      <c r="E22" s="192">
        <f>+'[34]Waste Works Breakdown'!E14</f>
        <v>96854.049999999988</v>
      </c>
      <c r="F22" s="174">
        <f>E22/D22</f>
        <v>85.496672080788088</v>
      </c>
      <c r="H22" s="271" t="s">
        <v>418</v>
      </c>
      <c r="I22" s="272"/>
      <c r="J22" s="273"/>
    </row>
    <row r="23" spans="3:14">
      <c r="C23" s="190" t="s">
        <v>396</v>
      </c>
      <c r="D23" s="191">
        <f>+'[34]Waste Works Breakdown'!D15</f>
        <v>12461.58</v>
      </c>
      <c r="E23" s="192">
        <f>+'[34]Waste Works Breakdown'!E15</f>
        <v>1055328.44</v>
      </c>
      <c r="F23" s="174">
        <f>E23/D23</f>
        <v>84.686567834897332</v>
      </c>
      <c r="H23" s="194" t="s">
        <v>308</v>
      </c>
      <c r="I23" s="176">
        <f>+'[16]Master IS (C)'!E29</f>
        <v>8455261.0300000012</v>
      </c>
      <c r="J23" s="169"/>
    </row>
    <row r="24" spans="3:14">
      <c r="C24" s="190" t="s">
        <v>307</v>
      </c>
      <c r="D24" s="191">
        <f>+'[34]Waste Works Breakdown'!D16</f>
        <v>2207.77</v>
      </c>
      <c r="E24" s="192">
        <f>+'[34]Waste Works Breakdown'!E16</f>
        <v>76117.049999999988</v>
      </c>
      <c r="F24" s="174">
        <f>E24/D24</f>
        <v>34.476892973452848</v>
      </c>
      <c r="H24" s="194" t="s">
        <v>309</v>
      </c>
      <c r="I24" s="176">
        <f>+E15</f>
        <v>8304937.740000003</v>
      </c>
      <c r="J24" s="169"/>
    </row>
    <row r="25" spans="3:14" ht="15.75" thickBot="1">
      <c r="C25" s="190"/>
      <c r="D25" s="195">
        <f>SUM(D21:D24)</f>
        <v>181374.81999999998</v>
      </c>
      <c r="E25" s="196">
        <f>SUM(E21:E24)</f>
        <v>17590743.990000002</v>
      </c>
      <c r="F25" s="169"/>
      <c r="H25" s="194" t="s">
        <v>310</v>
      </c>
      <c r="I25" s="176">
        <f>+I23-I24</f>
        <v>150323.28999999817</v>
      </c>
      <c r="J25" s="169"/>
    </row>
    <row r="26" spans="3:14" ht="16.5" thickTop="1" thickBot="1">
      <c r="C26" s="167"/>
      <c r="D26" s="180"/>
      <c r="E26" s="170"/>
      <c r="F26" s="169"/>
      <c r="H26" s="197"/>
      <c r="I26" s="198"/>
      <c r="J26" s="188"/>
    </row>
    <row r="27" spans="3:14">
      <c r="C27" s="167" t="s">
        <v>311</v>
      </c>
      <c r="D27" s="180">
        <f>+'[34]Waste Works Breakdown'!$D$19</f>
        <v>181374.82</v>
      </c>
      <c r="E27" s="170">
        <f>+'[34]Waste Works Breakdown'!$E$19</f>
        <v>17590743.989999998</v>
      </c>
      <c r="F27" s="169"/>
    </row>
    <row r="28" spans="3:14" ht="15.75" thickBot="1">
      <c r="C28" s="197" t="s">
        <v>305</v>
      </c>
      <c r="D28" s="199">
        <f>+D27-D25</f>
        <v>0</v>
      </c>
      <c r="E28" s="199">
        <f>+E27-E25</f>
        <v>0</v>
      </c>
      <c r="F28" s="188"/>
    </row>
    <row r="29" spans="3:14" ht="15.75" thickBot="1">
      <c r="D29" s="200"/>
      <c r="E29" s="182"/>
    </row>
    <row r="30" spans="3:14">
      <c r="C30" s="271" t="s">
        <v>412</v>
      </c>
      <c r="D30" s="272"/>
      <c r="E30" s="273"/>
    </row>
    <row r="31" spans="3:14">
      <c r="C31" s="167"/>
      <c r="D31" s="168" t="s">
        <v>295</v>
      </c>
      <c r="E31" s="201" t="s">
        <v>296</v>
      </c>
    </row>
    <row r="32" spans="3:14">
      <c r="C32" s="167" t="s">
        <v>419</v>
      </c>
      <c r="D32" s="180">
        <f>+D12</f>
        <v>92024.240000000034</v>
      </c>
      <c r="E32" s="174">
        <f>+E12</f>
        <v>8234515.3400000026</v>
      </c>
      <c r="G32" s="202"/>
    </row>
    <row r="33" spans="3:7">
      <c r="C33" s="167" t="s">
        <v>397</v>
      </c>
      <c r="D33" s="180">
        <f>+D21</f>
        <v>165572.63</v>
      </c>
      <c r="E33" s="174">
        <f>+E21</f>
        <v>16362444.449999999</v>
      </c>
      <c r="G33" s="202"/>
    </row>
    <row r="34" spans="3:7" ht="30">
      <c r="C34" s="203" t="s">
        <v>420</v>
      </c>
      <c r="D34" s="180">
        <f>+D13+D14+D22+D24+D23</f>
        <v>17759.72</v>
      </c>
      <c r="E34" s="174">
        <f>+E13+E14+E22+E24+E23</f>
        <v>1298721.94</v>
      </c>
    </row>
    <row r="35" spans="3:7" ht="15.75" thickBot="1">
      <c r="C35" s="167"/>
      <c r="D35" s="204">
        <f>SUM(D32:D34)</f>
        <v>275356.59000000008</v>
      </c>
      <c r="E35" s="205">
        <f>SUM(E32:E34)</f>
        <v>25895681.730000004</v>
      </c>
    </row>
    <row r="36" spans="3:7" ht="16.5" thickTop="1" thickBot="1">
      <c r="C36" s="197"/>
      <c r="D36" s="199"/>
      <c r="E36" s="206"/>
    </row>
    <row r="37" spans="3:7">
      <c r="D37" s="200"/>
      <c r="E37" s="182"/>
    </row>
    <row r="38" spans="3:7" ht="15.75" thickBot="1">
      <c r="D38" s="200"/>
      <c r="E38" s="182"/>
    </row>
    <row r="39" spans="3:7">
      <c r="C39" s="271" t="s">
        <v>421</v>
      </c>
      <c r="D39" s="272"/>
      <c r="E39" s="273"/>
    </row>
    <row r="40" spans="3:7">
      <c r="C40" s="194"/>
      <c r="D40" s="176"/>
      <c r="E40" s="169"/>
    </row>
    <row r="41" spans="3:7">
      <c r="C41" s="194" t="s">
        <v>422</v>
      </c>
      <c r="D41" s="207">
        <f>[35]Regulated!$D$134</f>
        <v>0.50161311277447396</v>
      </c>
      <c r="E41" s="169"/>
    </row>
    <row r="42" spans="3:7">
      <c r="C42" s="194" t="s">
        <v>238</v>
      </c>
      <c r="D42" s="207">
        <f>[35]Regulated!$D$135</f>
        <v>0.49838688722552604</v>
      </c>
      <c r="E42" s="169"/>
    </row>
    <row r="43" spans="3:7" ht="15.75" thickBot="1">
      <c r="C43" s="197"/>
      <c r="D43" s="208">
        <f>SUM(D41:D42)</f>
        <v>1</v>
      </c>
      <c r="E43" s="188"/>
    </row>
  </sheetData>
  <mergeCells count="6">
    <mergeCell ref="C39:E39"/>
    <mergeCell ref="A5:H7"/>
    <mergeCell ref="C10:F10"/>
    <mergeCell ref="H10:J10"/>
    <mergeCell ref="H22:J22"/>
    <mergeCell ref="C30:E30"/>
  </mergeCells>
  <pageMargins left="0.7" right="0.7" top="0.75" bottom="0.75" header="0.3" footer="0.3"/>
  <pageSetup scale="69" fitToHeight="3" orientation="landscape" r:id="rId1"/>
  <headerFooter>
    <oddFooter>&amp;R&amp;F - &amp;A -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8CAA9DEFE87EA4B97050C46F10C4DD4" ma:contentTypeVersion="20" ma:contentTypeDescription="" ma:contentTypeScope="" ma:versionID="1239e22c8f476115c6c6f20c9f198d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2022-11-09T08:00:00+00:00</OpenedDate>
    <SignificantOrder xmlns="dc463f71-b30c-4ab2-9473-d307f9d35888">false</SignificantOrder>
    <Date1 xmlns="dc463f71-b30c-4ab2-9473-d307f9d35888">2022-11-09T08:00:00+00:00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Connections of Washington, Inc.</CaseCompanyNames>
    <Nickname xmlns="http://schemas.microsoft.com/sharepoint/v3" xsi:nil="true"/>
    <DocketNumber xmlns="dc463f71-b30c-4ab2-9473-d307f9d35888">220829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F35EB5-4FEB-4DF6-87EE-13A97F22187B}"/>
</file>

<file path=customXml/itemProps2.xml><?xml version="1.0" encoding="utf-8"?>
<ds:datastoreItem xmlns:ds="http://schemas.openxmlformats.org/officeDocument/2006/customXml" ds:itemID="{A41C0B2C-893D-40EF-9EA0-5F2E3946D6BE}"/>
</file>

<file path=customXml/itemProps3.xml><?xml version="1.0" encoding="utf-8"?>
<ds:datastoreItem xmlns:ds="http://schemas.openxmlformats.org/officeDocument/2006/customXml" ds:itemID="{22CF9FA5-BF0D-45C6-8CA0-A42575E1F337}"/>
</file>

<file path=customXml/itemProps4.xml><?xml version="1.0" encoding="utf-8"?>
<ds:datastoreItem xmlns:ds="http://schemas.openxmlformats.org/officeDocument/2006/customXml" ds:itemID="{BB72FD09-7086-4088-BAF6-4EE8BA714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References</vt:lpstr>
      <vt:lpstr>Regulated DF Calc</vt:lpstr>
      <vt:lpstr>Proposed Rates</vt:lpstr>
      <vt:lpstr>Disposal</vt:lpstr>
      <vt:lpstr>'Proposed Rates'!Print_Area</vt:lpstr>
      <vt:lpstr>References!Print_Area</vt:lpstr>
      <vt:lpstr>'Regulated DF Calc'!Print_Area</vt:lpstr>
      <vt:lpstr>'Proposed Rates'!Print_Titles</vt:lpstr>
      <vt:lpstr>'Regulated DF Calc'!Print_Titles</vt:lpstr>
    </vt:vector>
  </TitlesOfParts>
  <Company>R360 Environmental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Waldram</dc:creator>
  <cp:lastModifiedBy>Heather Garland</cp:lastModifiedBy>
  <cp:lastPrinted>2022-11-09T21:45:47Z</cp:lastPrinted>
  <dcterms:created xsi:type="dcterms:W3CDTF">2017-11-03T16:52:48Z</dcterms:created>
  <dcterms:modified xsi:type="dcterms:W3CDTF">2022-11-09T21:46:27Z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0x0101006E56B4D1795A2E4DB2F0B01679ED314A0068CAA9DEFE87EA4B97050C46F10C4DD4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