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vision\Accounting\WUTC\2023 Disposal Increase\4176\"/>
    </mc:Choice>
  </mc:AlternateContent>
  <xr:revisionPtr revIDLastSave="0" documentId="13_ncr:1_{A503DE48-8D54-4233-BD5D-A47D918B81AD}" xr6:coauthVersionLast="47" xr6:coauthVersionMax="47" xr10:uidLastSave="{00000000-0000-0000-0000-000000000000}"/>
  <bookViews>
    <workbookView xWindow="-38510" yWindow="-110" windowWidth="38620" windowHeight="21220" tabRatio="730" xr2:uid="{00000000-000D-0000-FFFF-FFFF00000000}"/>
  </bookViews>
  <sheets>
    <sheet name="References" sheetId="4" r:id="rId1"/>
    <sheet name="Staff Calcs " sheetId="7" r:id="rId2"/>
    <sheet name="Tariff Changes" sheetId="8" r:id="rId3"/>
    <sheet name="Disposal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1" i="7" l="1"/>
  <c r="D113" i="8" l="1"/>
  <c r="D111" i="8"/>
  <c r="D112" i="8"/>
  <c r="D110" i="8"/>
  <c r="C111" i="8"/>
  <c r="C112" i="8"/>
  <c r="C113" i="8"/>
  <c r="C110" i="8"/>
  <c r="D108" i="8"/>
  <c r="D109" i="8"/>
  <c r="D107" i="8"/>
  <c r="C108" i="8"/>
  <c r="C109" i="8"/>
  <c r="C107" i="8"/>
  <c r="D25" i="8"/>
  <c r="D24" i="8"/>
  <c r="D23" i="8"/>
  <c r="D97" i="8"/>
  <c r="D98" i="8"/>
  <c r="D96" i="8"/>
  <c r="C97" i="8"/>
  <c r="C98" i="8"/>
  <c r="C96" i="8"/>
  <c r="C24" i="8"/>
  <c r="C23" i="8"/>
  <c r="D100" i="8" l="1"/>
  <c r="C100" i="8"/>
  <c r="D86" i="8"/>
  <c r="C86" i="8"/>
  <c r="D28" i="8"/>
  <c r="C28" i="8"/>
  <c r="D26" i="8"/>
  <c r="C26" i="8"/>
  <c r="C25" i="8"/>
  <c r="D13" i="8"/>
  <c r="C13" i="8"/>
  <c r="B60" i="4"/>
  <c r="F47" i="7" l="1"/>
  <c r="G47" i="7"/>
  <c r="G111" i="7"/>
  <c r="G112" i="7"/>
  <c r="G110" i="7"/>
  <c r="G109" i="7"/>
  <c r="G108" i="7"/>
  <c r="G107" i="7"/>
  <c r="G106" i="7"/>
  <c r="G69" i="7"/>
  <c r="H69" i="7" s="1"/>
  <c r="G68" i="7"/>
  <c r="G67" i="7"/>
  <c r="G66" i="7"/>
  <c r="H66" i="7" s="1"/>
  <c r="G53" i="7"/>
  <c r="F66" i="7"/>
  <c r="F67" i="7"/>
  <c r="F68" i="7"/>
  <c r="F69" i="7"/>
  <c r="F53" i="7"/>
  <c r="F106" i="7"/>
  <c r="F107" i="7"/>
  <c r="F108" i="7"/>
  <c r="F109" i="7"/>
  <c r="F112" i="7"/>
  <c r="F111" i="7"/>
  <c r="F110" i="7"/>
  <c r="G34" i="7"/>
  <c r="F34" i="7"/>
  <c r="O34" i="7" s="1"/>
  <c r="G33" i="7"/>
  <c r="F33" i="7"/>
  <c r="O33" i="7" s="1"/>
  <c r="G32" i="7"/>
  <c r="F32" i="7"/>
  <c r="O32" i="7" s="1"/>
  <c r="G31" i="7"/>
  <c r="F31" i="7"/>
  <c r="O31" i="7" s="1"/>
  <c r="H109" i="7" l="1"/>
  <c r="H108" i="7"/>
  <c r="H107" i="7"/>
  <c r="H106" i="7"/>
  <c r="H68" i="7"/>
  <c r="H111" i="7"/>
  <c r="H67" i="7"/>
  <c r="H110" i="7"/>
  <c r="H112" i="7"/>
  <c r="H53" i="7"/>
  <c r="H31" i="7"/>
  <c r="H32" i="7"/>
  <c r="H33" i="7"/>
  <c r="H34" i="7"/>
  <c r="D121" i="7" l="1"/>
  <c r="G81" i="7" l="1"/>
  <c r="F81" i="7"/>
  <c r="G39" i="7"/>
  <c r="F39" i="7"/>
  <c r="O39" i="7" s="1"/>
  <c r="G16" i="7"/>
  <c r="F16" i="7"/>
  <c r="O16" i="7" s="1"/>
  <c r="H81" i="7" l="1"/>
  <c r="H39" i="7"/>
  <c r="H16" i="7"/>
  <c r="F180" i="9"/>
  <c r="F176" i="9"/>
  <c r="F170" i="9"/>
  <c r="F182" i="9" s="1"/>
  <c r="F169" i="9"/>
  <c r="F181" i="9" s="1"/>
  <c r="F168" i="9"/>
  <c r="F167" i="9"/>
  <c r="F179" i="9" s="1"/>
  <c r="F166" i="9"/>
  <c r="F178" i="9" s="1"/>
  <c r="F165" i="9"/>
  <c r="F177" i="9" s="1"/>
  <c r="F164" i="9"/>
  <c r="F163" i="9"/>
  <c r="F175" i="9" s="1"/>
  <c r="F162" i="9"/>
  <c r="F174" i="9" s="1"/>
  <c r="F152" i="9"/>
  <c r="F151" i="9"/>
  <c r="F150" i="9"/>
  <c r="F149" i="9"/>
  <c r="F148" i="9"/>
  <c r="B104" i="9"/>
  <c r="A104" i="9"/>
  <c r="C101" i="9"/>
  <c r="F87" i="9"/>
  <c r="F121" i="9" s="1"/>
  <c r="F86" i="9"/>
  <c r="F120" i="9" s="1"/>
  <c r="F85" i="9"/>
  <c r="F119" i="9" s="1"/>
  <c r="F84" i="9"/>
  <c r="F118" i="9" s="1"/>
  <c r="F83" i="9"/>
  <c r="F117" i="9" s="1"/>
  <c r="F82" i="9"/>
  <c r="F116" i="9" s="1"/>
  <c r="F81" i="9"/>
  <c r="F115" i="9" s="1"/>
  <c r="F79" i="9"/>
  <c r="F112" i="9" s="1"/>
  <c r="F78" i="9"/>
  <c r="F111" i="9" s="1"/>
  <c r="F77" i="9"/>
  <c r="F110" i="9" s="1"/>
  <c r="F76" i="9"/>
  <c r="F109" i="9" s="1"/>
  <c r="F75" i="9"/>
  <c r="F108" i="9" s="1"/>
  <c r="F70" i="9"/>
  <c r="F101" i="9" s="1"/>
  <c r="F69" i="9"/>
  <c r="F100" i="9" s="1"/>
  <c r="F68" i="9"/>
  <c r="F99" i="9" s="1"/>
  <c r="F67" i="9"/>
  <c r="F98" i="9" s="1"/>
  <c r="F66" i="9"/>
  <c r="F97" i="9" s="1"/>
  <c r="F53" i="9"/>
  <c r="F52" i="9"/>
  <c r="F122" i="9" s="1"/>
  <c r="F51" i="9"/>
  <c r="F48" i="9"/>
  <c r="A48" i="9"/>
  <c r="A51" i="9" s="1"/>
  <c r="F45" i="9"/>
  <c r="F39" i="9"/>
  <c r="F113" i="9" s="1"/>
  <c r="F38" i="9"/>
  <c r="A38" i="9"/>
  <c r="F35" i="9"/>
  <c r="F30" i="9"/>
  <c r="F106" i="9" s="1"/>
  <c r="A30" i="9"/>
  <c r="F25" i="9"/>
  <c r="F102" i="9" s="1"/>
  <c r="F23" i="9"/>
  <c r="B23" i="9"/>
  <c r="B101" i="9" s="1"/>
  <c r="F20" i="9"/>
  <c r="B20" i="9"/>
  <c r="A20" i="9"/>
  <c r="A21" i="9" s="1"/>
  <c r="A23" i="9" s="1"/>
  <c r="A101" i="9" s="1"/>
  <c r="H4" i="9"/>
  <c r="G4" i="9"/>
  <c r="H3" i="9"/>
  <c r="I3" i="9" s="1"/>
  <c r="J3" i="9" l="1"/>
  <c r="I4" i="9"/>
  <c r="K3" i="9" l="1"/>
  <c r="J4" i="9"/>
  <c r="K4" i="9" l="1"/>
  <c r="L3" i="9"/>
  <c r="L4" i="9" l="1"/>
  <c r="M3" i="9"/>
  <c r="M4" i="9" l="1"/>
  <c r="N3" i="9"/>
  <c r="N4" i="9" l="1"/>
  <c r="O3" i="9"/>
  <c r="O4" i="9" l="1"/>
  <c r="P3" i="9"/>
  <c r="Q3" i="9" l="1"/>
  <c r="P4" i="9"/>
  <c r="R3" i="9" l="1"/>
  <c r="R4" i="9" s="1"/>
  <c r="Q4" i="9"/>
  <c r="C29" i="8" l="1"/>
  <c r="C30" i="8"/>
  <c r="C31" i="8"/>
  <c r="C32" i="8"/>
  <c r="C33" i="8"/>
  <c r="C34" i="8"/>
  <c r="C27" i="8"/>
  <c r="C141" i="8"/>
  <c r="C148" i="8" s="1"/>
  <c r="C142" i="8"/>
  <c r="C149" i="8" s="1"/>
  <c r="C143" i="8"/>
  <c r="C150" i="8" s="1"/>
  <c r="C144" i="8"/>
  <c r="C151" i="8" s="1"/>
  <c r="C145" i="8"/>
  <c r="C152" i="8" s="1"/>
  <c r="C140" i="8"/>
  <c r="C147" i="8" s="1"/>
  <c r="C126" i="8"/>
  <c r="C133" i="8" s="1"/>
  <c r="C127" i="8"/>
  <c r="C134" i="8" s="1"/>
  <c r="C128" i="8"/>
  <c r="C135" i="8" s="1"/>
  <c r="C129" i="8"/>
  <c r="C136" i="8" s="1"/>
  <c r="C130" i="8"/>
  <c r="C137" i="8" s="1"/>
  <c r="C125" i="8"/>
  <c r="C132" i="8" s="1"/>
  <c r="C122" i="8"/>
  <c r="C121" i="8"/>
  <c r="C120" i="8"/>
  <c r="C118" i="8"/>
  <c r="C117" i="8"/>
  <c r="C116" i="8"/>
  <c r="C102" i="8"/>
  <c r="C103" i="8"/>
  <c r="C104" i="8"/>
  <c r="C105" i="8"/>
  <c r="C101" i="8"/>
  <c r="C99" i="8"/>
  <c r="C88" i="8"/>
  <c r="C89" i="8"/>
  <c r="C90" i="8"/>
  <c r="C91" i="8"/>
  <c r="C92" i="8"/>
  <c r="C93" i="8"/>
  <c r="C94" i="8"/>
  <c r="C87" i="8"/>
  <c r="C85" i="8"/>
  <c r="C81" i="8"/>
  <c r="C80" i="8"/>
  <c r="C73" i="8"/>
  <c r="C74" i="8"/>
  <c r="C75" i="8"/>
  <c r="C76" i="8"/>
  <c r="C77" i="8"/>
  <c r="C72" i="8"/>
  <c r="C58" i="8"/>
  <c r="C65" i="8" s="1"/>
  <c r="C59" i="8"/>
  <c r="C66" i="8" s="1"/>
  <c r="C60" i="8"/>
  <c r="C67" i="8" s="1"/>
  <c r="C61" i="8"/>
  <c r="C68" i="8" s="1"/>
  <c r="C62" i="8"/>
  <c r="C69" i="8" s="1"/>
  <c r="C57" i="8"/>
  <c r="C49" i="8"/>
  <c r="C50" i="8"/>
  <c r="C51" i="8"/>
  <c r="C52" i="8"/>
  <c r="C53" i="8"/>
  <c r="C54" i="8"/>
  <c r="C48" i="8"/>
  <c r="C37" i="8"/>
  <c r="C38" i="8"/>
  <c r="C39" i="8"/>
  <c r="C40" i="8"/>
  <c r="C41" i="8"/>
  <c r="C42" i="8"/>
  <c r="C43" i="8"/>
  <c r="C44" i="8"/>
  <c r="C45" i="8"/>
  <c r="C46" i="8"/>
  <c r="C36" i="8"/>
  <c r="C20" i="8"/>
  <c r="C15" i="8"/>
  <c r="C16" i="8"/>
  <c r="C17" i="8"/>
  <c r="C14" i="8"/>
  <c r="C12" i="8"/>
  <c r="C11" i="8"/>
  <c r="C10" i="8"/>
  <c r="C9" i="8"/>
  <c r="C8" i="8"/>
  <c r="E131" i="8"/>
  <c r="E119" i="8"/>
  <c r="E47" i="8"/>
  <c r="C64" i="8" l="1"/>
  <c r="G114" i="7"/>
  <c r="G113" i="7"/>
  <c r="F113" i="7" l="1"/>
  <c r="H113" i="7" s="1"/>
  <c r="F114" i="7"/>
  <c r="H114" i="7" s="1"/>
  <c r="B3" i="4"/>
  <c r="G50" i="4" l="1"/>
  <c r="G52" i="4"/>
  <c r="D122" i="7"/>
  <c r="F105" i="7"/>
  <c r="F104" i="7"/>
  <c r="F103" i="7"/>
  <c r="F102" i="7"/>
  <c r="F101" i="7"/>
  <c r="F100" i="7"/>
  <c r="F99" i="7"/>
  <c r="F15" i="7" l="1"/>
  <c r="F40" i="7"/>
  <c r="F41" i="7"/>
  <c r="F42" i="7"/>
  <c r="F43" i="7"/>
  <c r="F44" i="7"/>
  <c r="F45" i="7"/>
  <c r="F46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5" i="7"/>
  <c r="F17" i="7"/>
  <c r="O17" i="7" l="1"/>
  <c r="G47" i="4" l="1"/>
  <c r="G95" i="7" l="1"/>
  <c r="G96" i="7"/>
  <c r="G97" i="7"/>
  <c r="G98" i="7"/>
  <c r="G94" i="7"/>
  <c r="G93" i="7"/>
  <c r="G89" i="7"/>
  <c r="G90" i="7"/>
  <c r="G91" i="7"/>
  <c r="G92" i="7"/>
  <c r="G87" i="7"/>
  <c r="G88" i="7"/>
  <c r="G86" i="7"/>
  <c r="G85" i="7"/>
  <c r="G84" i="7"/>
  <c r="G83" i="7"/>
  <c r="G82" i="7"/>
  <c r="G17" i="7"/>
  <c r="G77" i="7"/>
  <c r="G78" i="7"/>
  <c r="G79" i="7"/>
  <c r="G80" i="7"/>
  <c r="G76" i="7"/>
  <c r="G75" i="7"/>
  <c r="G74" i="7"/>
  <c r="G72" i="7"/>
  <c r="G73" i="7"/>
  <c r="G71" i="7"/>
  <c r="G70" i="7"/>
  <c r="G60" i="7"/>
  <c r="G100" i="7" s="1"/>
  <c r="H100" i="7" s="1"/>
  <c r="G61" i="7"/>
  <c r="G101" i="7" s="1"/>
  <c r="H101" i="7" s="1"/>
  <c r="G62" i="7"/>
  <c r="G102" i="7" s="1"/>
  <c r="H102" i="7" s="1"/>
  <c r="G63" i="7"/>
  <c r="G103" i="7" s="1"/>
  <c r="H103" i="7" s="1"/>
  <c r="G64" i="7"/>
  <c r="G104" i="7" s="1"/>
  <c r="H104" i="7" s="1"/>
  <c r="G65" i="7"/>
  <c r="G105" i="7" s="1"/>
  <c r="H105" i="7" s="1"/>
  <c r="G59" i="7"/>
  <c r="G99" i="7" s="1"/>
  <c r="H99" i="7" s="1"/>
  <c r="G58" i="7"/>
  <c r="G57" i="7"/>
  <c r="G56" i="7"/>
  <c r="G55" i="7"/>
  <c r="G54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H82" i="7" s="1"/>
  <c r="F80" i="7"/>
  <c r="F79" i="7"/>
  <c r="F78" i="7"/>
  <c r="F77" i="7"/>
  <c r="F76" i="7"/>
  <c r="F75" i="7"/>
  <c r="F74" i="7"/>
  <c r="H74" i="7" s="1"/>
  <c r="F73" i="7"/>
  <c r="F72" i="7"/>
  <c r="O47" i="7"/>
  <c r="F71" i="7"/>
  <c r="F70" i="7"/>
  <c r="F65" i="7"/>
  <c r="F64" i="7"/>
  <c r="F63" i="7"/>
  <c r="F62" i="7"/>
  <c r="F61" i="7"/>
  <c r="F60" i="7"/>
  <c r="F59" i="7"/>
  <c r="F58" i="7"/>
  <c r="F57" i="7"/>
  <c r="F56" i="7"/>
  <c r="F55" i="7"/>
  <c r="H55" i="7" s="1"/>
  <c r="F54" i="7"/>
  <c r="H86" i="7" l="1"/>
  <c r="H94" i="7"/>
  <c r="H83" i="7"/>
  <c r="H58" i="7"/>
  <c r="H70" i="7"/>
  <c r="H91" i="7"/>
  <c r="H95" i="7"/>
  <c r="H89" i="7"/>
  <c r="H72" i="7"/>
  <c r="H80" i="7"/>
  <c r="H78" i="7"/>
  <c r="H87" i="7"/>
  <c r="H60" i="7"/>
  <c r="H64" i="7"/>
  <c r="H54" i="7"/>
  <c r="H47" i="7"/>
  <c r="H57" i="7"/>
  <c r="H73" i="7"/>
  <c r="H77" i="7"/>
  <c r="H93" i="7"/>
  <c r="H97" i="7"/>
  <c r="H56" i="7"/>
  <c r="H75" i="7"/>
  <c r="H84" i="7"/>
  <c r="H61" i="7"/>
  <c r="H65" i="7"/>
  <c r="H76" i="7"/>
  <c r="H17" i="7"/>
  <c r="H85" i="7"/>
  <c r="H92" i="7"/>
  <c r="H96" i="7"/>
  <c r="H62" i="7"/>
  <c r="H79" i="7"/>
  <c r="H88" i="7"/>
  <c r="H59" i="7"/>
  <c r="H71" i="7"/>
  <c r="H90" i="7"/>
  <c r="H98" i="7"/>
  <c r="H63" i="7"/>
  <c r="G41" i="7" l="1"/>
  <c r="G42" i="7"/>
  <c r="G43" i="7"/>
  <c r="G44" i="7"/>
  <c r="G45" i="7"/>
  <c r="G46" i="7"/>
  <c r="G40" i="7"/>
  <c r="G35" i="7"/>
  <c r="G27" i="7"/>
  <c r="G28" i="7"/>
  <c r="G29" i="7"/>
  <c r="G30" i="7"/>
  <c r="G26" i="7"/>
  <c r="G25" i="7"/>
  <c r="G20" i="7"/>
  <c r="G21" i="7"/>
  <c r="G22" i="7"/>
  <c r="G23" i="7"/>
  <c r="G24" i="7"/>
  <c r="G19" i="7"/>
  <c r="G18" i="7"/>
  <c r="G15" i="7"/>
  <c r="O10" i="7"/>
  <c r="G10" i="7"/>
  <c r="F49" i="7" l="1"/>
  <c r="O46" i="7" l="1"/>
  <c r="H46" i="7"/>
  <c r="O45" i="7"/>
  <c r="H45" i="7"/>
  <c r="O44" i="7"/>
  <c r="H44" i="7"/>
  <c r="O35" i="7"/>
  <c r="H35" i="7"/>
  <c r="O30" i="7"/>
  <c r="H30" i="7"/>
  <c r="O29" i="7"/>
  <c r="H29" i="7"/>
  <c r="O24" i="7" l="1"/>
  <c r="H24" i="7"/>
  <c r="G9" i="7" l="1"/>
  <c r="G8" i="7"/>
  <c r="G6" i="7"/>
  <c r="G5" i="7"/>
  <c r="G4" i="7"/>
  <c r="O9" i="7"/>
  <c r="O8" i="7"/>
  <c r="O7" i="7"/>
  <c r="G7" i="7"/>
  <c r="O6" i="7"/>
  <c r="O5" i="7"/>
  <c r="O4" i="7"/>
  <c r="O3" i="7"/>
  <c r="G3" i="7"/>
  <c r="O2" i="7"/>
  <c r="G2" i="7"/>
  <c r="O25" i="7" l="1"/>
  <c r="O26" i="7"/>
  <c r="O27" i="7"/>
  <c r="O28" i="7"/>
  <c r="O18" i="7"/>
  <c r="O15" i="7"/>
  <c r="D38" i="7"/>
  <c r="F38" i="7"/>
  <c r="H28" i="7"/>
  <c r="H27" i="7"/>
  <c r="H26" i="7"/>
  <c r="H25" i="7"/>
  <c r="H19" i="7" l="1"/>
  <c r="H20" i="7"/>
  <c r="H23" i="7"/>
  <c r="H22" i="7"/>
  <c r="H21" i="7"/>
  <c r="H18" i="7"/>
  <c r="O23" i="7"/>
  <c r="O22" i="7"/>
  <c r="O21" i="7"/>
  <c r="O20" i="7"/>
  <c r="O19" i="7"/>
  <c r="H15" i="7"/>
  <c r="O38" i="7" l="1"/>
  <c r="H38" i="7"/>
  <c r="B54" i="4" l="1"/>
  <c r="D49" i="7" l="1"/>
  <c r="D12" i="7" l="1"/>
  <c r="D50" i="7" s="1"/>
  <c r="B51" i="4" l="1"/>
  <c r="O12" i="7" l="1"/>
  <c r="B4" i="4" l="1"/>
  <c r="B5" i="4"/>
  <c r="B6" i="4"/>
  <c r="D5" i="4" l="1"/>
  <c r="C4" i="4"/>
  <c r="E4" i="4"/>
  <c r="G4" i="4"/>
  <c r="F5" i="4"/>
  <c r="C5" i="4"/>
  <c r="D4" i="4"/>
  <c r="F4" i="4"/>
  <c r="H4" i="4"/>
  <c r="C6" i="4"/>
  <c r="H6" i="4"/>
  <c r="E5" i="4"/>
  <c r="G5" i="4"/>
  <c r="H5" i="4"/>
  <c r="C3" i="4"/>
  <c r="D3" i="4"/>
  <c r="E3" i="4"/>
  <c r="F3" i="4"/>
  <c r="G3" i="4"/>
  <c r="H3" i="4"/>
  <c r="G6" i="4" l="1"/>
  <c r="F6" i="4"/>
  <c r="E6" i="4"/>
  <c r="D6" i="4"/>
  <c r="B49" i="4" l="1"/>
  <c r="B52" i="4" s="1"/>
  <c r="B53" i="4" s="1"/>
  <c r="B55" i="4" s="1"/>
  <c r="C48" i="4"/>
  <c r="C47" i="4"/>
  <c r="B9" i="4"/>
  <c r="E10" i="7" s="1"/>
  <c r="F10" i="7" s="1"/>
  <c r="B8" i="4"/>
  <c r="B7" i="4"/>
  <c r="H10" i="7" l="1"/>
  <c r="E6" i="7"/>
  <c r="F6" i="7" s="1"/>
  <c r="H6" i="7" s="1"/>
  <c r="E2" i="7"/>
  <c r="F2" i="7" s="1"/>
  <c r="H2" i="7" s="1"/>
  <c r="E9" i="7"/>
  <c r="F9" i="7" s="1"/>
  <c r="H9" i="7" s="1"/>
  <c r="E7" i="7"/>
  <c r="F7" i="7" s="1"/>
  <c r="H7" i="7" s="1"/>
  <c r="E4" i="7"/>
  <c r="F4" i="7" s="1"/>
  <c r="H4" i="7" s="1"/>
  <c r="E3" i="7"/>
  <c r="F3" i="7" s="1"/>
  <c r="H3" i="7" s="1"/>
  <c r="E8" i="7"/>
  <c r="F8" i="7" s="1"/>
  <c r="H8" i="7" s="1"/>
  <c r="E5" i="7"/>
  <c r="F5" i="7" s="1"/>
  <c r="H5" i="7" s="1"/>
  <c r="H8" i="4"/>
  <c r="G8" i="4"/>
  <c r="F8" i="4"/>
  <c r="E8" i="4"/>
  <c r="D8" i="4"/>
  <c r="C8" i="4"/>
  <c r="H7" i="4"/>
  <c r="C7" i="4"/>
  <c r="G7" i="4"/>
  <c r="F7" i="4"/>
  <c r="E7" i="4"/>
  <c r="D7" i="4"/>
  <c r="H9" i="4"/>
  <c r="G9" i="4"/>
  <c r="F9" i="4"/>
  <c r="E9" i="4"/>
  <c r="D9" i="4"/>
  <c r="C9" i="4"/>
  <c r="C49" i="4"/>
  <c r="H41" i="7" l="1"/>
  <c r="O41" i="7"/>
  <c r="H42" i="7"/>
  <c r="O42" i="7"/>
  <c r="H40" i="7"/>
  <c r="O40" i="7"/>
  <c r="O43" i="7"/>
  <c r="H43" i="7"/>
  <c r="T116" i="7"/>
  <c r="H12" i="7" l="1"/>
  <c r="F12" i="7"/>
  <c r="F50" i="7" s="1"/>
  <c r="D123" i="7" s="1"/>
  <c r="O49" i="7" l="1"/>
  <c r="H49" i="7"/>
  <c r="O50" i="7" l="1"/>
  <c r="H50" i="7"/>
  <c r="D124" i="7" s="1"/>
  <c r="I68" i="7" l="1"/>
  <c r="J68" i="7" s="1"/>
  <c r="K68" i="7" s="1"/>
  <c r="L68" i="7" s="1"/>
  <c r="N68" i="7" s="1"/>
  <c r="I69" i="7"/>
  <c r="J69" i="7" s="1"/>
  <c r="K69" i="7" s="1"/>
  <c r="L69" i="7" s="1"/>
  <c r="N69" i="7" s="1"/>
  <c r="I66" i="7"/>
  <c r="J66" i="7" s="1"/>
  <c r="K66" i="7" s="1"/>
  <c r="L66" i="7" s="1"/>
  <c r="N66" i="7" s="1"/>
  <c r="I67" i="7"/>
  <c r="J67" i="7" s="1"/>
  <c r="K67" i="7" s="1"/>
  <c r="L67" i="7" s="1"/>
  <c r="N67" i="7" s="1"/>
  <c r="I53" i="7"/>
  <c r="J53" i="7" s="1"/>
  <c r="K53" i="7" s="1"/>
  <c r="L53" i="7" s="1"/>
  <c r="N53" i="7" s="1"/>
  <c r="I107" i="7"/>
  <c r="J107" i="7" s="1"/>
  <c r="K107" i="7" s="1"/>
  <c r="L107" i="7" s="1"/>
  <c r="N107" i="7" s="1"/>
  <c r="I109" i="7"/>
  <c r="J109" i="7" s="1"/>
  <c r="K109" i="7" s="1"/>
  <c r="L109" i="7" s="1"/>
  <c r="N109" i="7" s="1"/>
  <c r="I106" i="7"/>
  <c r="J106" i="7" s="1"/>
  <c r="K106" i="7" s="1"/>
  <c r="L106" i="7" s="1"/>
  <c r="N106" i="7" s="1"/>
  <c r="I112" i="7"/>
  <c r="J112" i="7" s="1"/>
  <c r="K112" i="7" s="1"/>
  <c r="L112" i="7" s="1"/>
  <c r="N112" i="7" s="1"/>
  <c r="I108" i="7"/>
  <c r="J108" i="7" s="1"/>
  <c r="K108" i="7" s="1"/>
  <c r="L108" i="7" s="1"/>
  <c r="N108" i="7" s="1"/>
  <c r="I111" i="7"/>
  <c r="J111" i="7" s="1"/>
  <c r="K111" i="7" s="1"/>
  <c r="L111" i="7" s="1"/>
  <c r="N111" i="7" s="1"/>
  <c r="I110" i="7"/>
  <c r="J110" i="7" s="1"/>
  <c r="K110" i="7" s="1"/>
  <c r="L110" i="7" s="1"/>
  <c r="N110" i="7" s="1"/>
  <c r="I33" i="7"/>
  <c r="J33" i="7" s="1"/>
  <c r="K33" i="7" s="1"/>
  <c r="L33" i="7" s="1"/>
  <c r="N33" i="7" s="1"/>
  <c r="I34" i="7"/>
  <c r="J34" i="7" s="1"/>
  <c r="K34" i="7" s="1"/>
  <c r="L34" i="7" s="1"/>
  <c r="N34" i="7" s="1"/>
  <c r="I31" i="7"/>
  <c r="J31" i="7" s="1"/>
  <c r="K31" i="7" s="1"/>
  <c r="L31" i="7" s="1"/>
  <c r="N31" i="7" s="1"/>
  <c r="I32" i="7"/>
  <c r="J32" i="7" s="1"/>
  <c r="K32" i="7" s="1"/>
  <c r="L32" i="7" s="1"/>
  <c r="N32" i="7" s="1"/>
  <c r="I81" i="7"/>
  <c r="J81" i="7" s="1"/>
  <c r="K81" i="7" s="1"/>
  <c r="L81" i="7" s="1"/>
  <c r="N81" i="7" s="1"/>
  <c r="I39" i="7"/>
  <c r="J39" i="7" s="1"/>
  <c r="K39" i="7" s="1"/>
  <c r="L39" i="7" s="1"/>
  <c r="N39" i="7" s="1"/>
  <c r="I16" i="7"/>
  <c r="J16" i="7" s="1"/>
  <c r="K16" i="7" s="1"/>
  <c r="L16" i="7" s="1"/>
  <c r="N16" i="7" s="1"/>
  <c r="I114" i="7"/>
  <c r="J114" i="7" s="1"/>
  <c r="K114" i="7" s="1"/>
  <c r="L114" i="7" s="1"/>
  <c r="D81" i="8" s="1"/>
  <c r="I113" i="7"/>
  <c r="J113" i="7" s="1"/>
  <c r="K113" i="7" s="1"/>
  <c r="L113" i="7" s="1"/>
  <c r="D80" i="8" s="1"/>
  <c r="I100" i="7"/>
  <c r="J100" i="7" s="1"/>
  <c r="K100" i="7" s="1"/>
  <c r="L100" i="7" s="1"/>
  <c r="D49" i="8" s="1"/>
  <c r="I105" i="7"/>
  <c r="J105" i="7" s="1"/>
  <c r="K105" i="7" s="1"/>
  <c r="L105" i="7" s="1"/>
  <c r="D54" i="8" s="1"/>
  <c r="I101" i="7"/>
  <c r="J101" i="7" s="1"/>
  <c r="K101" i="7" s="1"/>
  <c r="L101" i="7" s="1"/>
  <c r="D50" i="8" s="1"/>
  <c r="I104" i="7"/>
  <c r="J104" i="7" s="1"/>
  <c r="K104" i="7" s="1"/>
  <c r="L104" i="7" s="1"/>
  <c r="D53" i="8" s="1"/>
  <c r="I103" i="7"/>
  <c r="J103" i="7" s="1"/>
  <c r="K103" i="7" s="1"/>
  <c r="L103" i="7" s="1"/>
  <c r="D52" i="8" s="1"/>
  <c r="I102" i="7"/>
  <c r="J102" i="7" s="1"/>
  <c r="K102" i="7" s="1"/>
  <c r="L102" i="7" s="1"/>
  <c r="D51" i="8" s="1"/>
  <c r="I99" i="7"/>
  <c r="J99" i="7" s="1"/>
  <c r="K99" i="7" s="1"/>
  <c r="L99" i="7" s="1"/>
  <c r="D48" i="8" s="1"/>
  <c r="I10" i="7"/>
  <c r="J10" i="7" s="1"/>
  <c r="K10" i="7" s="1"/>
  <c r="L10" i="7" s="1"/>
  <c r="I54" i="7"/>
  <c r="J54" i="7" s="1"/>
  <c r="K54" i="7" s="1"/>
  <c r="L54" i="7" s="1"/>
  <c r="I56" i="7"/>
  <c r="J56" i="7" s="1"/>
  <c r="K56" i="7" s="1"/>
  <c r="L56" i="7" s="1"/>
  <c r="D37" i="8" s="1"/>
  <c r="I60" i="7"/>
  <c r="J60" i="7" s="1"/>
  <c r="K60" i="7" s="1"/>
  <c r="L60" i="7" s="1"/>
  <c r="I64" i="7"/>
  <c r="J64" i="7" s="1"/>
  <c r="K64" i="7" s="1"/>
  <c r="L64" i="7" s="1"/>
  <c r="D45" i="8" s="1"/>
  <c r="I47" i="7"/>
  <c r="J47" i="7" s="1"/>
  <c r="K47" i="7" s="1"/>
  <c r="L47" i="7" s="1"/>
  <c r="D59" i="8" s="1"/>
  <c r="D66" i="8" s="1"/>
  <c r="E66" i="8" s="1"/>
  <c r="I75" i="7"/>
  <c r="J75" i="7" s="1"/>
  <c r="K75" i="7" s="1"/>
  <c r="L75" i="7" s="1"/>
  <c r="D72" i="8" s="1"/>
  <c r="I79" i="7"/>
  <c r="J79" i="7" s="1"/>
  <c r="K79" i="7" s="1"/>
  <c r="L79" i="7" s="1"/>
  <c r="D76" i="8" s="1"/>
  <c r="I84" i="7"/>
  <c r="J84" i="7" s="1"/>
  <c r="K84" i="7" s="1"/>
  <c r="L84" i="7" s="1"/>
  <c r="D120" i="8" s="1"/>
  <c r="I88" i="7"/>
  <c r="J88" i="7" s="1"/>
  <c r="K88" i="7" s="1"/>
  <c r="L88" i="7" s="1"/>
  <c r="D126" i="8" s="1"/>
  <c r="I92" i="7"/>
  <c r="J92" i="7" s="1"/>
  <c r="K92" i="7" s="1"/>
  <c r="L92" i="7" s="1"/>
  <c r="D130" i="8" s="1"/>
  <c r="I96" i="7"/>
  <c r="J96" i="7" s="1"/>
  <c r="K96" i="7" s="1"/>
  <c r="L96" i="7" s="1"/>
  <c r="D143" i="8" s="1"/>
  <c r="I55" i="7"/>
  <c r="J55" i="7" s="1"/>
  <c r="K55" i="7" s="1"/>
  <c r="L55" i="7" s="1"/>
  <c r="I63" i="7"/>
  <c r="J63" i="7" s="1"/>
  <c r="K63" i="7" s="1"/>
  <c r="L63" i="7" s="1"/>
  <c r="I78" i="7"/>
  <c r="J78" i="7" s="1"/>
  <c r="K78" i="7" s="1"/>
  <c r="L78" i="7" s="1"/>
  <c r="D75" i="8" s="1"/>
  <c r="I87" i="7"/>
  <c r="J87" i="7" s="1"/>
  <c r="K87" i="7" s="1"/>
  <c r="L87" i="7" s="1"/>
  <c r="D125" i="8" s="1"/>
  <c r="I57" i="7"/>
  <c r="J57" i="7" s="1"/>
  <c r="K57" i="7" s="1"/>
  <c r="L57" i="7" s="1"/>
  <c r="D38" i="8" s="1"/>
  <c r="I61" i="7"/>
  <c r="J61" i="7" s="1"/>
  <c r="K61" i="7" s="1"/>
  <c r="L61" i="7" s="1"/>
  <c r="D42" i="8" s="1"/>
  <c r="I65" i="7"/>
  <c r="J65" i="7" s="1"/>
  <c r="K65" i="7" s="1"/>
  <c r="L65" i="7" s="1"/>
  <c r="D46" i="8" s="1"/>
  <c r="I72" i="7"/>
  <c r="J72" i="7" s="1"/>
  <c r="K72" i="7" s="1"/>
  <c r="L72" i="7" s="1"/>
  <c r="D60" i="8" s="1"/>
  <c r="D67" i="8" s="1"/>
  <c r="E67" i="8" s="1"/>
  <c r="I76" i="7"/>
  <c r="J76" i="7" s="1"/>
  <c r="K76" i="7" s="1"/>
  <c r="L76" i="7" s="1"/>
  <c r="D73" i="8" s="1"/>
  <c r="I80" i="7"/>
  <c r="J80" i="7" s="1"/>
  <c r="K80" i="7" s="1"/>
  <c r="L80" i="7" s="1"/>
  <c r="D77" i="8" s="1"/>
  <c r="I17" i="7"/>
  <c r="J17" i="7" s="1"/>
  <c r="K17" i="7" s="1"/>
  <c r="L17" i="7" s="1"/>
  <c r="E100" i="8"/>
  <c r="I85" i="7"/>
  <c r="J85" i="7" s="1"/>
  <c r="K85" i="7" s="1"/>
  <c r="L85" i="7" s="1"/>
  <c r="D121" i="8" s="1"/>
  <c r="I89" i="7"/>
  <c r="J89" i="7" s="1"/>
  <c r="K89" i="7" s="1"/>
  <c r="L89" i="7" s="1"/>
  <c r="D127" i="8" s="1"/>
  <c r="D134" i="8" s="1"/>
  <c r="E134" i="8" s="1"/>
  <c r="I93" i="7"/>
  <c r="J93" i="7" s="1"/>
  <c r="K93" i="7" s="1"/>
  <c r="L93" i="7" s="1"/>
  <c r="D140" i="8" s="1"/>
  <c r="I97" i="7"/>
  <c r="J97" i="7" s="1"/>
  <c r="K97" i="7" s="1"/>
  <c r="L97" i="7" s="1"/>
  <c r="D144" i="8" s="1"/>
  <c r="I59" i="7"/>
  <c r="J59" i="7" s="1"/>
  <c r="K59" i="7" s="1"/>
  <c r="L59" i="7" s="1"/>
  <c r="I71" i="7"/>
  <c r="J71" i="7" s="1"/>
  <c r="K71" i="7" s="1"/>
  <c r="L71" i="7" s="1"/>
  <c r="D58" i="8" s="1"/>
  <c r="I83" i="7"/>
  <c r="J83" i="7" s="1"/>
  <c r="K83" i="7" s="1"/>
  <c r="L83" i="7" s="1"/>
  <c r="D118" i="8" s="1"/>
  <c r="I91" i="7"/>
  <c r="J91" i="7" s="1"/>
  <c r="K91" i="7" s="1"/>
  <c r="L91" i="7" s="1"/>
  <c r="D129" i="8" s="1"/>
  <c r="I58" i="7"/>
  <c r="J58" i="7" s="1"/>
  <c r="K58" i="7" s="1"/>
  <c r="L58" i="7" s="1"/>
  <c r="D39" i="8" s="1"/>
  <c r="I62" i="7"/>
  <c r="J62" i="7" s="1"/>
  <c r="K62" i="7" s="1"/>
  <c r="L62" i="7" s="1"/>
  <c r="D43" i="8" s="1"/>
  <c r="I70" i="7"/>
  <c r="J70" i="7" s="1"/>
  <c r="K70" i="7" s="1"/>
  <c r="L70" i="7" s="1"/>
  <c r="D57" i="8" s="1"/>
  <c r="I73" i="7"/>
  <c r="J73" i="7" s="1"/>
  <c r="K73" i="7" s="1"/>
  <c r="L73" i="7" s="1"/>
  <c r="D61" i="8" s="1"/>
  <c r="D68" i="8" s="1"/>
  <c r="E68" i="8" s="1"/>
  <c r="I77" i="7"/>
  <c r="J77" i="7" s="1"/>
  <c r="K77" i="7" s="1"/>
  <c r="L77" i="7" s="1"/>
  <c r="D74" i="8" s="1"/>
  <c r="I82" i="7"/>
  <c r="J82" i="7" s="1"/>
  <c r="K82" i="7" s="1"/>
  <c r="L82" i="7" s="1"/>
  <c r="D117" i="8" s="1"/>
  <c r="I86" i="7"/>
  <c r="J86" i="7" s="1"/>
  <c r="K86" i="7" s="1"/>
  <c r="L86" i="7" s="1"/>
  <c r="D122" i="8" s="1"/>
  <c r="I90" i="7"/>
  <c r="J90" i="7" s="1"/>
  <c r="K90" i="7" s="1"/>
  <c r="L90" i="7" s="1"/>
  <c r="D128" i="8" s="1"/>
  <c r="I94" i="7"/>
  <c r="J94" i="7" s="1"/>
  <c r="K94" i="7" s="1"/>
  <c r="L94" i="7" s="1"/>
  <c r="D141" i="8" s="1"/>
  <c r="I98" i="7"/>
  <c r="J98" i="7" s="1"/>
  <c r="K98" i="7" s="1"/>
  <c r="L98" i="7" s="1"/>
  <c r="D145" i="8" s="1"/>
  <c r="I74" i="7"/>
  <c r="J74" i="7" s="1"/>
  <c r="K74" i="7" s="1"/>
  <c r="L74" i="7" s="1"/>
  <c r="D62" i="8" s="1"/>
  <c r="D69" i="8" s="1"/>
  <c r="E69" i="8" s="1"/>
  <c r="I95" i="7"/>
  <c r="J95" i="7" s="1"/>
  <c r="K95" i="7" s="1"/>
  <c r="L95" i="7" s="1"/>
  <c r="D142" i="8" s="1"/>
  <c r="I46" i="7"/>
  <c r="J46" i="7" s="1"/>
  <c r="K46" i="7" s="1"/>
  <c r="L46" i="7" s="1"/>
  <c r="I44" i="7"/>
  <c r="J44" i="7" s="1"/>
  <c r="K44" i="7" s="1"/>
  <c r="L44" i="7" s="1"/>
  <c r="D32" i="8" s="1"/>
  <c r="E32" i="8" s="1"/>
  <c r="I45" i="7"/>
  <c r="J45" i="7" s="1"/>
  <c r="K45" i="7" s="1"/>
  <c r="L45" i="7" s="1"/>
  <c r="D33" i="8" s="1"/>
  <c r="E33" i="8" s="1"/>
  <c r="I35" i="7"/>
  <c r="J35" i="7" s="1"/>
  <c r="K35" i="7" s="1"/>
  <c r="L35" i="7" s="1"/>
  <c r="D116" i="8" s="1"/>
  <c r="I30" i="7"/>
  <c r="J30" i="7" s="1"/>
  <c r="K30" i="7" s="1"/>
  <c r="L30" i="7" s="1"/>
  <c r="D105" i="8" s="1"/>
  <c r="I29" i="7"/>
  <c r="J29" i="7" s="1"/>
  <c r="K29" i="7" s="1"/>
  <c r="L29" i="7" s="1"/>
  <c r="D104" i="8" s="1"/>
  <c r="E104" i="8" s="1"/>
  <c r="I24" i="7"/>
  <c r="J24" i="7" s="1"/>
  <c r="K24" i="7" s="1"/>
  <c r="L24" i="7" s="1"/>
  <c r="I7" i="7"/>
  <c r="J7" i="7" s="1"/>
  <c r="K7" i="7" s="1"/>
  <c r="L7" i="7" s="1"/>
  <c r="D14" i="8" s="1"/>
  <c r="I3" i="7"/>
  <c r="J3" i="7" s="1"/>
  <c r="K3" i="7" s="1"/>
  <c r="L3" i="7" s="1"/>
  <c r="I6" i="7"/>
  <c r="J6" i="7" s="1"/>
  <c r="K6" i="7" s="1"/>
  <c r="L6" i="7" s="1"/>
  <c r="D12" i="8" s="1"/>
  <c r="E12" i="8" s="1"/>
  <c r="I8" i="7"/>
  <c r="J8" i="7" s="1"/>
  <c r="K8" i="7" s="1"/>
  <c r="L8" i="7" s="1"/>
  <c r="D15" i="8" s="1"/>
  <c r="E15" i="8" s="1"/>
  <c r="I4" i="7"/>
  <c r="J4" i="7" s="1"/>
  <c r="K4" i="7" s="1"/>
  <c r="L4" i="7" s="1"/>
  <c r="I9" i="7"/>
  <c r="J9" i="7" s="1"/>
  <c r="K9" i="7" s="1"/>
  <c r="L9" i="7" s="1"/>
  <c r="D16" i="8" s="1"/>
  <c r="E16" i="8" s="1"/>
  <c r="I5" i="7"/>
  <c r="J5" i="7" s="1"/>
  <c r="K5" i="7" s="1"/>
  <c r="L5" i="7" s="1"/>
  <c r="I2" i="7"/>
  <c r="I28" i="7"/>
  <c r="J28" i="7" s="1"/>
  <c r="K28" i="7" s="1"/>
  <c r="L28" i="7" s="1"/>
  <c r="D103" i="8" s="1"/>
  <c r="E103" i="8" s="1"/>
  <c r="I25" i="7"/>
  <c r="J25" i="7" s="1"/>
  <c r="K25" i="7" s="1"/>
  <c r="L25" i="7" s="1"/>
  <c r="D99" i="8" s="1"/>
  <c r="E99" i="8" s="1"/>
  <c r="I26" i="7"/>
  <c r="J26" i="7" s="1"/>
  <c r="K26" i="7" s="1"/>
  <c r="L26" i="7" s="1"/>
  <c r="I27" i="7"/>
  <c r="J27" i="7" s="1"/>
  <c r="K27" i="7" s="1"/>
  <c r="L27" i="7" s="1"/>
  <c r="I23" i="7"/>
  <c r="J23" i="7" s="1"/>
  <c r="K23" i="7" s="1"/>
  <c r="L23" i="7" s="1"/>
  <c r="I19" i="7"/>
  <c r="J19" i="7" s="1"/>
  <c r="K19" i="7" s="1"/>
  <c r="L19" i="7" s="1"/>
  <c r="I15" i="7"/>
  <c r="I20" i="7"/>
  <c r="J20" i="7" s="1"/>
  <c r="K20" i="7" s="1"/>
  <c r="L20" i="7" s="1"/>
  <c r="I18" i="7"/>
  <c r="J18" i="7" s="1"/>
  <c r="K18" i="7" s="1"/>
  <c r="L18" i="7" s="1"/>
  <c r="I21" i="7"/>
  <c r="J21" i="7" s="1"/>
  <c r="K21" i="7" s="1"/>
  <c r="L21" i="7" s="1"/>
  <c r="I22" i="7"/>
  <c r="J22" i="7" s="1"/>
  <c r="K22" i="7" s="1"/>
  <c r="L22" i="7" s="1"/>
  <c r="I42" i="7"/>
  <c r="J42" i="7" s="1"/>
  <c r="K42" i="7" s="1"/>
  <c r="L42" i="7" s="1"/>
  <c r="I41" i="7"/>
  <c r="J41" i="7" s="1"/>
  <c r="I40" i="7"/>
  <c r="J40" i="7" s="1"/>
  <c r="K40" i="7" s="1"/>
  <c r="L40" i="7" s="1"/>
  <c r="D27" i="8" s="1"/>
  <c r="E27" i="8" s="1"/>
  <c r="I43" i="7"/>
  <c r="J43" i="7" s="1"/>
  <c r="K43" i="7" s="1"/>
  <c r="L43" i="7" s="1"/>
  <c r="D31" i="8" s="1"/>
  <c r="P32" i="7" l="1"/>
  <c r="Q32" i="7" s="1"/>
  <c r="R32" i="7"/>
  <c r="S32" i="7" s="1"/>
  <c r="T32" i="7" s="1"/>
  <c r="R31" i="7"/>
  <c r="S31" i="7" s="1"/>
  <c r="T31" i="7" s="1"/>
  <c r="P31" i="7"/>
  <c r="Q31" i="7" s="1"/>
  <c r="R34" i="7"/>
  <c r="S34" i="7" s="1"/>
  <c r="T34" i="7" s="1"/>
  <c r="P34" i="7"/>
  <c r="Q34" i="7" s="1"/>
  <c r="R33" i="7"/>
  <c r="S33" i="7" s="1"/>
  <c r="T33" i="7" s="1"/>
  <c r="P33" i="7"/>
  <c r="Q33" i="7" s="1"/>
  <c r="R39" i="7"/>
  <c r="S39" i="7" s="1"/>
  <c r="T39" i="7" s="1"/>
  <c r="P39" i="7"/>
  <c r="Q39" i="7" s="1"/>
  <c r="R16" i="7"/>
  <c r="S16" i="7" s="1"/>
  <c r="T16" i="7" s="1"/>
  <c r="P16" i="7"/>
  <c r="Q16" i="7" s="1"/>
  <c r="N42" i="7"/>
  <c r="R42" i="7" s="1"/>
  <c r="S42" i="7" s="1"/>
  <c r="T42" i="7" s="1"/>
  <c r="D30" i="8"/>
  <c r="E30" i="8" s="1"/>
  <c r="N19" i="7"/>
  <c r="R19" i="7" s="1"/>
  <c r="S19" i="7" s="1"/>
  <c r="T19" i="7" s="1"/>
  <c r="D89" i="8"/>
  <c r="E89" i="8" s="1"/>
  <c r="E13" i="8"/>
  <c r="N59" i="7"/>
  <c r="D40" i="8"/>
  <c r="E40" i="8" s="1"/>
  <c r="N63" i="7"/>
  <c r="D44" i="8"/>
  <c r="E105" i="8"/>
  <c r="E24" i="8"/>
  <c r="N23" i="7"/>
  <c r="R23" i="7" s="1"/>
  <c r="S23" i="7" s="1"/>
  <c r="T23" i="7" s="1"/>
  <c r="D93" i="8"/>
  <c r="E93" i="8" s="1"/>
  <c r="D152" i="8"/>
  <c r="E152" i="8" s="1"/>
  <c r="E145" i="8"/>
  <c r="D64" i="8"/>
  <c r="E64" i="8" s="1"/>
  <c r="E57" i="8"/>
  <c r="D151" i="8"/>
  <c r="E151" i="8" s="1"/>
  <c r="E144" i="8"/>
  <c r="N55" i="7"/>
  <c r="D36" i="8"/>
  <c r="E36" i="8" s="1"/>
  <c r="N27" i="7"/>
  <c r="P27" i="7" s="1"/>
  <c r="Q27" i="7" s="1"/>
  <c r="D102" i="8"/>
  <c r="E102" i="8" s="1"/>
  <c r="D148" i="8"/>
  <c r="E148" i="8" s="1"/>
  <c r="E141" i="8"/>
  <c r="D147" i="8"/>
  <c r="E147" i="8" s="1"/>
  <c r="E140" i="8"/>
  <c r="E143" i="8"/>
  <c r="D150" i="8"/>
  <c r="E150" i="8" s="1"/>
  <c r="N22" i="7"/>
  <c r="P22" i="7" s="1"/>
  <c r="Q22" i="7" s="1"/>
  <c r="D92" i="8"/>
  <c r="E92" i="8" s="1"/>
  <c r="N26" i="7"/>
  <c r="R26" i="7" s="1"/>
  <c r="S26" i="7" s="1"/>
  <c r="T26" i="7" s="1"/>
  <c r="D101" i="8"/>
  <c r="E101" i="8" s="1"/>
  <c r="D135" i="8"/>
  <c r="E135" i="8" s="1"/>
  <c r="E128" i="8"/>
  <c r="D137" i="8"/>
  <c r="E137" i="8" s="1"/>
  <c r="E130" i="8"/>
  <c r="N21" i="7"/>
  <c r="R21" i="7" s="1"/>
  <c r="S21" i="7" s="1"/>
  <c r="T21" i="7" s="1"/>
  <c r="D91" i="8"/>
  <c r="E91" i="8" s="1"/>
  <c r="N46" i="7"/>
  <c r="R46" i="7" s="1"/>
  <c r="S46" i="7" s="1"/>
  <c r="T46" i="7" s="1"/>
  <c r="D34" i="8"/>
  <c r="E34" i="8" s="1"/>
  <c r="E26" i="8"/>
  <c r="D133" i="8"/>
  <c r="E133" i="8" s="1"/>
  <c r="E126" i="8"/>
  <c r="N60" i="7"/>
  <c r="D41" i="8"/>
  <c r="E41" i="8" s="1"/>
  <c r="D149" i="8"/>
  <c r="E149" i="8" s="1"/>
  <c r="E142" i="8"/>
  <c r="D136" i="8"/>
  <c r="E136" i="8" s="1"/>
  <c r="E129" i="8"/>
  <c r="E23" i="8"/>
  <c r="E110" i="8"/>
  <c r="E25" i="8"/>
  <c r="N20" i="7"/>
  <c r="P20" i="7" s="1"/>
  <c r="Q20" i="7" s="1"/>
  <c r="D90" i="8"/>
  <c r="E90" i="8" s="1"/>
  <c r="N24" i="7"/>
  <c r="R24" i="7" s="1"/>
  <c r="S24" i="7" s="1"/>
  <c r="T24" i="7" s="1"/>
  <c r="D94" i="8"/>
  <c r="E94" i="8" s="1"/>
  <c r="N17" i="7"/>
  <c r="P17" i="7" s="1"/>
  <c r="Q17" i="7" s="1"/>
  <c r="D87" i="8"/>
  <c r="E87" i="8" s="1"/>
  <c r="D132" i="8"/>
  <c r="E132" i="8" s="1"/>
  <c r="E125" i="8"/>
  <c r="N54" i="7"/>
  <c r="D20" i="8"/>
  <c r="E20" i="8" s="1"/>
  <c r="E28" i="8"/>
  <c r="N18" i="7"/>
  <c r="R18" i="7" s="1"/>
  <c r="S18" i="7" s="1"/>
  <c r="T18" i="7" s="1"/>
  <c r="D88" i="8"/>
  <c r="E88" i="8" s="1"/>
  <c r="E58" i="8"/>
  <c r="D65" i="8"/>
  <c r="E65" i="8" s="1"/>
  <c r="N10" i="7"/>
  <c r="R10" i="7" s="1"/>
  <c r="S10" i="7" s="1"/>
  <c r="T10" i="7" s="1"/>
  <c r="D17" i="8"/>
  <c r="E17" i="8" s="1"/>
  <c r="N43" i="7"/>
  <c r="R43" i="7" s="1"/>
  <c r="S43" i="7" s="1"/>
  <c r="T43" i="7" s="1"/>
  <c r="N25" i="7"/>
  <c r="R25" i="7" s="1"/>
  <c r="S25" i="7" s="1"/>
  <c r="T25" i="7" s="1"/>
  <c r="N3" i="7"/>
  <c r="R3" i="7" s="1"/>
  <c r="S3" i="7" s="1"/>
  <c r="T3" i="7" s="1"/>
  <c r="D9" i="8"/>
  <c r="E9" i="8" s="1"/>
  <c r="N86" i="7"/>
  <c r="E59" i="8"/>
  <c r="N73" i="7"/>
  <c r="E37" i="8"/>
  <c r="N57" i="7"/>
  <c r="N88" i="7"/>
  <c r="E61" i="8"/>
  <c r="N79" i="7"/>
  <c r="E43" i="8"/>
  <c r="N99" i="7"/>
  <c r="E120" i="8"/>
  <c r="N4" i="7"/>
  <c r="R4" i="7" s="1"/>
  <c r="S4" i="7" s="1"/>
  <c r="T4" i="7" s="1"/>
  <c r="D10" i="8"/>
  <c r="E10" i="8" s="1"/>
  <c r="N35" i="7"/>
  <c r="R35" i="7" s="1"/>
  <c r="S35" i="7" s="1"/>
  <c r="T35" i="7" s="1"/>
  <c r="N98" i="7"/>
  <c r="E86" i="8"/>
  <c r="N70" i="7"/>
  <c r="N97" i="7"/>
  <c r="E81" i="8"/>
  <c r="N72" i="7"/>
  <c r="N75" i="7"/>
  <c r="E39" i="8"/>
  <c r="N102" i="7"/>
  <c r="E98" i="8"/>
  <c r="E118" i="8"/>
  <c r="E116" i="8"/>
  <c r="N8" i="7"/>
  <c r="R8" i="7" s="1"/>
  <c r="S8" i="7" s="1"/>
  <c r="T8" i="7" s="1"/>
  <c r="N45" i="7"/>
  <c r="R45" i="7" s="1"/>
  <c r="S45" i="7" s="1"/>
  <c r="T45" i="7" s="1"/>
  <c r="E48" i="8"/>
  <c r="N94" i="7"/>
  <c r="E76" i="8"/>
  <c r="E46" i="8"/>
  <c r="N62" i="7"/>
  <c r="N83" i="7"/>
  <c r="E52" i="8"/>
  <c r="N93" i="7"/>
  <c r="E75" i="8"/>
  <c r="N65" i="7"/>
  <c r="N87" i="7"/>
  <c r="E60" i="8"/>
  <c r="N96" i="7"/>
  <c r="E80" i="8"/>
  <c r="E49" i="8"/>
  <c r="N47" i="7"/>
  <c r="E31" i="8"/>
  <c r="N103" i="7"/>
  <c r="E107" i="8"/>
  <c r="N100" i="7"/>
  <c r="E96" i="8"/>
  <c r="E111" i="8"/>
  <c r="N113" i="7"/>
  <c r="E122" i="8"/>
  <c r="N9" i="7"/>
  <c r="R9" i="7" s="1"/>
  <c r="S9" i="7" s="1"/>
  <c r="T9" i="7" s="1"/>
  <c r="N30" i="7"/>
  <c r="R30" i="7" s="1"/>
  <c r="S30" i="7" s="1"/>
  <c r="T30" i="7" s="1"/>
  <c r="N85" i="7"/>
  <c r="E54" i="8"/>
  <c r="N76" i="7"/>
  <c r="N101" i="7"/>
  <c r="E97" i="8"/>
  <c r="E121" i="8"/>
  <c r="N40" i="7"/>
  <c r="R40" i="7" s="1"/>
  <c r="S40" i="7" s="1"/>
  <c r="T40" i="7" s="1"/>
  <c r="E113" i="8"/>
  <c r="N28" i="7"/>
  <c r="R28" i="7" s="1"/>
  <c r="S28" i="7" s="1"/>
  <c r="T28" i="7" s="1"/>
  <c r="N7" i="7"/>
  <c r="R7" i="7" s="1"/>
  <c r="S7" i="7" s="1"/>
  <c r="T7" i="7" s="1"/>
  <c r="N95" i="7"/>
  <c r="E77" i="8"/>
  <c r="N82" i="7"/>
  <c r="E51" i="8"/>
  <c r="N91" i="7"/>
  <c r="E73" i="8"/>
  <c r="E50" i="8"/>
  <c r="N84" i="7"/>
  <c r="E53" i="8"/>
  <c r="N56" i="7"/>
  <c r="N105" i="7"/>
  <c r="E109" i="8"/>
  <c r="N5" i="7"/>
  <c r="R5" i="7" s="1"/>
  <c r="S5" i="7" s="1"/>
  <c r="T5" i="7" s="1"/>
  <c r="D11" i="8"/>
  <c r="E11" i="8" s="1"/>
  <c r="N6" i="7"/>
  <c r="P6" i="7" s="1"/>
  <c r="Q6" i="7" s="1"/>
  <c r="E14" i="8"/>
  <c r="N29" i="7"/>
  <c r="R29" i="7" s="1"/>
  <c r="S29" i="7" s="1"/>
  <c r="T29" i="7" s="1"/>
  <c r="N44" i="7"/>
  <c r="R44" i="7" s="1"/>
  <c r="S44" i="7" s="1"/>
  <c r="T44" i="7" s="1"/>
  <c r="N74" i="7"/>
  <c r="E38" i="8"/>
  <c r="N90" i="7"/>
  <c r="E72" i="8"/>
  <c r="N77" i="7"/>
  <c r="N58" i="7"/>
  <c r="N71" i="7"/>
  <c r="N89" i="7"/>
  <c r="E62" i="8"/>
  <c r="N80" i="7"/>
  <c r="E44" i="8"/>
  <c r="N61" i="7"/>
  <c r="N78" i="7"/>
  <c r="E42" i="8"/>
  <c r="N92" i="7"/>
  <c r="E74" i="8"/>
  <c r="E45" i="8"/>
  <c r="N64" i="7"/>
  <c r="N104" i="7"/>
  <c r="E108" i="8"/>
  <c r="E117" i="8"/>
  <c r="E112" i="8"/>
  <c r="N114" i="7"/>
  <c r="E127" i="8"/>
  <c r="J2" i="7"/>
  <c r="K2" i="7" s="1"/>
  <c r="L2" i="7" s="1"/>
  <c r="P10" i="7"/>
  <c r="Q10" i="7" s="1"/>
  <c r="K41" i="7"/>
  <c r="L41" i="7" s="1"/>
  <c r="J15" i="7"/>
  <c r="K15" i="7" s="1"/>
  <c r="L15" i="7" s="1"/>
  <c r="I38" i="7"/>
  <c r="I12" i="7"/>
  <c r="I49" i="7"/>
  <c r="R20" i="7" l="1"/>
  <c r="S20" i="7" s="1"/>
  <c r="T20" i="7" s="1"/>
  <c r="P47" i="7"/>
  <c r="Q47" i="7" s="1"/>
  <c r="R47" i="7"/>
  <c r="S47" i="7" s="1"/>
  <c r="T47" i="7" s="1"/>
  <c r="P35" i="7"/>
  <c r="Q35" i="7" s="1"/>
  <c r="P24" i="7"/>
  <c r="Q24" i="7" s="1"/>
  <c r="P46" i="7"/>
  <c r="Q46" i="7" s="1"/>
  <c r="P26" i="7"/>
  <c r="Q26" i="7" s="1"/>
  <c r="R6" i="7"/>
  <c r="S6" i="7" s="1"/>
  <c r="T6" i="7" s="1"/>
  <c r="P40" i="7"/>
  <c r="Q40" i="7" s="1"/>
  <c r="P23" i="7"/>
  <c r="Q23" i="7" s="1"/>
  <c r="P25" i="7"/>
  <c r="Q25" i="7" s="1"/>
  <c r="P19" i="7"/>
  <c r="Q19" i="7" s="1"/>
  <c r="P43" i="7"/>
  <c r="Q43" i="7" s="1"/>
  <c r="P30" i="7"/>
  <c r="Q30" i="7" s="1"/>
  <c r="P29" i="7"/>
  <c r="Q29" i="7" s="1"/>
  <c r="P18" i="7"/>
  <c r="Q18" i="7" s="1"/>
  <c r="R17" i="7"/>
  <c r="S17" i="7" s="1"/>
  <c r="T17" i="7" s="1"/>
  <c r="P9" i="7"/>
  <c r="Q9" i="7" s="1"/>
  <c r="R27" i="7"/>
  <c r="S27" i="7" s="1"/>
  <c r="T27" i="7" s="1"/>
  <c r="R22" i="7"/>
  <c r="S22" i="7" s="1"/>
  <c r="T22" i="7" s="1"/>
  <c r="P45" i="7"/>
  <c r="Q45" i="7" s="1"/>
  <c r="P5" i="7"/>
  <c r="Q5" i="7" s="1"/>
  <c r="P44" i="7"/>
  <c r="Q44" i="7" s="1"/>
  <c r="P28" i="7"/>
  <c r="Q28" i="7" s="1"/>
  <c r="P4" i="7"/>
  <c r="Q4" i="7" s="1"/>
  <c r="P8" i="7"/>
  <c r="Q8" i="7" s="1"/>
  <c r="P3" i="7"/>
  <c r="Q3" i="7" s="1"/>
  <c r="P7" i="7"/>
  <c r="Q7" i="7" s="1"/>
  <c r="P21" i="7"/>
  <c r="Q21" i="7" s="1"/>
  <c r="N41" i="7"/>
  <c r="R41" i="7" s="1"/>
  <c r="S41" i="7" s="1"/>
  <c r="T41" i="7" s="1"/>
  <c r="D29" i="8"/>
  <c r="E29" i="8" s="1"/>
  <c r="N15" i="7"/>
  <c r="R15" i="7" s="1"/>
  <c r="S15" i="7" s="1"/>
  <c r="D85" i="8"/>
  <c r="E85" i="8" s="1"/>
  <c r="N2" i="7"/>
  <c r="P2" i="7" s="1"/>
  <c r="Q2" i="7" s="1"/>
  <c r="D8" i="8"/>
  <c r="E8" i="8" s="1"/>
  <c r="I50" i="7"/>
  <c r="P42" i="7"/>
  <c r="Q42" i="7" s="1"/>
  <c r="P41" i="7" l="1"/>
  <c r="Q41" i="7" s="1"/>
  <c r="R2" i="7"/>
  <c r="S2" i="7" s="1"/>
  <c r="S12" i="7" s="1"/>
  <c r="P15" i="7"/>
  <c r="Q15" i="7" s="1"/>
  <c r="S38" i="7"/>
  <c r="T15" i="7"/>
  <c r="T38" i="7" s="1"/>
  <c r="P12" i="7"/>
  <c r="P49" i="7"/>
  <c r="T49" i="7"/>
  <c r="S49" i="7"/>
  <c r="P38" i="7" l="1"/>
  <c r="P50" i="7" s="1"/>
  <c r="T2" i="7"/>
  <c r="S50" i="7"/>
  <c r="T12" i="7" l="1"/>
  <c r="T50" i="7" s="1"/>
  <c r="T117" i="7" l="1"/>
  <c r="Q12" i="7"/>
  <c r="Q49" i="7" l="1"/>
  <c r="Q38" i="7"/>
  <c r="Q50" i="7" l="1"/>
  <c r="B6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Easley, Maria</author>
  </authors>
  <commentList>
    <comment ref="D121" authorId="0" shapeId="0" xr:uid="{42D8A06A-99C7-49E5-83AE-A6D46CCD4C72}">
      <text>
        <r>
          <rPr>
            <b/>
            <sz val="9"/>
            <color indexed="81"/>
            <rFont val="Tahoma"/>
            <family val="2"/>
          </rPr>
          <t>Easley, Maria:</t>
        </r>
        <r>
          <rPr>
            <sz val="9"/>
            <color indexed="81"/>
            <rFont val="Tahoma"/>
            <family val="2"/>
          </rPr>
          <t xml:space="preserve">
Source:  B&amp;O rate case, which ties to last full rate case
MSW only, from both regulated areas (RES &amp; COM)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Cramer, Diane</author>
    <author>tc={7B8FEFB1-188B-4A07-A7A7-5E29AF161474}</author>
    <author>Vander Zalm, Connor</author>
  </authors>
  <commentList>
    <comment ref="F18" authorId="0" shapeId="0" xr:uid="{80745400-4492-4FD3-928A-75E986BFF3D2}">
      <text>
        <r>
          <rPr>
            <b/>
            <sz val="9"/>
            <color indexed="81"/>
            <rFont val="Tahoma"/>
            <family val="2"/>
          </rPr>
          <t>Cramer, Diane:</t>
        </r>
        <r>
          <rPr>
            <sz val="9"/>
            <color indexed="81"/>
            <rFont val="Tahoma"/>
            <family val="2"/>
          </rPr>
          <t xml:space="preserve">
Tons coming from Industrial Load spreadsheet</t>
        </r>
      </text>
    </comment>
    <comment ref="G69" authorId="1" shapeId="0" xr:uid="{7B8FEFB1-188B-4A07-A7A7-5E29AF161474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0 for DIV0 Error</t>
      </text>
    </comment>
    <comment ref="A141" authorId="2" shapeId="0" xr:uid="{242A1AD2-16B2-4E1E-B595-9D76541BB3ED}">
      <text>
        <r>
          <rPr>
            <b/>
            <sz val="9"/>
            <color indexed="81"/>
            <rFont val="Tahoma"/>
            <family val="2"/>
          </rPr>
          <t>Vander Zalm, Connor:</t>
        </r>
        <r>
          <rPr>
            <sz val="9"/>
            <color indexed="81"/>
            <rFont val="Tahoma"/>
            <family val="2"/>
          </rPr>
          <t xml:space="preserve">
City of Bellevue</t>
        </r>
      </text>
    </comment>
    <comment ref="B141" authorId="2" shapeId="0" xr:uid="{3BFEEC49-6CD1-49AB-9F50-177B0BFC4876}">
      <text>
        <r>
          <rPr>
            <b/>
            <sz val="9"/>
            <color indexed="81"/>
            <rFont val="Tahoma"/>
            <family val="2"/>
          </rPr>
          <t>Vander Zalm, Connor:</t>
        </r>
        <r>
          <rPr>
            <sz val="9"/>
            <color indexed="81"/>
            <rFont val="Tahoma"/>
            <family val="2"/>
          </rPr>
          <t xml:space="preserve">
City of Bellevue</t>
        </r>
      </text>
    </comment>
    <comment ref="C141" authorId="2" shapeId="0" xr:uid="{347D203A-E3B1-4764-B01B-7AA1B55E8880}">
      <text>
        <r>
          <rPr>
            <b/>
            <sz val="9"/>
            <color indexed="81"/>
            <rFont val="Tahoma"/>
            <family val="2"/>
          </rPr>
          <t>Vander Zalm, Connor:</t>
        </r>
        <r>
          <rPr>
            <sz val="9"/>
            <color indexed="81"/>
            <rFont val="Tahoma"/>
            <family val="2"/>
          </rPr>
          <t xml:space="preserve">
City of Bellevue</t>
        </r>
      </text>
    </comment>
  </commentList>
</comments>
</file>

<file path=xl/sharedStrings.xml><?xml version="1.0" encoding="utf-8"?>
<sst xmlns="http://schemas.openxmlformats.org/spreadsheetml/2006/main" count="692" uniqueCount="303">
  <si>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</si>
  <si>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</si>
  <si>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</si>
  <si>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</si>
  <si>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</si>
  <si>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</si>
  <si>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</si>
  <si>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</si>
  <si>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</si>
  <si>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</si>
  <si>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</si>
  <si>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</si>
  <si>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</si>
  <si>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</si>
  <si>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</si>
  <si>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</si>
  <si>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</si>
  <si>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</si>
  <si>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</si>
  <si>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</si>
  <si>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</si>
  <si>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</si>
  <si>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</si>
  <si>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</si>
  <si>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</si>
  <si>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</si>
  <si>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</si>
  <si>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</si>
  <si>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</si>
  <si>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</si>
  <si>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</si>
  <si>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</si>
  <si>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</si>
  <si>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</si>
  <si>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</si>
  <si>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</si>
  <si>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</si>
  <si>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Proposed Tariff</t>
  </si>
  <si>
    <t>Company Current Tariff</t>
  </si>
  <si>
    <t>Company Current Revenue</t>
  </si>
  <si>
    <t>Monthly Customers</t>
  </si>
  <si>
    <t xml:space="preserve"> Company Over/(Under) collecting</t>
  </si>
  <si>
    <t>Tariff Rate Increase</t>
  </si>
  <si>
    <t>Revised Tariff Rate</t>
  </si>
  <si>
    <t>Revised Revenue Increase</t>
  </si>
  <si>
    <t>Revised Revenue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</si>
  <si>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</si>
  <si>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</si>
  <si>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</si>
  <si>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</si>
  <si>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</si>
  <si>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</si>
  <si>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</si>
  <si>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</si>
  <si>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</si>
  <si>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</si>
  <si>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</si>
  <si>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</si>
  <si>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</si>
  <si>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</si>
  <si>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</si>
  <si>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</si>
  <si>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</si>
  <si>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</si>
  <si>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</si>
  <si>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</si>
  <si>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</si>
  <si>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</si>
  <si>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</si>
  <si>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</si>
  <si>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</si>
  <si>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</si>
  <si>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</si>
  <si>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</si>
  <si>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</si>
  <si>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</si>
  <si>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</si>
  <si>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</si>
  <si>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</si>
  <si>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</si>
  <si>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</si>
  <si>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</si>
  <si>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</si>
  <si>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</si>
  <si>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</si>
  <si>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</si>
  <si>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</si>
  <si>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</si>
  <si>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</si>
  <si>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</si>
  <si>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</si>
  <si>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</si>
  <si>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</si>
  <si>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</si>
  <si>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</si>
  <si>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35 gallon Can</t>
  </si>
  <si>
    <t>1 Can Monthly</t>
  </si>
  <si>
    <t>* not on meeks - calculated by staff in previous cases</t>
  </si>
  <si>
    <t>King County</t>
  </si>
  <si>
    <t>20 Gallon Can</t>
  </si>
  <si>
    <t>1 Can</t>
  </si>
  <si>
    <t>2 Can</t>
  </si>
  <si>
    <t>3 Can</t>
  </si>
  <si>
    <t>32 Gal Toter</t>
  </si>
  <si>
    <t>64 Gal Toter</t>
  </si>
  <si>
    <t>96 Gal Toter</t>
  </si>
  <si>
    <t>4 Can</t>
  </si>
  <si>
    <t>32 Gallon First Pickup</t>
  </si>
  <si>
    <t>96 Gallon First Pickup</t>
  </si>
  <si>
    <t>1 Yard First Pickup</t>
  </si>
  <si>
    <t>1.5 Yard First Pickup</t>
  </si>
  <si>
    <t>2 Yard First Pickup</t>
  </si>
  <si>
    <t>3 Yard First Pickup</t>
  </si>
  <si>
    <t>4 Yard First Pickup</t>
  </si>
  <si>
    <t>6 Yard First Pickup</t>
  </si>
  <si>
    <t>8 Yard First Pickup</t>
  </si>
  <si>
    <t>5 Can wk</t>
  </si>
  <si>
    <t>1 Yard Special Pickup</t>
  </si>
  <si>
    <t>2 Yard Special Pickup</t>
  </si>
  <si>
    <t>3 Yard Special Pickup</t>
  </si>
  <si>
    <t>4 Yard Special Pickup</t>
  </si>
  <si>
    <t>6 Yard Special Pickup</t>
  </si>
  <si>
    <t>8 Yard Special Pickup</t>
  </si>
  <si>
    <t>Alternative to 32 Gal. - Blue Bag</t>
  </si>
  <si>
    <t>32 Gallon or Bag, Extra</t>
  </si>
  <si>
    <t>20 Gallon</t>
  </si>
  <si>
    <t>64 Gallon</t>
  </si>
  <si>
    <t>20 Gallon Special</t>
  </si>
  <si>
    <t>64 Gallon Special</t>
  </si>
  <si>
    <t>32 Gallon Special Pickup</t>
  </si>
  <si>
    <t>96 Gallon Special Pickup</t>
  </si>
  <si>
    <t>1.5 Yard Special Pickup</t>
  </si>
  <si>
    <t>1 Yard</t>
  </si>
  <si>
    <t>2 Yard</t>
  </si>
  <si>
    <t>3 Yard</t>
  </si>
  <si>
    <t>4 Yard</t>
  </si>
  <si>
    <t>5 Yard</t>
  </si>
  <si>
    <t>6 Yard</t>
  </si>
  <si>
    <t>32 Gallon Special</t>
  </si>
  <si>
    <t>96 Gallon Special</t>
  </si>
  <si>
    <t>No Customers</t>
  </si>
  <si>
    <t>Item 106, pg 28 Compacted</t>
  </si>
  <si>
    <t>Item 106, pg 29 Compacted</t>
  </si>
  <si>
    <t>Item 240, pg 39</t>
  </si>
  <si>
    <t>Item 245, pg 40</t>
  </si>
  <si>
    <t>Item 255, pg 42 Compacted</t>
  </si>
  <si>
    <t>Item 255, pg 41 Compacted</t>
  </si>
  <si>
    <t>Item 100, pg 21 Appendix A</t>
  </si>
  <si>
    <t>Item 100, pg 22</t>
  </si>
  <si>
    <t>Item 105, pg 25</t>
  </si>
  <si>
    <t>Monthly Pickups</t>
  </si>
  <si>
    <t>Company Calculated Revenue</t>
  </si>
  <si>
    <t>Annual Frequency</t>
  </si>
  <si>
    <t>1 Yard Temp Pickup</t>
  </si>
  <si>
    <t>1.5 Yard Temp Pickup</t>
  </si>
  <si>
    <t>2 Yard Temp Pickup</t>
  </si>
  <si>
    <t>3 Yard Temp Pickup</t>
  </si>
  <si>
    <t>4 Yard Temp Pickup</t>
  </si>
  <si>
    <t>6 Yard Temp Pickup</t>
  </si>
  <si>
    <t>8 Yard Temp Pickup</t>
  </si>
  <si>
    <t>1 Yard temp Pickup</t>
  </si>
  <si>
    <t>1.5 Yard temp Pickup</t>
  </si>
  <si>
    <t>2 Yard temp Pickup</t>
  </si>
  <si>
    <t>3 Yard temp Pickup</t>
  </si>
  <si>
    <t>4 Yard temp Pickup</t>
  </si>
  <si>
    <t>6 Yard temp Pickup</t>
  </si>
  <si>
    <t>8 Yard temp Pickup</t>
  </si>
  <si>
    <t>Item 150, pg 32</t>
  </si>
  <si>
    <t>Bulky</t>
  </si>
  <si>
    <t>Loose</t>
  </si>
  <si>
    <t>no customers</t>
  </si>
  <si>
    <t>Company</t>
  </si>
  <si>
    <t>Current</t>
  </si>
  <si>
    <t>Proposed Increase</t>
  </si>
  <si>
    <t>Proposed</t>
  </si>
  <si>
    <t>Tariff</t>
  </si>
  <si>
    <t>1 Can wk</t>
  </si>
  <si>
    <t>2  Can wk</t>
  </si>
  <si>
    <t>3 Can wk</t>
  </si>
  <si>
    <t>4 Can wk</t>
  </si>
  <si>
    <t>32 Gal Tote wk</t>
  </si>
  <si>
    <t>64 Gal Tote wk</t>
  </si>
  <si>
    <t>96 Gal Tote wk</t>
  </si>
  <si>
    <t>Each</t>
  </si>
  <si>
    <t>1 Yard Temp</t>
  </si>
  <si>
    <t>1.5 Yard Temp</t>
  </si>
  <si>
    <t>2 Yard Temp</t>
  </si>
  <si>
    <t>3 Yard Temp</t>
  </si>
  <si>
    <t>4 Yard Temp</t>
  </si>
  <si>
    <t>6 Yard Temp</t>
  </si>
  <si>
    <t>8 Yard Temp</t>
  </si>
  <si>
    <t>3 Yard Special</t>
  </si>
  <si>
    <t>4 Yard Special</t>
  </si>
  <si>
    <t>5 Yard Special</t>
  </si>
  <si>
    <t>6 Yard Special</t>
  </si>
  <si>
    <t>Loose Material</t>
  </si>
  <si>
    <t>1 Yard Special</t>
  </si>
  <si>
    <t>2 Yard Special</t>
  </si>
  <si>
    <t>Disposal Summary Report</t>
  </si>
  <si>
    <t>LOB</t>
  </si>
  <si>
    <t>Matrl</t>
  </si>
  <si>
    <t>Rev Dist</t>
  </si>
  <si>
    <t>TOTAL</t>
  </si>
  <si>
    <t>TONNAGE</t>
  </si>
  <si>
    <t>Per GL</t>
  </si>
  <si>
    <t>Roll-off / Industrial garbage</t>
  </si>
  <si>
    <t>Roll-off / Industrial RCY</t>
  </si>
  <si>
    <t>IC Recycle Tons</t>
  </si>
  <si>
    <t>Commercial Garbage</t>
  </si>
  <si>
    <t>Commercial RCY</t>
  </si>
  <si>
    <t>Residential MSW</t>
  </si>
  <si>
    <t>Residential RCY</t>
  </si>
  <si>
    <t>Roll-off / Industrial</t>
  </si>
  <si>
    <t>I</t>
  </si>
  <si>
    <t>MSW</t>
  </si>
  <si>
    <t>R</t>
  </si>
  <si>
    <t>Regulated Garbage</t>
  </si>
  <si>
    <t>U</t>
  </si>
  <si>
    <t>Unregulated Garbage</t>
  </si>
  <si>
    <t>RCY</t>
  </si>
  <si>
    <t>Regulated RCY (MF)</t>
  </si>
  <si>
    <t>Unregulated RCY / COGS</t>
  </si>
  <si>
    <t>YW</t>
  </si>
  <si>
    <t>Variance to GL</t>
  </si>
  <si>
    <t>Regulated Pass Thru Disposal Tons</t>
  </si>
  <si>
    <t>Unregulated Pass Thru Disposal Tons</t>
  </si>
  <si>
    <t>C</t>
  </si>
  <si>
    <t>Regulated Yardwaste</t>
  </si>
  <si>
    <t>Unregulated Yardwaste</t>
  </si>
  <si>
    <t>Regulated RCY</t>
  </si>
  <si>
    <t>Unregulated RCY</t>
  </si>
  <si>
    <t>Total Garbage</t>
  </si>
  <si>
    <t>Total Recycling</t>
  </si>
  <si>
    <t>Total Yardwaste</t>
  </si>
  <si>
    <t xml:space="preserve">Total Disposal/COGS Tons </t>
  </si>
  <si>
    <t>PRICE</t>
  </si>
  <si>
    <t>Regulated Pass Thru Disposal Rate</t>
  </si>
  <si>
    <t>Unregulated Pass Thru Disposal Rate</t>
  </si>
  <si>
    <t>COST</t>
  </si>
  <si>
    <t>Disposal Expense per GL</t>
  </si>
  <si>
    <t>COGS Expense per GL</t>
  </si>
  <si>
    <t>Calculated:</t>
  </si>
  <si>
    <t>Regulated Pass Thru Disposal $</t>
  </si>
  <si>
    <t>Unregulated Pass Thru Disposal $</t>
  </si>
  <si>
    <t>TOTAL REGULATED DISP COST</t>
  </si>
  <si>
    <t>TOTAL CALC'D DISP COST</t>
  </si>
  <si>
    <t>INTERCOMPANY ANALYSIS</t>
  </si>
  <si>
    <t>I/C Disposal Cost per GL</t>
  </si>
  <si>
    <t>Disp Code 1</t>
  </si>
  <si>
    <t>Disp Code 2</t>
  </si>
  <si>
    <t>Disp Code 3</t>
  </si>
  <si>
    <t>Disp Code 4</t>
  </si>
  <si>
    <t>Total Tons</t>
  </si>
  <si>
    <t>Rabanco MRF - Mixed Comm</t>
  </si>
  <si>
    <t>RRMX</t>
  </si>
  <si>
    <t>RRZ1</t>
  </si>
  <si>
    <t>Rabanco MRF - Commercial</t>
  </si>
  <si>
    <t>RRRC</t>
  </si>
  <si>
    <t>Rabanco MRF - Resi / MF</t>
  </si>
  <si>
    <t>RRGA</t>
  </si>
  <si>
    <t>RRCB</t>
  </si>
  <si>
    <t>3rd &amp; Lander - Cardboard</t>
  </si>
  <si>
    <t>RRBC</t>
  </si>
  <si>
    <t>RRSS</t>
  </si>
  <si>
    <t>RRVC</t>
  </si>
  <si>
    <t>City Contract Street Sweeping</t>
  </si>
  <si>
    <t>Rate</t>
  </si>
  <si>
    <t>Calculated Revenue</t>
  </si>
  <si>
    <t>$ Variance</t>
  </si>
  <si>
    <t>% Variance</t>
  </si>
  <si>
    <t>Regulated Tons</t>
  </si>
  <si>
    <t>Non-Regulated Tons</t>
  </si>
  <si>
    <t>1 Mini Can (20 Gallon)</t>
  </si>
  <si>
    <t>Residential YW</t>
  </si>
  <si>
    <t>SUBTRACT</t>
  </si>
  <si>
    <t>(Account #)</t>
  </si>
  <si>
    <t>LESS: King County Transfer Hauls</t>
  </si>
  <si>
    <t>Lbs/Yd</t>
  </si>
  <si>
    <t>Lbs/DB</t>
  </si>
  <si>
    <t>* below you will need to link I/C affiliatied company disposal $ to the correct row (I sugguest you use CTRL+H - 'Find &amp; Replace')</t>
  </si>
  <si>
    <t>Disp Code 5</t>
  </si>
  <si>
    <t>RRCM</t>
  </si>
  <si>
    <t>RRFL</t>
  </si>
  <si>
    <t>RRMF</t>
  </si>
  <si>
    <t>3rd &amp; Lander - MSW</t>
  </si>
  <si>
    <t>RRWD</t>
  </si>
  <si>
    <t>RRYW</t>
  </si>
  <si>
    <t>3rd &amp; Lander - Yardwaste</t>
  </si>
  <si>
    <t>RRA1</t>
  </si>
  <si>
    <t>RRKC</t>
  </si>
  <si>
    <t>King County Transfer</t>
  </si>
  <si>
    <t>3rd &amp; Lander - CDL</t>
  </si>
  <si>
    <t>RRSB</t>
  </si>
  <si>
    <t>Rabanco Sand Blasting</t>
  </si>
  <si>
    <t>KC Transfer</t>
  </si>
  <si>
    <t>5 Can</t>
  </si>
  <si>
    <t>64 Gallon First Pickup</t>
  </si>
  <si>
    <t>64 Gallon Special Pickup</t>
  </si>
  <si>
    <t>20 Gallon First Pickup</t>
  </si>
  <si>
    <t>32 Gallon</t>
  </si>
  <si>
    <t>Multi-Family</t>
  </si>
  <si>
    <t>DF Effective 1/1/2023</t>
  </si>
  <si>
    <t>Kent-Meridian Disposal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</si>
</sst>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[$-409]mmmm\-yy;@"/>
    <numFmt numFmtId="173" formatCode="_(* #,##0.0_);_(* \(#,##0.0\);_(* &quot;-&quot;??_);_(@_)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theme="3" tint="0.3999755851924192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dashed">
        <color auto="1"/>
      </top>
      <bottom style="thin">
        <color rgb="FFB2B2B2"/>
      </bottom>
      <diagonal/>
    </border>
    <border>
      <left/>
      <right/>
      <top style="dashed">
        <color auto="1"/>
      </top>
      <bottom style="thin">
        <color rgb="FFB2B2B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4" borderId="4" applyNumberFormat="0" applyAlignment="0" applyProtection="0"/>
    <xf numFmtId="0" fontId="32" fillId="24" borderId="4" applyNumberFormat="0" applyAlignment="0" applyProtection="0"/>
    <xf numFmtId="0" fontId="17" fillId="25" borderId="5" applyNumberFormat="0" applyAlignment="0" applyProtection="0"/>
    <xf numFmtId="0" fontId="17" fillId="26" borderId="6" applyNumberFormat="0" applyAlignment="0" applyProtection="0"/>
    <xf numFmtId="0" fontId="2" fillId="27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8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9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9" borderId="0">
      <alignment horizontal="right"/>
      <protection locked="0"/>
    </xf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3" borderId="4" applyNumberFormat="0" applyAlignment="0" applyProtection="0"/>
    <xf numFmtId="0" fontId="41" fillId="13" borderId="4" applyNumberFormat="0" applyAlignment="0" applyProtection="0"/>
    <xf numFmtId="3" fontId="10" fillId="31" borderId="0">
      <protection locked="0"/>
    </xf>
    <xf numFmtId="4" fontId="10" fillId="31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3" borderId="0" applyNumberFormat="0" applyBorder="0" applyAlignment="0" applyProtection="0"/>
    <xf numFmtId="0" fontId="43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10" borderId="15" applyNumberFormat="0" applyFont="0" applyAlignment="0" applyProtection="0"/>
    <xf numFmtId="0" fontId="18" fillId="10" borderId="15" applyNumberFormat="0" applyFont="0" applyAlignment="0" applyProtection="0"/>
    <xf numFmtId="171" fontId="44" fillId="0" borderId="0" applyNumberFormat="0"/>
    <xf numFmtId="0" fontId="29" fillId="24" borderId="16" applyNumberFormat="0" applyAlignment="0" applyProtection="0"/>
    <xf numFmtId="0" fontId="24" fillId="24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8" fillId="12" borderId="0" applyNumberFormat="0" applyBorder="0" applyAlignment="0" applyProtection="0"/>
    <xf numFmtId="0" fontId="8" fillId="32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16" borderId="0" applyNumberFormat="0" applyBorder="0" applyAlignment="0" applyProtection="0"/>
    <xf numFmtId="0" fontId="48" fillId="24" borderId="4" applyNumberFormat="0" applyAlignment="0" applyProtection="0"/>
    <xf numFmtId="0" fontId="48" fillId="12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6" applyNumberFormat="0" applyFill="0" applyAlignment="0" applyProtection="0"/>
    <xf numFmtId="0" fontId="50" fillId="0" borderId="27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8" applyNumberFormat="0" applyFill="0" applyAlignment="0" applyProtection="0"/>
    <xf numFmtId="0" fontId="52" fillId="0" borderId="29" applyNumberFormat="0" applyFill="0" applyAlignment="0" applyProtection="0"/>
    <xf numFmtId="0" fontId="53" fillId="0" borderId="30" applyNumberFormat="0" applyFill="0" applyAlignment="0" applyProtection="0"/>
    <xf numFmtId="0" fontId="54" fillId="13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10" borderId="15" applyNumberFormat="0" applyFont="0" applyAlignment="0" applyProtection="0"/>
    <xf numFmtId="0" fontId="49" fillId="10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31" applyNumberFormat="0" applyFill="0" applyAlignment="0" applyProtection="0"/>
    <xf numFmtId="0" fontId="31" fillId="0" borderId="32" applyNumberFormat="0" applyFill="0" applyAlignment="0" applyProtection="0"/>
    <xf numFmtId="0" fontId="58" fillId="0" borderId="0"/>
    <xf numFmtId="43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59" fillId="0" borderId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8" borderId="0" applyNumberFormat="0" applyBorder="0" applyAlignment="0" applyProtection="0"/>
    <xf numFmtId="0" fontId="8" fillId="34" borderId="0" applyNumberFormat="0" applyBorder="0" applyAlignment="0" applyProtection="0"/>
    <xf numFmtId="0" fontId="14" fillId="22" borderId="0" applyNumberFormat="0" applyBorder="0" applyAlignment="0" applyProtection="0"/>
    <xf numFmtId="0" fontId="14" fillId="35" borderId="0" applyNumberFormat="0" applyBorder="0" applyAlignment="0" applyProtection="0"/>
    <xf numFmtId="43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25" fillId="8" borderId="4" applyNumberFormat="0" applyAlignment="0" applyProtection="0"/>
    <xf numFmtId="0" fontId="59" fillId="10" borderId="15" applyNumberFormat="0" applyFont="0" applyAlignment="0" applyProtection="0"/>
    <xf numFmtId="0" fontId="29" fillId="12" borderId="16" applyNumberFormat="0" applyAlignment="0" applyProtection="0"/>
    <xf numFmtId="9" fontId="59" fillId="0" borderId="0" applyFont="0" applyFill="0" applyBorder="0" applyAlignment="0" applyProtection="0"/>
    <xf numFmtId="37" fontId="60" fillId="0" borderId="0"/>
    <xf numFmtId="0" fontId="2" fillId="0" borderId="0"/>
    <xf numFmtId="0" fontId="2" fillId="0" borderId="0"/>
    <xf numFmtId="0" fontId="1" fillId="39" borderId="37" applyNumberFormat="0" applyFont="0" applyAlignment="0" applyProtection="0"/>
    <xf numFmtId="0" fontId="1" fillId="39" borderId="37" applyNumberFormat="0" applyFont="0" applyAlignment="0" applyProtection="0"/>
    <xf numFmtId="0" fontId="2" fillId="0" borderId="0"/>
  </cellStyleXfs>
  <cellXfs count="284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Font="1"/>
    <xf numFmtId="44" fontId="3" fillId="0" borderId="0" xfId="0" applyNumberFormat="1" applyFont="1"/>
    <xf numFmtId="166" fontId="0" fillId="0" borderId="0" xfId="1" applyNumberFormat="1" applyFont="1"/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/>
    <xf numFmtId="0" fontId="3" fillId="6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43" fontId="0" fillId="0" borderId="0" xfId="1" applyFont="1" applyBorder="1" applyAlignment="1">
      <alignment horizontal="right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0" fillId="6" borderId="1" xfId="0" applyFont="1" applyFill="1" applyBorder="1" applyAlignment="1">
      <alignment vertical="center" textRotation="90"/>
    </xf>
    <xf numFmtId="0" fontId="12" fillId="6" borderId="1" xfId="4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43" fontId="0" fillId="6" borderId="1" xfId="1" applyFont="1" applyFill="1" applyBorder="1"/>
    <xf numFmtId="166" fontId="3" fillId="0" borderId="1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44" fontId="0" fillId="2" borderId="0" xfId="2" applyFont="1" applyFill="1" applyBorder="1"/>
    <xf numFmtId="44" fontId="3" fillId="6" borderId="1" xfId="2" applyFont="1" applyFill="1" applyBorder="1"/>
    <xf numFmtId="44" fontId="0" fillId="6" borderId="1" xfId="2" applyFont="1" applyFill="1" applyBorder="1"/>
    <xf numFmtId="44" fontId="3" fillId="0" borderId="0" xfId="2" applyFont="1" applyBorder="1" applyAlignment="1">
      <alignment horizontal="right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1" fillId="0" borderId="0" xfId="274" applyFont="1" applyBorder="1" applyAlignment="1">
      <alignment horizontal="left"/>
    </xf>
    <xf numFmtId="0" fontId="9" fillId="0" borderId="0" xfId="4" applyFont="1" applyFill="1" applyBorder="1" applyAlignment="1">
      <alignment horizontal="left"/>
    </xf>
    <xf numFmtId="44" fontId="0" fillId="0" borderId="0" xfId="2" applyFont="1" applyBorder="1"/>
    <xf numFmtId="0" fontId="3" fillId="0" borderId="20" xfId="0" applyFont="1" applyBorder="1"/>
    <xf numFmtId="0" fontId="0" fillId="6" borderId="25" xfId="0" applyFont="1" applyFill="1" applyBorder="1" applyAlignment="1">
      <alignment horizontal="center"/>
    </xf>
    <xf numFmtId="0" fontId="0" fillId="0" borderId="21" xfId="0" applyFont="1" applyBorder="1"/>
    <xf numFmtId="44" fontId="0" fillId="0" borderId="22" xfId="2" applyFont="1" applyBorder="1"/>
    <xf numFmtId="164" fontId="0" fillId="0" borderId="0" xfId="0" applyNumberFormat="1" applyFont="1" applyFill="1" applyBorder="1"/>
    <xf numFmtId="0" fontId="3" fillId="6" borderId="1" xfId="0" applyFont="1" applyFill="1" applyBorder="1" applyAlignment="1">
      <alignment wrapText="1"/>
    </xf>
    <xf numFmtId="0" fontId="57" fillId="0" borderId="0" xfId="1" applyNumberFormat="1" applyFont="1" applyBorder="1" applyAlignment="1">
      <alignment horizontal="left"/>
    </xf>
    <xf numFmtId="0" fontId="0" fillId="0" borderId="0" xfId="1" applyNumberFormat="1" applyFont="1" applyBorder="1"/>
    <xf numFmtId="0" fontId="3" fillId="6" borderId="0" xfId="0" applyFont="1" applyFill="1" applyBorder="1" applyAlignment="1">
      <alignment horizontal="center" wrapText="1"/>
    </xf>
    <xf numFmtId="166" fontId="3" fillId="6" borderId="0" xfId="1" applyNumberFormat="1" applyFont="1" applyFill="1" applyBorder="1" applyAlignment="1">
      <alignment horizontal="center" wrapText="1"/>
    </xf>
    <xf numFmtId="43" fontId="0" fillId="0" borderId="0" xfId="1" applyNumberFormat="1" applyFont="1" applyBorder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/>
    <xf numFmtId="166" fontId="3" fillId="6" borderId="1" xfId="1" applyNumberFormat="1" applyFont="1" applyFill="1" applyBorder="1" applyAlignment="1">
      <alignment horizontal="left" wrapText="1" indent="2"/>
    </xf>
    <xf numFmtId="166" fontId="0" fillId="6" borderId="1" xfId="1" applyNumberFormat="1" applyFont="1" applyFill="1" applyBorder="1" applyAlignment="1">
      <alignment horizontal="left" indent="2"/>
    </xf>
    <xf numFmtId="166" fontId="3" fillId="6" borderId="1" xfId="1" applyNumberFormat="1" applyFont="1" applyFill="1" applyBorder="1" applyAlignment="1">
      <alignment horizontal="left" indent="2"/>
    </xf>
    <xf numFmtId="166" fontId="3" fillId="0" borderId="0" xfId="1" applyNumberFormat="1" applyFont="1" applyBorder="1" applyAlignment="1">
      <alignment horizontal="left" indent="2"/>
    </xf>
    <xf numFmtId="166" fontId="0" fillId="0" borderId="0" xfId="1" applyNumberFormat="1" applyFont="1" applyBorder="1" applyAlignment="1">
      <alignment horizontal="left" indent="2"/>
    </xf>
    <xf numFmtId="166" fontId="0" fillId="0" borderId="0" xfId="1" applyNumberFormat="1" applyFont="1" applyFill="1" applyBorder="1" applyAlignment="1">
      <alignment horizontal="left" indent="2"/>
    </xf>
    <xf numFmtId="166" fontId="11" fillId="0" borderId="0" xfId="1" applyNumberFormat="1" applyFont="1" applyFill="1" applyBorder="1" applyAlignment="1">
      <alignment horizontal="left" indent="2"/>
    </xf>
    <xf numFmtId="0" fontId="0" fillId="0" borderId="0" xfId="0" applyFont="1" applyAlignment="1">
      <alignment horizontal="left" vertical="top" indent="1"/>
    </xf>
    <xf numFmtId="0" fontId="0" fillId="0" borderId="0" xfId="0" applyFont="1" applyFill="1" applyBorder="1" applyAlignment="1">
      <alignment vertical="center"/>
    </xf>
    <xf numFmtId="166" fontId="11" fillId="0" borderId="0" xfId="373" applyNumberFormat="1" applyFont="1"/>
    <xf numFmtId="37" fontId="11" fillId="0" borderId="0" xfId="4" applyNumberFormat="1" applyFont="1" applyAlignment="1" applyProtection="1">
      <alignment horizontal="right"/>
    </xf>
    <xf numFmtId="166" fontId="11" fillId="0" borderId="0" xfId="1" applyNumberFormat="1" applyFont="1" applyAlignment="1">
      <alignment horizontal="left" indent="2"/>
    </xf>
    <xf numFmtId="44" fontId="11" fillId="0" borderId="0" xfId="10" applyFont="1"/>
    <xf numFmtId="0" fontId="11" fillId="0" borderId="0" xfId="4" applyFont="1" applyFill="1" applyBorder="1" applyAlignment="1">
      <alignment horizontal="left"/>
    </xf>
    <xf numFmtId="166" fontId="11" fillId="0" borderId="0" xfId="1" applyNumberFormat="1" applyFont="1"/>
    <xf numFmtId="166" fontId="11" fillId="0" borderId="0" xfId="1" applyNumberFormat="1" applyFont="1" applyFill="1" applyAlignment="1">
      <alignment horizontal="left" indent="2"/>
    </xf>
    <xf numFmtId="44" fontId="0" fillId="0" borderId="0" xfId="0" applyNumberFormat="1" applyFont="1" applyFill="1" applyBorder="1"/>
    <xf numFmtId="44" fontId="3" fillId="6" borderId="1" xfId="2" applyFont="1" applyFill="1" applyBorder="1" applyAlignment="1">
      <alignment horizontal="right"/>
    </xf>
    <xf numFmtId="0" fontId="0" fillId="0" borderId="0" xfId="0" applyFont="1" applyBorder="1" applyAlignment="1">
      <alignment horizontal="left" vertical="top" indent="1"/>
    </xf>
    <xf numFmtId="37" fontId="11" fillId="0" borderId="0" xfId="4" applyNumberFormat="1" applyFont="1" applyBorder="1" applyAlignment="1" applyProtection="1">
      <alignment horizontal="right"/>
    </xf>
    <xf numFmtId="166" fontId="11" fillId="0" borderId="0" xfId="1" applyNumberFormat="1" applyFont="1" applyBorder="1" applyAlignment="1">
      <alignment horizontal="left" indent="2"/>
    </xf>
    <xf numFmtId="0" fontId="11" fillId="0" borderId="0" xfId="0" applyFont="1"/>
    <xf numFmtId="0" fontId="0" fillId="0" borderId="0" xfId="0" applyFont="1" applyFill="1" applyBorder="1" applyAlignment="1">
      <alignment horizontal="center" vertical="center" textRotation="90"/>
    </xf>
    <xf numFmtId="0" fontId="0" fillId="6" borderId="35" xfId="0" applyFont="1" applyFill="1" applyBorder="1"/>
    <xf numFmtId="0" fontId="0" fillId="6" borderId="33" xfId="0" applyFont="1" applyFill="1" applyBorder="1" applyAlignment="1">
      <alignment horizontal="center"/>
    </xf>
    <xf numFmtId="0" fontId="3" fillId="6" borderId="33" xfId="0" applyFont="1" applyFill="1" applyBorder="1"/>
    <xf numFmtId="0" fontId="0" fillId="6" borderId="33" xfId="0" applyFont="1" applyFill="1" applyBorder="1" applyAlignment="1">
      <alignment horizontal="right"/>
    </xf>
    <xf numFmtId="0" fontId="0" fillId="6" borderId="33" xfId="0" applyFont="1" applyFill="1" applyBorder="1"/>
    <xf numFmtId="166" fontId="0" fillId="6" borderId="33" xfId="1" applyNumberFormat="1" applyFont="1" applyFill="1" applyBorder="1" applyAlignment="1">
      <alignment horizontal="left" indent="2"/>
    </xf>
    <xf numFmtId="166" fontId="0" fillId="6" borderId="33" xfId="1" applyNumberFormat="1" applyFont="1" applyFill="1" applyBorder="1"/>
    <xf numFmtId="44" fontId="0" fillId="6" borderId="33" xfId="1" applyNumberFormat="1" applyFont="1" applyFill="1" applyBorder="1"/>
    <xf numFmtId="0" fontId="0" fillId="0" borderId="34" xfId="0" applyFont="1" applyBorder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0" fontId="0" fillId="0" borderId="34" xfId="0" applyFont="1" applyFill="1" applyBorder="1" applyAlignment="1">
      <alignment vertical="center" textRotation="90"/>
    </xf>
    <xf numFmtId="0" fontId="0" fillId="0" borderId="36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166" fontId="11" fillId="0" borderId="1" xfId="373" applyNumberFormat="1" applyFont="1" applyBorder="1"/>
    <xf numFmtId="43" fontId="0" fillId="0" borderId="1" xfId="1" applyNumberFormat="1" applyFont="1" applyFill="1" applyBorder="1"/>
    <xf numFmtId="37" fontId="11" fillId="0" borderId="1" xfId="4" applyNumberFormat="1" applyFont="1" applyBorder="1" applyAlignment="1" applyProtection="1">
      <alignment horizontal="right"/>
    </xf>
    <xf numFmtId="166" fontId="11" fillId="0" borderId="1" xfId="1" applyNumberFormat="1" applyFont="1" applyBorder="1" applyAlignment="1">
      <alignment horizontal="left" indent="2"/>
    </xf>
    <xf numFmtId="166" fontId="0" fillId="0" borderId="1" xfId="1" applyNumberFormat="1" applyFont="1" applyFill="1" applyBorder="1"/>
    <xf numFmtId="166" fontId="0" fillId="0" borderId="1" xfId="1" applyNumberFormat="1" applyFont="1" applyFill="1" applyBorder="1" applyAlignment="1">
      <alignment horizontal="center" wrapText="1"/>
    </xf>
    <xf numFmtId="44" fontId="0" fillId="0" borderId="1" xfId="2" applyFont="1" applyFill="1" applyBorder="1"/>
    <xf numFmtId="44" fontId="11" fillId="0" borderId="1" xfId="10" applyFont="1" applyBorder="1"/>
    <xf numFmtId="0" fontId="0" fillId="0" borderId="0" xfId="0" applyFont="1" applyFill="1" applyBorder="1" applyAlignment="1">
      <alignment horizontal="left"/>
    </xf>
    <xf numFmtId="44" fontId="0" fillId="0" borderId="0" xfId="2" applyFont="1" applyFill="1"/>
    <xf numFmtId="165" fontId="0" fillId="0" borderId="0" xfId="2" applyNumberFormat="1" applyFont="1" applyFill="1"/>
    <xf numFmtId="165" fontId="0" fillId="0" borderId="1" xfId="2" applyNumberFormat="1" applyFont="1" applyFill="1" applyBorder="1"/>
    <xf numFmtId="169" fontId="0" fillId="0" borderId="0" xfId="2" applyNumberFormat="1" applyFont="1" applyFill="1"/>
    <xf numFmtId="0" fontId="0" fillId="0" borderId="0" xfId="0" applyFont="1" applyFill="1" applyBorder="1" applyAlignment="1">
      <alignment horizontal="center" vertical="center" textRotation="90"/>
    </xf>
    <xf numFmtId="166" fontId="11" fillId="38" borderId="0" xfId="373" applyNumberFormat="1" applyFont="1" applyFill="1" applyBorder="1"/>
    <xf numFmtId="166" fontId="11" fillId="38" borderId="0" xfId="373" applyNumberFormat="1" applyFont="1" applyFill="1"/>
    <xf numFmtId="44" fontId="11" fillId="38" borderId="0" xfId="10" applyFont="1" applyFill="1" applyBorder="1"/>
    <xf numFmtId="44" fontId="0" fillId="38" borderId="0" xfId="2" applyFont="1" applyFill="1" applyBorder="1"/>
    <xf numFmtId="166" fontId="0" fillId="38" borderId="0" xfId="1" applyNumberFormat="1" applyFont="1" applyFill="1" applyBorder="1" applyAlignment="1">
      <alignment horizontal="right"/>
    </xf>
    <xf numFmtId="167" fontId="0" fillId="38" borderId="0" xfId="1" applyNumberFormat="1" applyFont="1" applyFill="1"/>
    <xf numFmtId="167" fontId="0" fillId="38" borderId="0" xfId="1" applyNumberFormat="1" applyFont="1" applyFill="1" applyBorder="1"/>
    <xf numFmtId="167" fontId="0" fillId="38" borderId="1" xfId="1" applyNumberFormat="1" applyFont="1" applyFill="1" applyBorder="1"/>
    <xf numFmtId="0" fontId="0" fillId="6" borderId="0" xfId="0" applyFont="1" applyFill="1" applyBorder="1" applyAlignment="1">
      <alignment vertical="center" textRotation="90"/>
    </xf>
    <xf numFmtId="0" fontId="0" fillId="6" borderId="0" xfId="0" applyFont="1" applyFill="1" applyBorder="1" applyAlignment="1">
      <alignment horizontal="center" vertical="center"/>
    </xf>
    <xf numFmtId="0" fontId="12" fillId="6" borderId="0" xfId="4" applyFont="1" applyFill="1" applyBorder="1" applyAlignment="1">
      <alignment horizontal="left"/>
    </xf>
    <xf numFmtId="3" fontId="3" fillId="6" borderId="0" xfId="0" applyNumberFormat="1" applyFont="1" applyFill="1" applyBorder="1" applyAlignment="1">
      <alignment horizontal="right"/>
    </xf>
    <xf numFmtId="166" fontId="0" fillId="6" borderId="0" xfId="1" applyNumberFormat="1" applyFont="1" applyFill="1" applyBorder="1" applyAlignment="1">
      <alignment horizontal="left" indent="2"/>
    </xf>
    <xf numFmtId="44" fontId="0" fillId="6" borderId="0" xfId="2" applyFont="1" applyFill="1" applyBorder="1"/>
    <xf numFmtId="44" fontId="3" fillId="6" borderId="0" xfId="2" applyFont="1" applyFill="1" applyBorder="1" applyAlignment="1">
      <alignment horizontal="right"/>
    </xf>
    <xf numFmtId="0" fontId="0" fillId="0" borderId="23" xfId="0" applyFont="1" applyBorder="1"/>
    <xf numFmtId="0" fontId="0" fillId="0" borderId="24" xfId="0" applyFont="1" applyBorder="1"/>
    <xf numFmtId="43" fontId="3" fillId="6" borderId="0" xfId="1" applyFont="1" applyFill="1" applyBorder="1" applyAlignment="1">
      <alignment horizontal="center" wrapText="1"/>
    </xf>
    <xf numFmtId="3" fontId="3" fillId="6" borderId="0" xfId="0" applyNumberFormat="1" applyFont="1" applyFill="1" applyBorder="1" applyAlignment="1">
      <alignment horizontal="center"/>
    </xf>
    <xf numFmtId="0" fontId="63" fillId="0" borderId="0" xfId="409" applyFont="1"/>
    <xf numFmtId="43" fontId="1" fillId="0" borderId="0" xfId="1" applyFont="1" applyFill="1"/>
    <xf numFmtId="43" fontId="1" fillId="0" borderId="0" xfId="1" applyFont="1"/>
    <xf numFmtId="0" fontId="63" fillId="0" borderId="0" xfId="410" applyFont="1"/>
    <xf numFmtId="0" fontId="64" fillId="0" borderId="0" xfId="409" applyFont="1"/>
    <xf numFmtId="43" fontId="49" fillId="0" borderId="0" xfId="1" applyFont="1" applyFill="1" applyBorder="1"/>
    <xf numFmtId="43" fontId="2" fillId="0" borderId="0" xfId="1" applyFont="1"/>
    <xf numFmtId="0" fontId="2" fillId="0" borderId="0" xfId="410"/>
    <xf numFmtId="0" fontId="0" fillId="5" borderId="0" xfId="0" applyFill="1"/>
    <xf numFmtId="43" fontId="63" fillId="0" borderId="0" xfId="1" applyFont="1" applyFill="1" applyAlignment="1">
      <alignment horizontal="center"/>
    </xf>
    <xf numFmtId="43" fontId="63" fillId="0" borderId="0" xfId="1" applyFont="1" applyAlignment="1">
      <alignment horizontal="center"/>
    </xf>
    <xf numFmtId="0" fontId="2" fillId="0" borderId="0" xfId="410" applyAlignment="1">
      <alignment horizontal="center"/>
    </xf>
    <xf numFmtId="14" fontId="3" fillId="0" borderId="0" xfId="1" applyNumberFormat="1" applyFont="1" applyAlignment="1">
      <alignment horizontal="center"/>
    </xf>
    <xf numFmtId="43" fontId="2" fillId="0" borderId="0" xfId="1" applyFont="1" applyFill="1"/>
    <xf numFmtId="0" fontId="0" fillId="0" borderId="0" xfId="0" applyAlignment="1">
      <alignment horizontal="left" vertical="top" indent="1"/>
    </xf>
    <xf numFmtId="0" fontId="0" fillId="5" borderId="0" xfId="0" applyFill="1" applyAlignment="1">
      <alignment horizontal="left" vertical="top" indent="1"/>
    </xf>
    <xf numFmtId="0" fontId="2" fillId="5" borderId="0" xfId="410" applyFill="1"/>
    <xf numFmtId="43" fontId="2" fillId="5" borderId="0" xfId="1" applyFont="1" applyFill="1"/>
    <xf numFmtId="0" fontId="11" fillId="5" borderId="0" xfId="4" applyFont="1" applyFill="1" applyAlignment="1">
      <alignment horizontal="left"/>
    </xf>
    <xf numFmtId="0" fontId="11" fillId="0" borderId="0" xfId="4" applyFont="1" applyAlignment="1">
      <alignment horizontal="left"/>
    </xf>
    <xf numFmtId="0" fontId="3" fillId="0" borderId="0" xfId="0" applyFont="1" applyAlignment="1">
      <alignment horizontal="left"/>
    </xf>
    <xf numFmtId="43" fontId="1" fillId="5" borderId="0" xfId="1" applyFont="1" applyFill="1"/>
    <xf numFmtId="0" fontId="1" fillId="0" borderId="0" xfId="23"/>
    <xf numFmtId="0" fontId="3" fillId="0" borderId="0" xfId="23" applyFont="1"/>
    <xf numFmtId="0" fontId="1" fillId="0" borderId="0" xfId="23" applyAlignment="1">
      <alignment horizontal="center"/>
    </xf>
    <xf numFmtId="172" fontId="3" fillId="39" borderId="37" xfId="411" applyNumberFormat="1" applyFont="1"/>
    <xf numFmtId="172" fontId="3" fillId="0" borderId="0" xfId="23" applyNumberFormat="1" applyFont="1"/>
    <xf numFmtId="0" fontId="65" fillId="0" borderId="0" xfId="23" applyFont="1" applyAlignment="1">
      <alignment horizontal="center"/>
    </xf>
    <xf numFmtId="0" fontId="65" fillId="0" borderId="0" xfId="23" applyFont="1"/>
    <xf numFmtId="0" fontId="66" fillId="0" borderId="0" xfId="23" applyFont="1"/>
    <xf numFmtId="0" fontId="3" fillId="0" borderId="2" xfId="23" applyFont="1" applyBorder="1"/>
    <xf numFmtId="0" fontId="1" fillId="0" borderId="2" xfId="23" applyBorder="1"/>
    <xf numFmtId="166" fontId="1" fillId="0" borderId="0" xfId="23" applyNumberFormat="1"/>
    <xf numFmtId="166" fontId="11" fillId="0" borderId="0" xfId="114" applyNumberFormat="1" applyFont="1"/>
    <xf numFmtId="166" fontId="3" fillId="0" borderId="0" xfId="23" applyNumberFormat="1" applyFont="1"/>
    <xf numFmtId="166" fontId="3" fillId="5" borderId="0" xfId="23" applyNumberFormat="1" applyFont="1" applyFill="1"/>
    <xf numFmtId="0" fontId="1" fillId="0" borderId="1" xfId="23" applyBorder="1"/>
    <xf numFmtId="166" fontId="11" fillId="0" borderId="1" xfId="114" applyNumberFormat="1" applyFont="1" applyBorder="1"/>
    <xf numFmtId="166" fontId="11" fillId="0" borderId="0" xfId="114" applyNumberFormat="1" applyFont="1" applyBorder="1"/>
    <xf numFmtId="0" fontId="11" fillId="39" borderId="37" xfId="411" applyFont="1" applyAlignment="1">
      <alignment horizontal="center"/>
    </xf>
    <xf numFmtId="0" fontId="67" fillId="0" borderId="38" xfId="23" applyFont="1" applyBorder="1" applyAlignment="1">
      <alignment horizontal="center"/>
    </xf>
    <xf numFmtId="0" fontId="67" fillId="0" borderId="38" xfId="23" applyFont="1" applyBorder="1"/>
    <xf numFmtId="166" fontId="67" fillId="2" borderId="38" xfId="114" applyNumberFormat="1" applyFont="1" applyFill="1" applyBorder="1"/>
    <xf numFmtId="166" fontId="68" fillId="2" borderId="38" xfId="23" applyNumberFormat="1" applyFont="1" applyFill="1" applyBorder="1"/>
    <xf numFmtId="166" fontId="67" fillId="0" borderId="0" xfId="114" applyNumberFormat="1" applyFont="1"/>
    <xf numFmtId="171" fontId="11" fillId="0" borderId="0" xfId="3" applyNumberFormat="1" applyFont="1"/>
    <xf numFmtId="0" fontId="69" fillId="0" borderId="38" xfId="23" applyFont="1" applyBorder="1" applyAlignment="1">
      <alignment horizontal="center"/>
    </xf>
    <xf numFmtId="0" fontId="69" fillId="0" borderId="38" xfId="23" applyFont="1" applyBorder="1"/>
    <xf numFmtId="166" fontId="67" fillId="0" borderId="38" xfId="114" applyNumberFormat="1" applyFont="1" applyBorder="1"/>
    <xf numFmtId="0" fontId="1" fillId="0" borderId="3" xfId="23" applyBorder="1" applyAlignment="1">
      <alignment horizontal="center"/>
    </xf>
    <xf numFmtId="0" fontId="1" fillId="0" borderId="3" xfId="23" applyBorder="1"/>
    <xf numFmtId="166" fontId="11" fillId="0" borderId="3" xfId="114" applyNumberFormat="1" applyFont="1" applyBorder="1"/>
    <xf numFmtId="166" fontId="3" fillId="0" borderId="3" xfId="23" applyNumberFormat="1" applyFont="1" applyBorder="1"/>
    <xf numFmtId="0" fontId="67" fillId="0" borderId="0" xfId="253" applyNumberFormat="1" applyFont="1"/>
    <xf numFmtId="171" fontId="67" fillId="0" borderId="0" xfId="253" applyNumberFormat="1" applyFont="1"/>
    <xf numFmtId="166" fontId="3" fillId="0" borderId="0" xfId="114" applyNumberFormat="1" applyFont="1"/>
    <xf numFmtId="166" fontId="68" fillId="0" borderId="38" xfId="23" applyNumberFormat="1" applyFont="1" applyBorder="1"/>
    <xf numFmtId="0" fontId="67" fillId="2" borderId="38" xfId="23" applyFont="1" applyFill="1" applyBorder="1"/>
    <xf numFmtId="43" fontId="11" fillId="0" borderId="0" xfId="114" applyFont="1"/>
    <xf numFmtId="0" fontId="9" fillId="0" borderId="0" xfId="23" applyFont="1"/>
    <xf numFmtId="0" fontId="69" fillId="0" borderId="0" xfId="253" applyNumberFormat="1" applyFont="1"/>
    <xf numFmtId="0" fontId="9" fillId="0" borderId="3" xfId="23" applyFont="1" applyBorder="1"/>
    <xf numFmtId="44" fontId="11" fillId="39" borderId="37" xfId="411" applyNumberFormat="1" applyFont="1"/>
    <xf numFmtId="44" fontId="11" fillId="0" borderId="0" xfId="294" applyFont="1"/>
    <xf numFmtId="44" fontId="3" fillId="0" borderId="0" xfId="294" applyFont="1"/>
    <xf numFmtId="166" fontId="3" fillId="0" borderId="1" xfId="23" applyNumberFormat="1" applyFont="1" applyBorder="1"/>
    <xf numFmtId="0" fontId="3" fillId="0" borderId="0" xfId="23" applyFont="1" applyAlignment="1">
      <alignment horizontal="center" wrapText="1"/>
    </xf>
    <xf numFmtId="166" fontId="3" fillId="0" borderId="3" xfId="114" applyNumberFormat="1" applyFont="1" applyBorder="1"/>
    <xf numFmtId="171" fontId="11" fillId="0" borderId="0" xfId="253" applyNumberFormat="1" applyFont="1"/>
    <xf numFmtId="171" fontId="11" fillId="0" borderId="0" xfId="253" applyNumberFormat="1" applyFont="1" applyFill="1"/>
    <xf numFmtId="166" fontId="3" fillId="5" borderId="39" xfId="23" applyNumberFormat="1" applyFont="1" applyFill="1" applyBorder="1"/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textRotation="90"/>
    </xf>
    <xf numFmtId="0" fontId="3" fillId="0" borderId="0" xfId="23" applyFont="1" applyAlignment="1">
      <alignment horizontal="center"/>
    </xf>
    <xf numFmtId="0" fontId="2" fillId="0" borderId="0" xfId="413" applyAlignment="1" applyProtection="1">
      <alignment horizontal="left"/>
      <protection locked="0"/>
    </xf>
    <xf numFmtId="0" fontId="1" fillId="0" borderId="38" xfId="23" applyBorder="1" applyAlignment="1">
      <alignment horizontal="center"/>
    </xf>
    <xf numFmtId="0" fontId="67" fillId="0" borderId="0" xfId="23" applyFont="1"/>
    <xf numFmtId="0" fontId="1" fillId="5" borderId="0" xfId="23" applyFill="1" applyAlignment="1">
      <alignment horizontal="center"/>
    </xf>
    <xf numFmtId="1" fontId="69" fillId="39" borderId="37" xfId="412" applyNumberFormat="1" applyFont="1" applyAlignment="1">
      <alignment horizontal="center"/>
    </xf>
    <xf numFmtId="0" fontId="71" fillId="0" borderId="0" xfId="23" applyFont="1" applyAlignment="1">
      <alignment horizontal="left" vertical="center"/>
    </xf>
    <xf numFmtId="0" fontId="69" fillId="0" borderId="0" xfId="23" applyFont="1"/>
    <xf numFmtId="166" fontId="69" fillId="0" borderId="0" xfId="114" applyNumberFormat="1" applyFont="1"/>
    <xf numFmtId="166" fontId="72" fillId="0" borderId="0" xfId="114" applyNumberFormat="1" applyFont="1"/>
    <xf numFmtId="171" fontId="67" fillId="0" borderId="0" xfId="253" applyNumberFormat="1" applyFont="1" applyFill="1"/>
    <xf numFmtId="0" fontId="1" fillId="0" borderId="40" xfId="23" applyBorder="1" applyAlignment="1">
      <alignment horizontal="center"/>
    </xf>
    <xf numFmtId="166" fontId="12" fillId="0" borderId="40" xfId="114" applyNumberFormat="1" applyFont="1" applyBorder="1" applyAlignment="1">
      <alignment horizontal="center"/>
    </xf>
    <xf numFmtId="0" fontId="1" fillId="0" borderId="0" xfId="23" applyAlignment="1">
      <alignment horizontal="center" vertical="center"/>
    </xf>
    <xf numFmtId="173" fontId="11" fillId="40" borderId="41" xfId="114" applyNumberFormat="1" applyFont="1" applyFill="1" applyBorder="1"/>
    <xf numFmtId="173" fontId="11" fillId="0" borderId="41" xfId="114" applyNumberFormat="1" applyFont="1" applyBorder="1"/>
    <xf numFmtId="0" fontId="11" fillId="39" borderId="42" xfId="411" applyFont="1" applyBorder="1" applyAlignment="1">
      <alignment horizontal="center"/>
    </xf>
    <xf numFmtId="173" fontId="67" fillId="0" borderId="41" xfId="114" applyNumberFormat="1" applyFont="1" applyBorder="1"/>
    <xf numFmtId="0" fontId="67" fillId="0" borderId="43" xfId="23" applyFont="1" applyBorder="1"/>
    <xf numFmtId="166" fontId="67" fillId="0" borderId="41" xfId="114" applyNumberFormat="1" applyFont="1" applyBorder="1"/>
    <xf numFmtId="0" fontId="1" fillId="2" borderId="3" xfId="23" applyFill="1" applyBorder="1"/>
    <xf numFmtId="166" fontId="11" fillId="2" borderId="3" xfId="114" applyNumberFormat="1" applyFont="1" applyFill="1" applyBorder="1"/>
    <xf numFmtId="166" fontId="3" fillId="2" borderId="3" xfId="23" applyNumberFormat="1" applyFont="1" applyFill="1" applyBorder="1"/>
    <xf numFmtId="166" fontId="11" fillId="0" borderId="41" xfId="114" applyNumberFormat="1" applyFont="1" applyBorder="1"/>
    <xf numFmtId="173" fontId="1" fillId="40" borderId="41" xfId="23" applyNumberFormat="1" applyFill="1" applyBorder="1"/>
    <xf numFmtId="173" fontId="12" fillId="0" borderId="40" xfId="114" applyNumberFormat="1" applyFont="1" applyBorder="1"/>
    <xf numFmtId="44" fontId="73" fillId="39" borderId="37" xfId="411" applyNumberFormat="1" applyFont="1"/>
    <xf numFmtId="44" fontId="74" fillId="41" borderId="44" xfId="294" applyFont="1" applyFill="1" applyBorder="1"/>
    <xf numFmtId="0" fontId="75" fillId="41" borderId="44" xfId="23" applyFont="1" applyFill="1" applyBorder="1"/>
    <xf numFmtId="166" fontId="75" fillId="41" borderId="44" xfId="114" applyNumberFormat="1" applyFont="1" applyFill="1" applyBorder="1"/>
    <xf numFmtId="166" fontId="76" fillId="41" borderId="44" xfId="23" applyNumberFormat="1" applyFont="1" applyFill="1" applyBorder="1"/>
    <xf numFmtId="9" fontId="3" fillId="0" borderId="0" xfId="3" applyFont="1"/>
    <xf numFmtId="166" fontId="11" fillId="39" borderId="37" xfId="412" applyNumberFormat="1" applyFont="1"/>
    <xf numFmtId="0" fontId="11" fillId="39" borderId="37" xfId="411" applyFont="1"/>
    <xf numFmtId="44" fontId="11" fillId="41" borderId="0" xfId="294" applyFont="1" applyFill="1"/>
    <xf numFmtId="0" fontId="11" fillId="0" borderId="0" xfId="4" applyFont="1" applyFill="1" applyAlignment="1">
      <alignment horizontal="left"/>
    </xf>
    <xf numFmtId="0" fontId="2" fillId="0" borderId="0" xfId="410" applyFill="1"/>
    <xf numFmtId="44" fontId="0" fillId="38" borderId="0" xfId="2" applyFont="1" applyFill="1"/>
    <xf numFmtId="44" fontId="0" fillId="38" borderId="1" xfId="2" applyFont="1" applyFill="1" applyBorder="1"/>
    <xf numFmtId="0" fontId="0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3" xfId="0" applyFont="1" applyFill="1" applyBorder="1" applyAlignment="1">
      <alignment horizontal="center" vertical="center" textRotation="90"/>
    </xf>
    <xf numFmtId="0" fontId="3" fillId="0" borderId="0" xfId="23" applyFont="1" applyAlignment="1">
      <alignment horizontal="left"/>
    </xf>
    <xf numFmtId="0" fontId="3" fillId="0" borderId="0" xfId="23" applyFont="1" applyAlignment="1">
      <alignment horizontal="center"/>
    </xf>
  </cellXfs>
  <cellStyles count="414">
    <cellStyle name="20% - Accent1 2" xfId="40" xr:uid="{00000000-0005-0000-0000-000000000000}"/>
    <cellStyle name="20% - Accent1 2 2" xfId="299" xr:uid="{00000000-0005-0000-0000-000001000000}"/>
    <cellStyle name="20% - Accent1 3" xfId="39" xr:uid="{00000000-0005-0000-0000-000002000000}"/>
    <cellStyle name="20% - Accent1 3 2" xfId="300" xr:uid="{00000000-0005-0000-0000-000003000000}"/>
    <cellStyle name="20% - Accent2 2" xfId="42" xr:uid="{00000000-0005-0000-0000-000004000000}"/>
    <cellStyle name="20% - Accent2 3" xfId="41" xr:uid="{00000000-0005-0000-0000-000005000000}"/>
    <cellStyle name="20% - Accent2 4" xfId="395" xr:uid="{00000000-0005-0000-0000-000006000000}"/>
    <cellStyle name="20% - Accent3 2" xfId="44" xr:uid="{00000000-0005-0000-0000-000007000000}"/>
    <cellStyle name="20% - Accent3 3" xfId="43" xr:uid="{00000000-0005-0000-0000-000008000000}"/>
    <cellStyle name="20% - Accent3 4" xfId="396" xr:uid="{00000000-0005-0000-0000-000009000000}"/>
    <cellStyle name="20% - Accent4 2" xfId="46" xr:uid="{00000000-0005-0000-0000-00000A000000}"/>
    <cellStyle name="20% - Accent4 2 2" xfId="301" xr:uid="{00000000-0005-0000-0000-00000B000000}"/>
    <cellStyle name="20% - Accent4 3" xfId="45" xr:uid="{00000000-0005-0000-0000-00000C000000}"/>
    <cellStyle name="20% - Accent4 3 2" xfId="302" xr:uid="{00000000-0005-0000-0000-00000D000000}"/>
    <cellStyle name="20% - Accent5 2" xfId="48" xr:uid="{00000000-0005-0000-0000-00000E000000}"/>
    <cellStyle name="20% - Accent5 3" xfId="47" xr:uid="{00000000-0005-0000-0000-00000F000000}"/>
    <cellStyle name="20% - Accent6 2" xfId="50" xr:uid="{00000000-0005-0000-0000-000010000000}"/>
    <cellStyle name="20% - Accent6 3" xfId="49" xr:uid="{00000000-0005-0000-0000-000011000000}"/>
    <cellStyle name="20% - Accent6 4" xfId="397" xr:uid="{00000000-0005-0000-0000-000012000000}"/>
    <cellStyle name="40% - Accent1 2" xfId="52" xr:uid="{00000000-0005-0000-0000-000013000000}"/>
    <cellStyle name="40% - Accent1 3" xfId="51" xr:uid="{00000000-0005-0000-0000-000014000000}"/>
    <cellStyle name="40% - Accent1 3 2" xfId="303" xr:uid="{00000000-0005-0000-0000-000015000000}"/>
    <cellStyle name="40% - Accent2 2" xfId="54" xr:uid="{00000000-0005-0000-0000-000016000000}"/>
    <cellStyle name="40% - Accent2 3" xfId="53" xr:uid="{00000000-0005-0000-0000-000017000000}"/>
    <cellStyle name="40% - Accent3 2" xfId="56" xr:uid="{00000000-0005-0000-0000-000018000000}"/>
    <cellStyle name="40% - Accent3 3" xfId="55" xr:uid="{00000000-0005-0000-0000-000019000000}"/>
    <cellStyle name="40% - Accent3 4" xfId="398" xr:uid="{00000000-0005-0000-0000-00001A000000}"/>
    <cellStyle name="40% - Accent4 2" xfId="58" xr:uid="{00000000-0005-0000-0000-00001B000000}"/>
    <cellStyle name="40% - Accent4 3" xfId="57" xr:uid="{00000000-0005-0000-0000-00001C000000}"/>
    <cellStyle name="40% - Accent4 3 2" xfId="304" xr:uid="{00000000-0005-0000-0000-00001D000000}"/>
    <cellStyle name="40% - Accent5 2" xfId="60" xr:uid="{00000000-0005-0000-0000-00001E000000}"/>
    <cellStyle name="40% - Accent5 3" xfId="59" xr:uid="{00000000-0005-0000-0000-00001F000000}"/>
    <cellStyle name="40% - Accent6 2" xfId="62" xr:uid="{00000000-0005-0000-0000-000020000000}"/>
    <cellStyle name="40% - Accent6 3" xfId="61" xr:uid="{00000000-0005-0000-0000-000021000000}"/>
    <cellStyle name="40% - Accent6 3 2" xfId="305" xr:uid="{00000000-0005-0000-0000-000022000000}"/>
    <cellStyle name="60% - Accent1 2" xfId="64" xr:uid="{00000000-0005-0000-0000-000023000000}"/>
    <cellStyle name="60% - Accent1 2 2" xfId="306" xr:uid="{00000000-0005-0000-0000-000024000000}"/>
    <cellStyle name="60% - Accent1 3" xfId="63" xr:uid="{00000000-0005-0000-0000-000025000000}"/>
    <cellStyle name="60% - Accent1 3 2" xfId="307" xr:uid="{00000000-0005-0000-0000-000026000000}"/>
    <cellStyle name="60% - Accent2 2" xfId="66" xr:uid="{00000000-0005-0000-0000-000027000000}"/>
    <cellStyle name="60% - Accent2 3" xfId="65" xr:uid="{00000000-0005-0000-0000-000028000000}"/>
    <cellStyle name="60% - Accent3 2" xfId="68" xr:uid="{00000000-0005-0000-0000-000029000000}"/>
    <cellStyle name="60% - Accent3 3" xfId="67" xr:uid="{00000000-0005-0000-0000-00002A000000}"/>
    <cellStyle name="60% - Accent3 3 2" xfId="308" xr:uid="{00000000-0005-0000-0000-00002B000000}"/>
    <cellStyle name="60% - Accent4 2" xfId="70" xr:uid="{00000000-0005-0000-0000-00002C000000}"/>
    <cellStyle name="60% - Accent4 3" xfId="69" xr:uid="{00000000-0005-0000-0000-00002D000000}"/>
    <cellStyle name="60% - Accent4 3 2" xfId="309" xr:uid="{00000000-0005-0000-0000-00002E000000}"/>
    <cellStyle name="60% - Accent5 2" xfId="72" xr:uid="{00000000-0005-0000-0000-00002F000000}"/>
    <cellStyle name="60% - Accent5 2 2" xfId="310" xr:uid="{00000000-0005-0000-0000-000030000000}"/>
    <cellStyle name="60% - Accent5 3" xfId="71" xr:uid="{00000000-0005-0000-0000-000031000000}"/>
    <cellStyle name="60% - Accent6 2" xfId="74" xr:uid="{00000000-0005-0000-0000-000032000000}"/>
    <cellStyle name="60% - Accent6 3" xfId="73" xr:uid="{00000000-0005-0000-0000-000033000000}"/>
    <cellStyle name="60% - Accent6 4" xfId="399" xr:uid="{00000000-0005-0000-0000-000034000000}"/>
    <cellStyle name="Accent1 2" xfId="76" xr:uid="{00000000-0005-0000-0000-000035000000}"/>
    <cellStyle name="Accent1 2 2" xfId="311" xr:uid="{00000000-0005-0000-0000-000036000000}"/>
    <cellStyle name="Accent1 3" xfId="75" xr:uid="{00000000-0005-0000-0000-000037000000}"/>
    <cellStyle name="Accent1 3 2" xfId="312" xr:uid="{00000000-0005-0000-0000-000038000000}"/>
    <cellStyle name="Accent2 2" xfId="78" xr:uid="{00000000-0005-0000-0000-000039000000}"/>
    <cellStyle name="Accent2 3" xfId="77" xr:uid="{00000000-0005-0000-0000-00003A000000}"/>
    <cellStyle name="Accent3 2" xfId="80" xr:uid="{00000000-0005-0000-0000-00003B000000}"/>
    <cellStyle name="Accent3 2 2" xfId="313" xr:uid="{00000000-0005-0000-0000-00003C000000}"/>
    <cellStyle name="Accent3 3" xfId="79" xr:uid="{00000000-0005-0000-0000-00003D000000}"/>
    <cellStyle name="Accent4 2" xfId="82" xr:uid="{00000000-0005-0000-0000-00003E000000}"/>
    <cellStyle name="Accent4 3" xfId="81" xr:uid="{00000000-0005-0000-0000-00003F000000}"/>
    <cellStyle name="Accent4 4" xfId="400" xr:uid="{00000000-0005-0000-0000-000040000000}"/>
    <cellStyle name="Accent5 2" xfId="84" xr:uid="{00000000-0005-0000-0000-000041000000}"/>
    <cellStyle name="Accent5 3" xfId="83" xr:uid="{00000000-0005-0000-0000-000042000000}"/>
    <cellStyle name="Accent6 2" xfId="86" xr:uid="{00000000-0005-0000-0000-000043000000}"/>
    <cellStyle name="Accent6 2 2" xfId="314" xr:uid="{00000000-0005-0000-0000-000044000000}"/>
    <cellStyle name="Accent6 3" xfId="85" xr:uid="{00000000-0005-0000-0000-000045000000}"/>
    <cellStyle name="Accounting" xfId="87" xr:uid="{00000000-0005-0000-0000-000046000000}"/>
    <cellStyle name="Accounting 2" xfId="88" xr:uid="{00000000-0005-0000-0000-000047000000}"/>
    <cellStyle name="Accounting 3" xfId="89" xr:uid="{00000000-0005-0000-0000-000048000000}"/>
    <cellStyle name="Accounting_2011-11" xfId="90" xr:uid="{00000000-0005-0000-0000-000049000000}"/>
    <cellStyle name="Bad 2" xfId="92" xr:uid="{00000000-0005-0000-0000-00004A000000}"/>
    <cellStyle name="Bad 3" xfId="91" xr:uid="{00000000-0005-0000-0000-00004B000000}"/>
    <cellStyle name="Budget" xfId="93" xr:uid="{00000000-0005-0000-0000-00004C000000}"/>
    <cellStyle name="Budget 2" xfId="94" xr:uid="{00000000-0005-0000-0000-00004D000000}"/>
    <cellStyle name="Budget 3" xfId="95" xr:uid="{00000000-0005-0000-0000-00004E000000}"/>
    <cellStyle name="Budget_2011-11" xfId="96" xr:uid="{00000000-0005-0000-0000-00004F000000}"/>
    <cellStyle name="Calculation 2" xfId="98" xr:uid="{00000000-0005-0000-0000-000050000000}"/>
    <cellStyle name="Calculation 2 2" xfId="315" xr:uid="{00000000-0005-0000-0000-000051000000}"/>
    <cellStyle name="Calculation 3" xfId="97" xr:uid="{00000000-0005-0000-0000-000052000000}"/>
    <cellStyle name="Calculation 3 2" xfId="316" xr:uid="{00000000-0005-0000-0000-000053000000}"/>
    <cellStyle name="Check Cell 2" xfId="100" xr:uid="{00000000-0005-0000-0000-000054000000}"/>
    <cellStyle name="Check Cell 3" xfId="99" xr:uid="{00000000-0005-0000-0000-000055000000}"/>
    <cellStyle name="combo" xfId="101" xr:uid="{00000000-0005-0000-0000-000056000000}"/>
    <cellStyle name="Comma" xfId="1" builtinId="3"/>
    <cellStyle name="Comma 10" xfId="103" xr:uid="{00000000-0005-0000-0000-000058000000}"/>
    <cellStyle name="Comma 11" xfId="104" xr:uid="{00000000-0005-0000-0000-000059000000}"/>
    <cellStyle name="Comma 12" xfId="102" xr:uid="{00000000-0005-0000-0000-00005A000000}"/>
    <cellStyle name="Comma 12 2" xfId="277" xr:uid="{00000000-0005-0000-0000-00005B000000}"/>
    <cellStyle name="Comma 12 3" xfId="282" xr:uid="{00000000-0005-0000-0000-00005C000000}"/>
    <cellStyle name="Comma 13" xfId="283" xr:uid="{00000000-0005-0000-0000-00005D000000}"/>
    <cellStyle name="Comma 14" xfId="284" xr:uid="{00000000-0005-0000-0000-00005E000000}"/>
    <cellStyle name="Comma 15" xfId="285" xr:uid="{00000000-0005-0000-0000-00005F000000}"/>
    <cellStyle name="Comma 16" xfId="286" xr:uid="{00000000-0005-0000-0000-000060000000}"/>
    <cellStyle name="Comma 17" xfId="317" xr:uid="{00000000-0005-0000-0000-000061000000}"/>
    <cellStyle name="Comma 18" xfId="318" xr:uid="{00000000-0005-0000-0000-000062000000}"/>
    <cellStyle name="Comma 19" xfId="319" xr:uid="{00000000-0005-0000-0000-000063000000}"/>
    <cellStyle name="Comma 2" xfId="5" xr:uid="{00000000-0005-0000-0000-000064000000}"/>
    <cellStyle name="Comma 2 2" xfId="6" xr:uid="{00000000-0005-0000-0000-000065000000}"/>
    <cellStyle name="Comma 2 2 2" xfId="320" xr:uid="{00000000-0005-0000-0000-000066000000}"/>
    <cellStyle name="Comma 2 3" xfId="105" xr:uid="{00000000-0005-0000-0000-000067000000}"/>
    <cellStyle name="Comma 2 4" xfId="321" xr:uid="{00000000-0005-0000-0000-000068000000}"/>
    <cellStyle name="Comma 2 6" xfId="7" xr:uid="{00000000-0005-0000-0000-000069000000}"/>
    <cellStyle name="Comma 2 6 2" xfId="8" xr:uid="{00000000-0005-0000-0000-00006A000000}"/>
    <cellStyle name="Comma 20" xfId="370" xr:uid="{00000000-0005-0000-0000-00006B000000}"/>
    <cellStyle name="Comma 20 2" xfId="390" xr:uid="{00000000-0005-0000-0000-00006C000000}"/>
    <cellStyle name="Comma 21" xfId="401" xr:uid="{00000000-0005-0000-0000-00006D000000}"/>
    <cellStyle name="Comma 3" xfId="9" xr:uid="{00000000-0005-0000-0000-00006E000000}"/>
    <cellStyle name="Comma 3 2" xfId="106" xr:uid="{00000000-0005-0000-0000-00006F000000}"/>
    <cellStyle name="Comma 3 2 2" xfId="107" xr:uid="{00000000-0005-0000-0000-000070000000}"/>
    <cellStyle name="Comma 3 3" xfId="287" xr:uid="{00000000-0005-0000-0000-000071000000}"/>
    <cellStyle name="Comma 3 4" xfId="322" xr:uid="{00000000-0005-0000-0000-000072000000}"/>
    <cellStyle name="Comma 4" xfId="108" xr:uid="{00000000-0005-0000-0000-000073000000}"/>
    <cellStyle name="Comma 4 2" xfId="109" xr:uid="{00000000-0005-0000-0000-000074000000}"/>
    <cellStyle name="Comma 4 2 2" xfId="288" xr:uid="{00000000-0005-0000-0000-000075000000}"/>
    <cellStyle name="Comma 4 3" xfId="110" xr:uid="{00000000-0005-0000-0000-000076000000}"/>
    <cellStyle name="Comma 4 3 2" xfId="289" xr:uid="{00000000-0005-0000-0000-000077000000}"/>
    <cellStyle name="Comma 4 4" xfId="290" xr:uid="{00000000-0005-0000-0000-000078000000}"/>
    <cellStyle name="Comma 4 5" xfId="111" xr:uid="{00000000-0005-0000-0000-000079000000}"/>
    <cellStyle name="Comma 4 6" xfId="280" xr:uid="{00000000-0005-0000-0000-00007A000000}"/>
    <cellStyle name="Comma 5" xfId="112" xr:uid="{00000000-0005-0000-0000-00007B000000}"/>
    <cellStyle name="Comma 6" xfId="113" xr:uid="{00000000-0005-0000-0000-00007C000000}"/>
    <cellStyle name="Comma 6 2" xfId="323" xr:uid="{00000000-0005-0000-0000-00007D000000}"/>
    <cellStyle name="Comma 7" xfId="114" xr:uid="{00000000-0005-0000-0000-00007E000000}"/>
    <cellStyle name="Comma 8" xfId="115" xr:uid="{00000000-0005-0000-0000-00007F000000}"/>
    <cellStyle name="Comma 9" xfId="116" xr:uid="{00000000-0005-0000-0000-000080000000}"/>
    <cellStyle name="Comma(2)" xfId="117" xr:uid="{00000000-0005-0000-0000-000081000000}"/>
    <cellStyle name="Comma0 - Style2" xfId="118" xr:uid="{00000000-0005-0000-0000-000082000000}"/>
    <cellStyle name="Comma1 - Style1" xfId="119" xr:uid="{00000000-0005-0000-0000-000083000000}"/>
    <cellStyle name="Comments" xfId="120" xr:uid="{00000000-0005-0000-0000-000084000000}"/>
    <cellStyle name="Currency" xfId="2" builtinId="4"/>
    <cellStyle name="Currency 10" xfId="324" xr:uid="{00000000-0005-0000-0000-000086000000}"/>
    <cellStyle name="Currency 11" xfId="371" xr:uid="{00000000-0005-0000-0000-000087000000}"/>
    <cellStyle name="Currency 11 2" xfId="391" xr:uid="{00000000-0005-0000-0000-000088000000}"/>
    <cellStyle name="Currency 12" xfId="402" xr:uid="{00000000-0005-0000-0000-000089000000}"/>
    <cellStyle name="Currency 2" xfId="10" xr:uid="{00000000-0005-0000-0000-00008A000000}"/>
    <cellStyle name="Currency 2 2" xfId="11" xr:uid="{00000000-0005-0000-0000-00008B000000}"/>
    <cellStyle name="Currency 2 2 2" xfId="123" xr:uid="{00000000-0005-0000-0000-00008C000000}"/>
    <cellStyle name="Currency 2 3" xfId="122" xr:uid="{00000000-0005-0000-0000-00008D000000}"/>
    <cellStyle name="Currency 2 3 2" xfId="325" xr:uid="{00000000-0005-0000-0000-00008E000000}"/>
    <cellStyle name="Currency 2 6" xfId="12" xr:uid="{00000000-0005-0000-0000-00008F000000}"/>
    <cellStyle name="Currency 2 6 2" xfId="13" xr:uid="{00000000-0005-0000-0000-000090000000}"/>
    <cellStyle name="Currency 3" xfId="14" xr:uid="{00000000-0005-0000-0000-000091000000}"/>
    <cellStyle name="Currency 3 2" xfId="125" xr:uid="{00000000-0005-0000-0000-000092000000}"/>
    <cellStyle name="Currency 3 3" xfId="124" xr:uid="{00000000-0005-0000-0000-000093000000}"/>
    <cellStyle name="Currency 3 4" xfId="291" xr:uid="{00000000-0005-0000-0000-000094000000}"/>
    <cellStyle name="Currency 4" xfId="15" xr:uid="{00000000-0005-0000-0000-000095000000}"/>
    <cellStyle name="Currency 4 2" xfId="16" xr:uid="{00000000-0005-0000-0000-000096000000}"/>
    <cellStyle name="Currency 5" xfId="121" xr:uid="{00000000-0005-0000-0000-000097000000}"/>
    <cellStyle name="Currency 5 2" xfId="276" xr:uid="{00000000-0005-0000-0000-000098000000}"/>
    <cellStyle name="Currency 5 3" xfId="292" xr:uid="{00000000-0005-0000-0000-000099000000}"/>
    <cellStyle name="Currency 6" xfId="293" xr:uid="{00000000-0005-0000-0000-00009A000000}"/>
    <cellStyle name="Currency 7" xfId="294" xr:uid="{00000000-0005-0000-0000-00009B000000}"/>
    <cellStyle name="Currency 8" xfId="326" xr:uid="{00000000-0005-0000-0000-00009C000000}"/>
    <cellStyle name="Currency 9" xfId="327" xr:uid="{00000000-0005-0000-0000-00009D000000}"/>
    <cellStyle name="Data Enter" xfId="126" xr:uid="{00000000-0005-0000-0000-00009E000000}"/>
    <cellStyle name="date" xfId="328" xr:uid="{00000000-0005-0000-0000-00009F000000}"/>
    <cellStyle name="Explanatory Text 2" xfId="128" xr:uid="{00000000-0005-0000-0000-0000A0000000}"/>
    <cellStyle name="Explanatory Text 3" xfId="127" xr:uid="{00000000-0005-0000-0000-0000A1000000}"/>
    <cellStyle name="FactSheet" xfId="129" xr:uid="{00000000-0005-0000-0000-0000A2000000}"/>
    <cellStyle name="fish" xfId="329" xr:uid="{00000000-0005-0000-0000-0000A3000000}"/>
    <cellStyle name="Good 2" xfId="131" xr:uid="{00000000-0005-0000-0000-0000A4000000}"/>
    <cellStyle name="Good 3" xfId="130" xr:uid="{00000000-0005-0000-0000-0000A5000000}"/>
    <cellStyle name="Heading 1 2" xfId="133" xr:uid="{00000000-0005-0000-0000-0000A6000000}"/>
    <cellStyle name="Heading 1 2 2" xfId="330" xr:uid="{00000000-0005-0000-0000-0000A7000000}"/>
    <cellStyle name="Heading 1 3" xfId="132" xr:uid="{00000000-0005-0000-0000-0000A8000000}"/>
    <cellStyle name="Heading 1 3 2" xfId="331" xr:uid="{00000000-0005-0000-0000-0000A9000000}"/>
    <cellStyle name="Heading 2 2" xfId="135" xr:uid="{00000000-0005-0000-0000-0000AA000000}"/>
    <cellStyle name="Heading 2 2 2" xfId="332" xr:uid="{00000000-0005-0000-0000-0000AB000000}"/>
    <cellStyle name="Heading 2 3" xfId="134" xr:uid="{00000000-0005-0000-0000-0000AC000000}"/>
    <cellStyle name="Heading 2 3 2" xfId="333" xr:uid="{00000000-0005-0000-0000-0000AD000000}"/>
    <cellStyle name="Heading 3 2" xfId="137" xr:uid="{00000000-0005-0000-0000-0000AE000000}"/>
    <cellStyle name="Heading 3 2 2" xfId="334" xr:uid="{00000000-0005-0000-0000-0000AF000000}"/>
    <cellStyle name="Heading 3 3" xfId="136" xr:uid="{00000000-0005-0000-0000-0000B0000000}"/>
    <cellStyle name="Heading 3 3 2" xfId="335" xr:uid="{00000000-0005-0000-0000-0000B1000000}"/>
    <cellStyle name="Heading 4 2" xfId="139" xr:uid="{00000000-0005-0000-0000-0000B2000000}"/>
    <cellStyle name="Heading 4 3" xfId="138" xr:uid="{00000000-0005-0000-0000-0000B3000000}"/>
    <cellStyle name="Heading 4 4" xfId="403" xr:uid="{00000000-0005-0000-0000-0000B4000000}"/>
    <cellStyle name="Hyperlink 2" xfId="140" xr:uid="{00000000-0005-0000-0000-0000B5000000}"/>
    <cellStyle name="Hyperlink 3" xfId="141" xr:uid="{00000000-0005-0000-0000-0000B6000000}"/>
    <cellStyle name="Hyperlink 3 2" xfId="295" xr:uid="{00000000-0005-0000-0000-0000B7000000}"/>
    <cellStyle name="Input 2" xfId="143" xr:uid="{00000000-0005-0000-0000-0000B8000000}"/>
    <cellStyle name="Input 3" xfId="142" xr:uid="{00000000-0005-0000-0000-0000B9000000}"/>
    <cellStyle name="Input 4" xfId="404" xr:uid="{00000000-0005-0000-0000-0000BA000000}"/>
    <cellStyle name="input(0)" xfId="144" xr:uid="{00000000-0005-0000-0000-0000BB000000}"/>
    <cellStyle name="Input(2)" xfId="145" xr:uid="{00000000-0005-0000-0000-0000BC000000}"/>
    <cellStyle name="Linked Cell 2" xfId="147" xr:uid="{00000000-0005-0000-0000-0000BD000000}"/>
    <cellStyle name="Linked Cell 2 2" xfId="336" xr:uid="{00000000-0005-0000-0000-0000BE000000}"/>
    <cellStyle name="Linked Cell 3" xfId="146" xr:uid="{00000000-0005-0000-0000-0000BF000000}"/>
    <cellStyle name="Neutral 2" xfId="149" xr:uid="{00000000-0005-0000-0000-0000C0000000}"/>
    <cellStyle name="Neutral 2 2" xfId="337" xr:uid="{00000000-0005-0000-0000-0000C1000000}"/>
    <cellStyle name="Neutral 3" xfId="148" xr:uid="{00000000-0005-0000-0000-0000C2000000}"/>
    <cellStyle name="New_normal" xfId="150" xr:uid="{00000000-0005-0000-0000-0000C3000000}"/>
    <cellStyle name="Normal" xfId="0" builtinId="0"/>
    <cellStyle name="Normal - Style1" xfId="151" xr:uid="{00000000-0005-0000-0000-0000C5000000}"/>
    <cellStyle name="Normal - Style2" xfId="152" xr:uid="{00000000-0005-0000-0000-0000C6000000}"/>
    <cellStyle name="Normal - Style3" xfId="153" xr:uid="{00000000-0005-0000-0000-0000C7000000}"/>
    <cellStyle name="Normal - Style4" xfId="154" xr:uid="{00000000-0005-0000-0000-0000C8000000}"/>
    <cellStyle name="Normal - Style5" xfId="155" xr:uid="{00000000-0005-0000-0000-0000C9000000}"/>
    <cellStyle name="Normal 10" xfId="156" xr:uid="{00000000-0005-0000-0000-0000CA000000}"/>
    <cellStyle name="Normal 10 2" xfId="17" xr:uid="{00000000-0005-0000-0000-0000CB000000}"/>
    <cellStyle name="Normal 10 2 2" xfId="339" xr:uid="{00000000-0005-0000-0000-0000CC000000}"/>
    <cellStyle name="Normal 10 2 3" xfId="338" xr:uid="{00000000-0005-0000-0000-0000CD000000}"/>
    <cellStyle name="Normal 10_2112 DF Schedule" xfId="340" xr:uid="{00000000-0005-0000-0000-0000CE000000}"/>
    <cellStyle name="Normal 100" xfId="380" xr:uid="{00000000-0005-0000-0000-0000CF000000}"/>
    <cellStyle name="Normal 101" xfId="382" xr:uid="{00000000-0005-0000-0000-0000D0000000}"/>
    <cellStyle name="Normal 102" xfId="383" xr:uid="{00000000-0005-0000-0000-0000D1000000}"/>
    <cellStyle name="Normal 103" xfId="384" xr:uid="{00000000-0005-0000-0000-0000D2000000}"/>
    <cellStyle name="Normal 104" xfId="385" xr:uid="{00000000-0005-0000-0000-0000D3000000}"/>
    <cellStyle name="Normal 105" xfId="381" xr:uid="{00000000-0005-0000-0000-0000D4000000}"/>
    <cellStyle name="Normal 106" xfId="386" xr:uid="{00000000-0005-0000-0000-0000D5000000}"/>
    <cellStyle name="Normal 107" xfId="387" xr:uid="{00000000-0005-0000-0000-0000D6000000}"/>
    <cellStyle name="Normal 108" xfId="388" xr:uid="{00000000-0005-0000-0000-0000D7000000}"/>
    <cellStyle name="Normal 109" xfId="394" xr:uid="{00000000-0005-0000-0000-0000D8000000}"/>
    <cellStyle name="Normal 11" xfId="157" xr:uid="{00000000-0005-0000-0000-0000D9000000}"/>
    <cellStyle name="Normal 12" xfId="158" xr:uid="{00000000-0005-0000-0000-0000DA000000}"/>
    <cellStyle name="Normal 12 2" xfId="341" xr:uid="{00000000-0005-0000-0000-0000DB000000}"/>
    <cellStyle name="Normal 13" xfId="159" xr:uid="{00000000-0005-0000-0000-0000DC000000}"/>
    <cellStyle name="Normal 13 2" xfId="342" xr:uid="{00000000-0005-0000-0000-0000DD000000}"/>
    <cellStyle name="Normal 14" xfId="160" xr:uid="{00000000-0005-0000-0000-0000DE000000}"/>
    <cellStyle name="Normal 14 2" xfId="343" xr:uid="{00000000-0005-0000-0000-0000DF000000}"/>
    <cellStyle name="Normal 15" xfId="161" xr:uid="{00000000-0005-0000-0000-0000E0000000}"/>
    <cellStyle name="Normal 15 2" xfId="344" xr:uid="{00000000-0005-0000-0000-0000E1000000}"/>
    <cellStyle name="Normal 16" xfId="162" xr:uid="{00000000-0005-0000-0000-0000E2000000}"/>
    <cellStyle name="Normal 16 2" xfId="345" xr:uid="{00000000-0005-0000-0000-0000E3000000}"/>
    <cellStyle name="Normal 163" xfId="413" xr:uid="{E5B31473-AD8F-45E5-9B78-A571B1090DE3}"/>
    <cellStyle name="Normal 17" xfId="163" xr:uid="{00000000-0005-0000-0000-0000E4000000}"/>
    <cellStyle name="Normal 17 2" xfId="346" xr:uid="{00000000-0005-0000-0000-0000E5000000}"/>
    <cellStyle name="Normal 18" xfId="164" xr:uid="{00000000-0005-0000-0000-0000E6000000}"/>
    <cellStyle name="Normal 18 2" xfId="347" xr:uid="{00000000-0005-0000-0000-0000E7000000}"/>
    <cellStyle name="Normal 19" xfId="165" xr:uid="{00000000-0005-0000-0000-0000E8000000}"/>
    <cellStyle name="Normal 19 2" xfId="348" xr:uid="{00000000-0005-0000-0000-0000E9000000}"/>
    <cellStyle name="Normal 2" xfId="18" xr:uid="{00000000-0005-0000-0000-0000EA000000}"/>
    <cellStyle name="Normal 2 2" xfId="19" xr:uid="{00000000-0005-0000-0000-0000EB000000}"/>
    <cellStyle name="Normal 2 2 2" xfId="167" xr:uid="{00000000-0005-0000-0000-0000EC000000}"/>
    <cellStyle name="Normal 2 2 3" xfId="166" xr:uid="{00000000-0005-0000-0000-0000ED000000}"/>
    <cellStyle name="Normal 2 2_Actual_Fuel" xfId="168" xr:uid="{00000000-0005-0000-0000-0000EE000000}"/>
    <cellStyle name="Normal 2 3" xfId="169" xr:uid="{00000000-0005-0000-0000-0000EF000000}"/>
    <cellStyle name="Normal 2 3 2" xfId="170" xr:uid="{00000000-0005-0000-0000-0000F0000000}"/>
    <cellStyle name="Normal 2 3 3" xfId="296" xr:uid="{00000000-0005-0000-0000-0000F1000000}"/>
    <cellStyle name="Normal 2 4" xfId="297" xr:uid="{00000000-0005-0000-0000-0000F2000000}"/>
    <cellStyle name="Normal 2 5" xfId="298" xr:uid="{00000000-0005-0000-0000-0000F3000000}"/>
    <cellStyle name="Normal 2_2012-10" xfId="171" xr:uid="{00000000-0005-0000-0000-0000F4000000}"/>
    <cellStyle name="Normal 20" xfId="172" xr:uid="{00000000-0005-0000-0000-0000F5000000}"/>
    <cellStyle name="Normal 21" xfId="173" xr:uid="{00000000-0005-0000-0000-0000F6000000}"/>
    <cellStyle name="Normal 22" xfId="174" xr:uid="{00000000-0005-0000-0000-0000F7000000}"/>
    <cellStyle name="Normal 23" xfId="175" xr:uid="{00000000-0005-0000-0000-0000F8000000}"/>
    <cellStyle name="Normal 24" xfId="176" xr:uid="{00000000-0005-0000-0000-0000F9000000}"/>
    <cellStyle name="Normal 25" xfId="177" xr:uid="{00000000-0005-0000-0000-0000FA000000}"/>
    <cellStyle name="Normal 26" xfId="178" xr:uid="{00000000-0005-0000-0000-0000FB000000}"/>
    <cellStyle name="Normal 27" xfId="179" xr:uid="{00000000-0005-0000-0000-0000FC000000}"/>
    <cellStyle name="Normal 28" xfId="180" xr:uid="{00000000-0005-0000-0000-0000FD000000}"/>
    <cellStyle name="Normal 29" xfId="181" xr:uid="{00000000-0005-0000-0000-0000FE000000}"/>
    <cellStyle name="Normal 3" xfId="20" xr:uid="{00000000-0005-0000-0000-0000FF000000}"/>
    <cellStyle name="Normal 3 2" xfId="183" xr:uid="{00000000-0005-0000-0000-000000010000}"/>
    <cellStyle name="Normal 3 3" xfId="182" xr:uid="{00000000-0005-0000-0000-000001010000}"/>
    <cellStyle name="Normal 3 4" xfId="281" xr:uid="{00000000-0005-0000-0000-000002010000}"/>
    <cellStyle name="Normal 3_2012 PR" xfId="184" xr:uid="{00000000-0005-0000-0000-000003010000}"/>
    <cellStyle name="Normal 30" xfId="185" xr:uid="{00000000-0005-0000-0000-000004010000}"/>
    <cellStyle name="Normal 31" xfId="186" xr:uid="{00000000-0005-0000-0000-000005010000}"/>
    <cellStyle name="Normal 32" xfId="187" xr:uid="{00000000-0005-0000-0000-000006010000}"/>
    <cellStyle name="Normal 33" xfId="188" xr:uid="{00000000-0005-0000-0000-000007010000}"/>
    <cellStyle name="Normal 34" xfId="189" xr:uid="{00000000-0005-0000-0000-000008010000}"/>
    <cellStyle name="Normal 35" xfId="190" xr:uid="{00000000-0005-0000-0000-000009010000}"/>
    <cellStyle name="Normal 36" xfId="191" xr:uid="{00000000-0005-0000-0000-00000A010000}"/>
    <cellStyle name="Normal 37" xfId="192" xr:uid="{00000000-0005-0000-0000-00000B010000}"/>
    <cellStyle name="Normal 38" xfId="193" xr:uid="{00000000-0005-0000-0000-00000C010000}"/>
    <cellStyle name="Normal 39" xfId="194" xr:uid="{00000000-0005-0000-0000-00000D010000}"/>
    <cellStyle name="Normal 4" xfId="21" xr:uid="{00000000-0005-0000-0000-00000E010000}"/>
    <cellStyle name="Normal 4 2" xfId="195" xr:uid="{00000000-0005-0000-0000-00000F010000}"/>
    <cellStyle name="Normal 40" xfId="196" xr:uid="{00000000-0005-0000-0000-000010010000}"/>
    <cellStyle name="Normal 41" xfId="197" xr:uid="{00000000-0005-0000-0000-000011010000}"/>
    <cellStyle name="Normal 42" xfId="198" xr:uid="{00000000-0005-0000-0000-000012010000}"/>
    <cellStyle name="Normal 43" xfId="199" xr:uid="{00000000-0005-0000-0000-000013010000}"/>
    <cellStyle name="Normal 44" xfId="200" xr:uid="{00000000-0005-0000-0000-000014010000}"/>
    <cellStyle name="Normal 45" xfId="201" xr:uid="{00000000-0005-0000-0000-000015010000}"/>
    <cellStyle name="Normal 46" xfId="202" xr:uid="{00000000-0005-0000-0000-000016010000}"/>
    <cellStyle name="Normal 47" xfId="203" xr:uid="{00000000-0005-0000-0000-000017010000}"/>
    <cellStyle name="Normal 48" xfId="204" xr:uid="{00000000-0005-0000-0000-000018010000}"/>
    <cellStyle name="Normal 49" xfId="205" xr:uid="{00000000-0005-0000-0000-000019010000}"/>
    <cellStyle name="Normal 5" xfId="22" xr:uid="{00000000-0005-0000-0000-00001A010000}"/>
    <cellStyle name="Normal 5 2" xfId="206" xr:uid="{00000000-0005-0000-0000-00001B010000}"/>
    <cellStyle name="Normal 5_2112 DF Schedule" xfId="349" xr:uid="{00000000-0005-0000-0000-00001C010000}"/>
    <cellStyle name="Normal 50" xfId="207" xr:uid="{00000000-0005-0000-0000-00001D010000}"/>
    <cellStyle name="Normal 51" xfId="208" xr:uid="{00000000-0005-0000-0000-00001E010000}"/>
    <cellStyle name="Normal 52" xfId="209" xr:uid="{00000000-0005-0000-0000-00001F010000}"/>
    <cellStyle name="Normal 53" xfId="210" xr:uid="{00000000-0005-0000-0000-000020010000}"/>
    <cellStyle name="Normal 54" xfId="211" xr:uid="{00000000-0005-0000-0000-000021010000}"/>
    <cellStyle name="Normal 55" xfId="212" xr:uid="{00000000-0005-0000-0000-000022010000}"/>
    <cellStyle name="Normal 56" xfId="213" xr:uid="{00000000-0005-0000-0000-000023010000}"/>
    <cellStyle name="Normal 57" xfId="214" xr:uid="{00000000-0005-0000-0000-000024010000}"/>
    <cellStyle name="Normal 58" xfId="215" xr:uid="{00000000-0005-0000-0000-000025010000}"/>
    <cellStyle name="Normal 59" xfId="216" xr:uid="{00000000-0005-0000-0000-000026010000}"/>
    <cellStyle name="Normal 6" xfId="23" xr:uid="{00000000-0005-0000-0000-000027010000}"/>
    <cellStyle name="Normal 6 2" xfId="217" xr:uid="{00000000-0005-0000-0000-000028010000}"/>
    <cellStyle name="Normal 60" xfId="218" xr:uid="{00000000-0005-0000-0000-000029010000}"/>
    <cellStyle name="Normal 61" xfId="219" xr:uid="{00000000-0005-0000-0000-00002A010000}"/>
    <cellStyle name="Normal 62" xfId="220" xr:uid="{00000000-0005-0000-0000-00002B010000}"/>
    <cellStyle name="Normal 63" xfId="221" xr:uid="{00000000-0005-0000-0000-00002C010000}"/>
    <cellStyle name="Normal 64" xfId="222" xr:uid="{00000000-0005-0000-0000-00002D010000}"/>
    <cellStyle name="Normal 65" xfId="223" xr:uid="{00000000-0005-0000-0000-00002E010000}"/>
    <cellStyle name="Normal 66" xfId="224" xr:uid="{00000000-0005-0000-0000-00002F010000}"/>
    <cellStyle name="Normal 67" xfId="225" xr:uid="{00000000-0005-0000-0000-000030010000}"/>
    <cellStyle name="Normal 68" xfId="226" xr:uid="{00000000-0005-0000-0000-000031010000}"/>
    <cellStyle name="Normal 69" xfId="227" xr:uid="{00000000-0005-0000-0000-000032010000}"/>
    <cellStyle name="Normal 7" xfId="228" xr:uid="{00000000-0005-0000-0000-000033010000}"/>
    <cellStyle name="Normal 70" xfId="229" xr:uid="{00000000-0005-0000-0000-000034010000}"/>
    <cellStyle name="Normal 71" xfId="230" xr:uid="{00000000-0005-0000-0000-000035010000}"/>
    <cellStyle name="Normal 72" xfId="231" xr:uid="{00000000-0005-0000-0000-000036010000}"/>
    <cellStyle name="Normal 73" xfId="232" xr:uid="{00000000-0005-0000-0000-000037010000}"/>
    <cellStyle name="Normal 74" xfId="233" xr:uid="{00000000-0005-0000-0000-000038010000}"/>
    <cellStyle name="Normal 75" xfId="234" xr:uid="{00000000-0005-0000-0000-000039010000}"/>
    <cellStyle name="Normal 76" xfId="235" xr:uid="{00000000-0005-0000-0000-00003A010000}"/>
    <cellStyle name="Normal 77" xfId="236" xr:uid="{00000000-0005-0000-0000-00003B010000}"/>
    <cellStyle name="Normal 78" xfId="237" xr:uid="{00000000-0005-0000-0000-00003C010000}"/>
    <cellStyle name="Normal 79" xfId="238" xr:uid="{00000000-0005-0000-0000-00003D010000}"/>
    <cellStyle name="Normal 8" xfId="239" xr:uid="{00000000-0005-0000-0000-00003E010000}"/>
    <cellStyle name="Normal 80" xfId="240" xr:uid="{00000000-0005-0000-0000-00003F010000}"/>
    <cellStyle name="Normal 81" xfId="241" xr:uid="{00000000-0005-0000-0000-000040010000}"/>
    <cellStyle name="Normal 82" xfId="242" xr:uid="{00000000-0005-0000-0000-000041010000}"/>
    <cellStyle name="Normal 83" xfId="243" xr:uid="{00000000-0005-0000-0000-000042010000}"/>
    <cellStyle name="Normal 84" xfId="38" xr:uid="{00000000-0005-0000-0000-000043010000}"/>
    <cellStyle name="Normal 84 2" xfId="278" xr:uid="{00000000-0005-0000-0000-000044010000}"/>
    <cellStyle name="Normal 84 3" xfId="350" xr:uid="{00000000-0005-0000-0000-000045010000}"/>
    <cellStyle name="Normal 85" xfId="252" xr:uid="{00000000-0005-0000-0000-000046010000}"/>
    <cellStyle name="Normal 86" xfId="270" xr:uid="{00000000-0005-0000-0000-000047010000}"/>
    <cellStyle name="Normal 87" xfId="271" xr:uid="{00000000-0005-0000-0000-000048010000}"/>
    <cellStyle name="Normal 88" xfId="272" xr:uid="{00000000-0005-0000-0000-000049010000}"/>
    <cellStyle name="Normal 89" xfId="273" xr:uid="{00000000-0005-0000-0000-00004A010000}"/>
    <cellStyle name="Normal 9" xfId="244" xr:uid="{00000000-0005-0000-0000-00004B010000}"/>
    <cellStyle name="Normal 90" xfId="274" xr:uid="{00000000-0005-0000-0000-00004C010000}"/>
    <cellStyle name="Normal 91" xfId="279" xr:uid="{00000000-0005-0000-0000-00004D010000}"/>
    <cellStyle name="Normal 92" xfId="369" xr:uid="{00000000-0005-0000-0000-00004E010000}"/>
    <cellStyle name="Normal 92 2" xfId="389" xr:uid="{00000000-0005-0000-0000-00004F010000}"/>
    <cellStyle name="Normal 93" xfId="373" xr:uid="{00000000-0005-0000-0000-000050010000}"/>
    <cellStyle name="Normal 93 2" xfId="393" xr:uid="{00000000-0005-0000-0000-000051010000}"/>
    <cellStyle name="Normal 94" xfId="374" xr:uid="{00000000-0005-0000-0000-000052010000}"/>
    <cellStyle name="Normal 95" xfId="375" xr:uid="{00000000-0005-0000-0000-000053010000}"/>
    <cellStyle name="Normal 96" xfId="376" xr:uid="{00000000-0005-0000-0000-000054010000}"/>
    <cellStyle name="Normal 97" xfId="377" xr:uid="{00000000-0005-0000-0000-000055010000}"/>
    <cellStyle name="Normal 98" xfId="378" xr:uid="{00000000-0005-0000-0000-000056010000}"/>
    <cellStyle name="Normal 99" xfId="379" xr:uid="{00000000-0005-0000-0000-000057010000}"/>
    <cellStyle name="Normal_Book3" xfId="409" xr:uid="{74A4A38D-A8ED-486D-9A58-5AEE600AC7CD}"/>
    <cellStyle name="Normal_Price out" xfId="4" xr:uid="{00000000-0005-0000-0000-00005A010000}"/>
    <cellStyle name="Normal_Sheet1" xfId="410" xr:uid="{BB96DB08-D962-44E9-AA6E-A2645A62B9FE}"/>
    <cellStyle name="Note" xfId="412" builtinId="10"/>
    <cellStyle name="Note 2" xfId="246" xr:uid="{00000000-0005-0000-0000-00005C010000}"/>
    <cellStyle name="Note 2 2" xfId="351" xr:uid="{00000000-0005-0000-0000-00005D010000}"/>
    <cellStyle name="Note 3" xfId="245" xr:uid="{00000000-0005-0000-0000-00005E010000}"/>
    <cellStyle name="Note 3 2" xfId="352" xr:uid="{00000000-0005-0000-0000-00005F010000}"/>
    <cellStyle name="Note 4" xfId="405" xr:uid="{00000000-0005-0000-0000-000060010000}"/>
    <cellStyle name="Note 6" xfId="411" xr:uid="{51138B6F-8003-4D7B-9D20-7978408F6184}"/>
    <cellStyle name="Notes" xfId="247" xr:uid="{00000000-0005-0000-0000-000061010000}"/>
    <cellStyle name="Output 2" xfId="249" xr:uid="{00000000-0005-0000-0000-000062010000}"/>
    <cellStyle name="Output 3" xfId="248" xr:uid="{00000000-0005-0000-0000-000063010000}"/>
    <cellStyle name="Output 4" xfId="406" xr:uid="{00000000-0005-0000-0000-000064010000}"/>
    <cellStyle name="Percent" xfId="3" builtinId="5"/>
    <cellStyle name="Percent 10" xfId="407" xr:uid="{00000000-0005-0000-0000-000066010000}"/>
    <cellStyle name="Percent 2" xfId="24" xr:uid="{00000000-0005-0000-0000-000067010000}"/>
    <cellStyle name="Percent 2 2" xfId="25" xr:uid="{00000000-0005-0000-0000-000068010000}"/>
    <cellStyle name="Percent 2 2 2" xfId="251" xr:uid="{00000000-0005-0000-0000-000069010000}"/>
    <cellStyle name="Percent 2 3" xfId="353" xr:uid="{00000000-0005-0000-0000-00006A010000}"/>
    <cellStyle name="Percent 2 6" xfId="26" xr:uid="{00000000-0005-0000-0000-00006B010000}"/>
    <cellStyle name="Percent 3" xfId="27" xr:uid="{00000000-0005-0000-0000-00006C010000}"/>
    <cellStyle name="Percent 3 2" xfId="28" xr:uid="{00000000-0005-0000-0000-00006D010000}"/>
    <cellStyle name="Percent 4" xfId="29" xr:uid="{00000000-0005-0000-0000-00006E010000}"/>
    <cellStyle name="Percent 4 2" xfId="355" xr:uid="{00000000-0005-0000-0000-00006F010000}"/>
    <cellStyle name="Percent 4 3" xfId="354" xr:uid="{00000000-0005-0000-0000-000070010000}"/>
    <cellStyle name="Percent 5" xfId="253" xr:uid="{00000000-0005-0000-0000-000071010000}"/>
    <cellStyle name="Percent 6" xfId="254" xr:uid="{00000000-0005-0000-0000-000072010000}"/>
    <cellStyle name="Percent 7" xfId="250" xr:uid="{00000000-0005-0000-0000-000073010000}"/>
    <cellStyle name="Percent 7 2" xfId="275" xr:uid="{00000000-0005-0000-0000-000074010000}"/>
    <cellStyle name="Percent 7 3" xfId="356" xr:uid="{00000000-0005-0000-0000-000075010000}"/>
    <cellStyle name="Percent 8" xfId="357" xr:uid="{00000000-0005-0000-0000-000076010000}"/>
    <cellStyle name="Percent 9" xfId="372" xr:uid="{00000000-0005-0000-0000-000077010000}"/>
    <cellStyle name="Percent 9 2" xfId="392" xr:uid="{00000000-0005-0000-0000-000078010000}"/>
    <cellStyle name="Percent(1)" xfId="255" xr:uid="{00000000-0005-0000-0000-000079010000}"/>
    <cellStyle name="Percent(2)" xfId="256" xr:uid="{00000000-0005-0000-0000-00007A010000}"/>
    <cellStyle name="PRM" xfId="257" xr:uid="{00000000-0005-0000-0000-00007B010000}"/>
    <cellStyle name="PRM 2" xfId="258" xr:uid="{00000000-0005-0000-0000-00007C010000}"/>
    <cellStyle name="PRM 3" xfId="259" xr:uid="{00000000-0005-0000-0000-00007D010000}"/>
    <cellStyle name="PRM_2011-11" xfId="260" xr:uid="{00000000-0005-0000-0000-00007E010000}"/>
    <cellStyle name="PS_Comma" xfId="30" xr:uid="{00000000-0005-0000-0000-00007F010000}"/>
    <cellStyle name="PSChar" xfId="31" xr:uid="{00000000-0005-0000-0000-000080010000}"/>
    <cellStyle name="PSDate" xfId="32" xr:uid="{00000000-0005-0000-0000-000081010000}"/>
    <cellStyle name="PSDec" xfId="33" xr:uid="{00000000-0005-0000-0000-000082010000}"/>
    <cellStyle name="PSHeading" xfId="34" xr:uid="{00000000-0005-0000-0000-000083010000}"/>
    <cellStyle name="PSInt" xfId="35" xr:uid="{00000000-0005-0000-0000-000084010000}"/>
    <cellStyle name="PSSpacer" xfId="36" xr:uid="{00000000-0005-0000-0000-000085010000}"/>
    <cellStyle name="STYL0 - Style1" xfId="358" xr:uid="{00000000-0005-0000-0000-000086010000}"/>
    <cellStyle name="STYL1 - Style2" xfId="359" xr:uid="{00000000-0005-0000-0000-000087010000}"/>
    <cellStyle name="STYL2 - Style3" xfId="360" xr:uid="{00000000-0005-0000-0000-000088010000}"/>
    <cellStyle name="STYL3 - Style4" xfId="361" xr:uid="{00000000-0005-0000-0000-000089010000}"/>
    <cellStyle name="STYL4 - Style5" xfId="362" xr:uid="{00000000-0005-0000-0000-00008A010000}"/>
    <cellStyle name="STYL5 - Style6" xfId="363" xr:uid="{00000000-0005-0000-0000-00008B010000}"/>
    <cellStyle name="STYL6 - Style7" xfId="364" xr:uid="{00000000-0005-0000-0000-00008C010000}"/>
    <cellStyle name="STYL7 - Style8" xfId="365" xr:uid="{00000000-0005-0000-0000-00008D010000}"/>
    <cellStyle name="Style 1" xfId="261" xr:uid="{00000000-0005-0000-0000-00008E010000}"/>
    <cellStyle name="Style 1 2" xfId="262" xr:uid="{00000000-0005-0000-0000-00008F010000}"/>
    <cellStyle name="STYLE1" xfId="263" xr:uid="{00000000-0005-0000-0000-000090010000}"/>
    <cellStyle name="sub heading" xfId="366" xr:uid="{00000000-0005-0000-0000-000091010000}"/>
    <cellStyle name="Title 2" xfId="265" xr:uid="{00000000-0005-0000-0000-000092010000}"/>
    <cellStyle name="Title 3" xfId="264" xr:uid="{00000000-0005-0000-0000-000093010000}"/>
    <cellStyle name="title 4" xfId="408" xr:uid="{00000000-0005-0000-0000-000094010000}"/>
    <cellStyle name="Total 2" xfId="267" xr:uid="{00000000-0005-0000-0000-000095010000}"/>
    <cellStyle name="Total 2 2" xfId="367" xr:uid="{00000000-0005-0000-0000-000096010000}"/>
    <cellStyle name="Total 3" xfId="266" xr:uid="{00000000-0005-0000-0000-000097010000}"/>
    <cellStyle name="Total 3 2" xfId="368" xr:uid="{00000000-0005-0000-0000-000098010000}"/>
    <cellStyle name="Warning Text 2" xfId="269" xr:uid="{00000000-0005-0000-0000-000099010000}"/>
    <cellStyle name="Warning Text 3" xfId="268" xr:uid="{00000000-0005-0000-0000-00009A010000}"/>
    <cellStyle name="WM_STANDARD" xfId="37" xr:uid="{00000000-0005-0000-0000-00009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205740</xdr:colOff>
      <xdr:row>0</xdr:row>
      <xdr:rowOff>83820</xdr:rowOff>
    </xdr:from>
    <xdr:to>
      <xdr:col>5</xdr:col>
      <xdr:colOff>1280160</xdr:colOff>
      <xdr:row>1</xdr:row>
      <xdr:rowOff>121920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EAF537-1FF1-4026-8F80-3AB9669534A3}"/>
            </a:ext>
          </a:extLst>
        </xdr:cNvPr>
        <xdr:cNvSpPr txBox="1"/>
      </xdr:nvSpPr>
      <xdr:spPr>
        <a:xfrm>
          <a:off x="2193290" y="83820"/>
          <a:ext cx="1531620" cy="222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Updated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obinson, Kristen" id="{804CFE29-AD86-4FD9-8E39-8918DE0CB228}" userId="S::robinkr@repsrv.com::e7b84550-ed61-4ba0-8fdc-d8d3296656b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69" dT="2021-12-28T21:02:23.65" personId="{804CFE29-AD86-4FD9-8E39-8918DE0CB228}" id="{7B8FEFB1-188B-4A07-A7A7-5E29AF161474}">
    <text>Entered 0 for DIV0 Error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tabSelected="1" topLeftCell="A7" zoomScale="130" zoomScaleNormal="130" workbookViewId="0">
      <selection activeCell="A66" sqref="A66"/>
    </sheetView>
  </sheetViews>
  <sheetFormatPr defaultColWidth="9.1796875" defaultRowHeight="14.5"/>
  <cols>
    <col min="1" max="1" width="36.26953125" style="3" bestFit="1" customWidth="1"/>
    <col min="2" max="2" width="22.1796875" style="3" bestFit="1" customWidth="1"/>
    <col min="3" max="3" width="19.54296875" style="3" customWidth="1"/>
    <col min="4" max="4" width="10.54296875" style="3" bestFit="1" customWidth="1"/>
    <col min="5" max="5" width="8.81640625" style="3" customWidth="1"/>
    <col min="6" max="6" width="11.453125" style="3" customWidth="1"/>
    <col min="7" max="7" width="11" style="3" bestFit="1" customWidth="1"/>
    <col min="8" max="8" width="8" style="3" bestFit="1" customWidth="1"/>
    <col min="9" max="9" width="15.81640625" style="3" bestFit="1" customWidth="1"/>
    <col min="10" max="10" width="12" style="3" bestFit="1" customWidth="1"/>
    <col min="11" max="13" width="9.1796875" style="3"/>
    <col min="14" max="14" width="14.26953125" style="3" bestFit="1" customWidth="1"/>
    <col min="15" max="15" width="11.54296875" style="3" bestFit="1" customWidth="1"/>
    <col min="16" max="16384" width="9.1796875" style="3"/>
  </cols>
  <sheetData>
    <row r="1" spans="1:8">
      <c r="A1" s="277" t="s">
        <v>19</v>
      </c>
      <c r="B1" s="277"/>
      <c r="C1" s="277"/>
      <c r="D1" s="277"/>
      <c r="E1" s="277"/>
      <c r="F1" s="277"/>
      <c r="G1" s="277"/>
      <c r="H1" s="277"/>
    </row>
    <row r="2" spans="1:8">
      <c r="A2" s="3" t="s">
        <v>59</v>
      </c>
      <c r="B2" s="9" t="s">
        <v>46</v>
      </c>
      <c r="C2" s="9" t="s">
        <v>47</v>
      </c>
      <c r="D2" s="9" t="s">
        <v>48</v>
      </c>
      <c r="E2" s="10" t="s">
        <v>50</v>
      </c>
      <c r="F2" s="10" t="s">
        <v>51</v>
      </c>
      <c r="G2" s="10" t="s">
        <v>52</v>
      </c>
      <c r="H2" s="9" t="s">
        <v>55</v>
      </c>
    </row>
    <row r="3" spans="1:8">
      <c r="A3" s="3" t="s">
        <v>56</v>
      </c>
      <c r="B3" s="1">
        <f>52*5/12</f>
        <v>21.666666666666668</v>
      </c>
      <c r="C3" s="11">
        <f>$B$3*2</f>
        <v>43.333333333333336</v>
      </c>
      <c r="D3" s="11">
        <f>$B$3*3</f>
        <v>65</v>
      </c>
      <c r="E3" s="11">
        <f>$B$3*4</f>
        <v>86.666666666666671</v>
      </c>
      <c r="F3" s="11">
        <f>$B$3*5</f>
        <v>108.33333333333334</v>
      </c>
      <c r="G3" s="11">
        <f>$B$3*6</f>
        <v>130</v>
      </c>
      <c r="H3" s="11">
        <f>$B$3*7</f>
        <v>151.66666666666669</v>
      </c>
    </row>
    <row r="4" spans="1:8">
      <c r="A4" s="3" t="s">
        <v>91</v>
      </c>
      <c r="B4" s="1">
        <f>52*4/12</f>
        <v>17.333333333333332</v>
      </c>
      <c r="C4" s="11">
        <f>$B$4*2</f>
        <v>34.666666666666664</v>
      </c>
      <c r="D4" s="11">
        <f>$B$4*3</f>
        <v>52</v>
      </c>
      <c r="E4" s="11">
        <f>$B$4*4</f>
        <v>69.333333333333329</v>
      </c>
      <c r="F4" s="11">
        <f>$B$4*5</f>
        <v>86.666666666666657</v>
      </c>
      <c r="G4" s="11">
        <f>$B$4*6</f>
        <v>104</v>
      </c>
      <c r="H4" s="11">
        <f>$B$4*7</f>
        <v>121.33333333333333</v>
      </c>
    </row>
    <row r="5" spans="1:8">
      <c r="A5" s="3" t="s">
        <v>57</v>
      </c>
      <c r="B5" s="1">
        <f>52*3/12</f>
        <v>13</v>
      </c>
      <c r="C5" s="11">
        <f>$B$5*2</f>
        <v>26</v>
      </c>
      <c r="D5" s="11">
        <f>$B$5*3</f>
        <v>39</v>
      </c>
      <c r="E5" s="11">
        <f>$B$5*4</f>
        <v>52</v>
      </c>
      <c r="F5" s="11">
        <f>$B$5*5</f>
        <v>65</v>
      </c>
      <c r="G5" s="11">
        <f>$B$5*6</f>
        <v>78</v>
      </c>
      <c r="H5" s="11">
        <f>$B$5*7</f>
        <v>91</v>
      </c>
    </row>
    <row r="6" spans="1:8">
      <c r="A6" s="3" t="s">
        <v>58</v>
      </c>
      <c r="B6" s="1">
        <f>52*2/12</f>
        <v>8.6666666666666661</v>
      </c>
      <c r="C6" s="12">
        <f>$B$6*2</f>
        <v>17.333333333333332</v>
      </c>
      <c r="D6" s="12">
        <f>$B$6*3</f>
        <v>26</v>
      </c>
      <c r="E6" s="12">
        <f>$B$6*4</f>
        <v>34.666666666666664</v>
      </c>
      <c r="F6" s="12">
        <f>$B$6*5</f>
        <v>43.333333333333329</v>
      </c>
      <c r="G6" s="12">
        <f>$B$6*6</f>
        <v>52</v>
      </c>
      <c r="H6" s="12">
        <f>$B$6*7</f>
        <v>60.666666666666664</v>
      </c>
    </row>
    <row r="7" spans="1:8">
      <c r="A7" s="3" t="s">
        <v>22</v>
      </c>
      <c r="B7" s="1">
        <f>52/12</f>
        <v>4.333333333333333</v>
      </c>
      <c r="C7" s="12">
        <f>$B$7*2</f>
        <v>8.6666666666666661</v>
      </c>
      <c r="D7" s="12">
        <f>$B$7*3</f>
        <v>13</v>
      </c>
      <c r="E7" s="12">
        <f>$B$7*4</f>
        <v>17.333333333333332</v>
      </c>
      <c r="F7" s="12">
        <f>$B$7*5</f>
        <v>21.666666666666664</v>
      </c>
      <c r="G7" s="12">
        <f>$B$7*6</f>
        <v>26</v>
      </c>
      <c r="H7" s="12">
        <f>$B$7*7</f>
        <v>30.333333333333332</v>
      </c>
    </row>
    <row r="8" spans="1:8">
      <c r="A8" s="3" t="s">
        <v>24</v>
      </c>
      <c r="B8" s="1">
        <f>26/12</f>
        <v>2.1666666666666665</v>
      </c>
      <c r="C8" s="12">
        <f>$B$8*2</f>
        <v>4.333333333333333</v>
      </c>
      <c r="D8" s="12">
        <f>$B$8*3</f>
        <v>6.5</v>
      </c>
      <c r="E8" s="12">
        <f>$B$8*4</f>
        <v>8.6666666666666661</v>
      </c>
      <c r="F8" s="12">
        <f>$B$8*5</f>
        <v>10.833333333333332</v>
      </c>
      <c r="G8" s="12">
        <f>$B$8*6</f>
        <v>13</v>
      </c>
      <c r="H8" s="12">
        <f>$B$8*7</f>
        <v>15.166666666666666</v>
      </c>
    </row>
    <row r="9" spans="1:8">
      <c r="A9" s="3" t="s">
        <v>23</v>
      </c>
      <c r="B9" s="1">
        <f>12/12</f>
        <v>1</v>
      </c>
      <c r="C9" s="12">
        <f>$B$9*2</f>
        <v>2</v>
      </c>
      <c r="D9" s="12">
        <f>$B$9*3</f>
        <v>3</v>
      </c>
      <c r="E9" s="12">
        <f>$B$9*4</f>
        <v>4</v>
      </c>
      <c r="F9" s="12">
        <f>$B$9*5</f>
        <v>5</v>
      </c>
      <c r="G9" s="12">
        <f>$B$9*6</f>
        <v>6</v>
      </c>
      <c r="H9" s="12">
        <f>$B$9*7</f>
        <v>7</v>
      </c>
    </row>
    <row r="10" spans="1:8">
      <c r="B10" s="1"/>
      <c r="C10" s="12"/>
      <c r="D10" s="12"/>
      <c r="E10" s="12"/>
      <c r="F10" s="12"/>
      <c r="G10" s="12"/>
      <c r="H10" s="12"/>
    </row>
    <row r="11" spans="1:8">
      <c r="A11" s="277" t="s">
        <v>11</v>
      </c>
      <c r="B11" s="277"/>
      <c r="C11" s="26"/>
      <c r="D11" s="12"/>
      <c r="E11" s="12"/>
      <c r="F11" s="12"/>
      <c r="G11" s="12"/>
      <c r="H11" s="12"/>
    </row>
    <row r="12" spans="1:8">
      <c r="A12" s="24" t="s">
        <v>54</v>
      </c>
      <c r="B12" s="28" t="s">
        <v>84</v>
      </c>
      <c r="C12" s="26"/>
      <c r="D12" s="12"/>
      <c r="E12" s="12"/>
      <c r="F12" s="12"/>
      <c r="G12" s="12"/>
      <c r="H12" s="12"/>
    </row>
    <row r="13" spans="1:8">
      <c r="A13" s="27" t="s">
        <v>85</v>
      </c>
      <c r="B13" s="25">
        <v>20</v>
      </c>
      <c r="C13" s="26"/>
      <c r="D13" s="12"/>
      <c r="E13" s="12"/>
      <c r="F13" s="12"/>
      <c r="G13" s="12"/>
      <c r="H13" s="12"/>
    </row>
    <row r="14" spans="1:8">
      <c r="A14" s="27" t="s">
        <v>60</v>
      </c>
      <c r="B14" s="25">
        <v>34</v>
      </c>
      <c r="C14" s="26"/>
      <c r="D14" s="12"/>
      <c r="E14" s="12"/>
      <c r="F14" s="12"/>
      <c r="G14" s="12"/>
      <c r="H14" s="12"/>
    </row>
    <row r="15" spans="1:8">
      <c r="A15" s="27" t="s">
        <v>61</v>
      </c>
      <c r="B15" s="25">
        <v>51</v>
      </c>
      <c r="C15" s="26"/>
      <c r="D15" s="12"/>
      <c r="E15" s="12"/>
      <c r="F15" s="12"/>
      <c r="G15" s="12"/>
      <c r="H15" s="12"/>
    </row>
    <row r="16" spans="1:8">
      <c r="A16" s="27" t="s">
        <v>62</v>
      </c>
      <c r="B16" s="25">
        <v>77</v>
      </c>
      <c r="C16" s="26"/>
      <c r="D16" s="12"/>
      <c r="E16" s="12"/>
      <c r="F16" s="3" t="s">
        <v>20</v>
      </c>
      <c r="G16" s="5">
        <v>2000</v>
      </c>
      <c r="H16" s="12"/>
    </row>
    <row r="17" spans="1:8">
      <c r="A17" s="27" t="s">
        <v>63</v>
      </c>
      <c r="B17" s="25">
        <v>97</v>
      </c>
      <c r="C17" s="26"/>
      <c r="D17" s="12"/>
      <c r="E17" s="12"/>
      <c r="F17" s="3" t="s">
        <v>21</v>
      </c>
      <c r="G17" s="14" t="s">
        <v>49</v>
      </c>
      <c r="H17" s="12"/>
    </row>
    <row r="18" spans="1:8">
      <c r="A18" s="27" t="s">
        <v>64</v>
      </c>
      <c r="B18" s="25">
        <v>117</v>
      </c>
      <c r="C18" s="26"/>
      <c r="D18" s="12"/>
      <c r="E18" s="12"/>
      <c r="H18" s="12"/>
    </row>
    <row r="19" spans="1:8">
      <c r="A19" s="27" t="s">
        <v>65</v>
      </c>
      <c r="B19" s="25">
        <v>157</v>
      </c>
      <c r="C19" s="26"/>
      <c r="D19" s="12"/>
      <c r="E19" s="12"/>
      <c r="F19" s="7"/>
      <c r="G19" s="8"/>
      <c r="H19" s="12"/>
    </row>
    <row r="20" spans="1:8" s="22" customFormat="1">
      <c r="A20" s="46" t="s">
        <v>95</v>
      </c>
      <c r="B20" s="37">
        <v>37</v>
      </c>
      <c r="C20" s="45" t="s">
        <v>86</v>
      </c>
      <c r="D20" s="26"/>
      <c r="E20" s="26"/>
      <c r="F20" s="7"/>
      <c r="G20" s="8"/>
      <c r="H20" s="26"/>
    </row>
    <row r="21" spans="1:8">
      <c r="A21" s="27" t="s">
        <v>66</v>
      </c>
      <c r="B21" s="25">
        <v>47</v>
      </c>
      <c r="C21" s="26"/>
      <c r="D21" s="12"/>
      <c r="E21" s="12"/>
      <c r="F21" s="12"/>
      <c r="G21" s="12"/>
      <c r="H21" s="12"/>
    </row>
    <row r="22" spans="1:8">
      <c r="A22" s="27" t="s">
        <v>67</v>
      </c>
      <c r="B22" s="25">
        <v>68</v>
      </c>
      <c r="C22" s="26"/>
      <c r="D22" s="12"/>
      <c r="E22" s="12"/>
      <c r="F22" s="12"/>
      <c r="G22" s="12"/>
      <c r="H22" s="12"/>
    </row>
    <row r="23" spans="1:8">
      <c r="A23" s="27" t="s">
        <v>68</v>
      </c>
      <c r="B23" s="25">
        <v>34</v>
      </c>
      <c r="C23" s="26"/>
      <c r="D23" s="12"/>
      <c r="E23" s="12"/>
      <c r="F23" s="12"/>
      <c r="G23" s="12"/>
      <c r="H23" s="12"/>
    </row>
    <row r="24" spans="1:8">
      <c r="A24" s="27" t="s">
        <v>32</v>
      </c>
      <c r="B24" s="25">
        <v>34</v>
      </c>
      <c r="C24" s="26"/>
      <c r="D24" s="12"/>
      <c r="E24" s="12"/>
      <c r="F24" s="12"/>
      <c r="G24" s="12"/>
      <c r="H24" s="12"/>
    </row>
    <row r="25" spans="1:8">
      <c r="A25" s="24" t="s">
        <v>69</v>
      </c>
      <c r="B25" s="25"/>
      <c r="C25" s="26"/>
      <c r="D25" s="12"/>
      <c r="E25" s="12"/>
      <c r="F25" s="12"/>
      <c r="G25" s="12"/>
      <c r="H25" s="12"/>
    </row>
    <row r="26" spans="1:8">
      <c r="A26" s="27" t="s">
        <v>70</v>
      </c>
      <c r="B26" s="25">
        <v>29</v>
      </c>
      <c r="C26" s="26"/>
      <c r="D26" s="12"/>
      <c r="E26" s="12"/>
      <c r="F26" s="12"/>
      <c r="G26" s="12"/>
      <c r="H26" s="12"/>
    </row>
    <row r="27" spans="1:8">
      <c r="A27" s="27" t="s">
        <v>71</v>
      </c>
      <c r="B27" s="25">
        <v>175</v>
      </c>
      <c r="C27" s="26"/>
      <c r="D27" s="12"/>
      <c r="E27" s="12"/>
      <c r="F27" s="12"/>
      <c r="G27" s="12"/>
      <c r="H27" s="12"/>
    </row>
    <row r="28" spans="1:8">
      <c r="A28" s="27" t="s">
        <v>72</v>
      </c>
      <c r="B28" s="25">
        <v>250</v>
      </c>
      <c r="C28" s="26"/>
      <c r="D28" s="12"/>
      <c r="E28" s="12"/>
      <c r="F28" s="12"/>
      <c r="G28" s="12"/>
      <c r="H28" s="12"/>
    </row>
    <row r="29" spans="1:8">
      <c r="A29" s="27" t="s">
        <v>73</v>
      </c>
      <c r="B29" s="25">
        <v>324</v>
      </c>
      <c r="C29" s="26"/>
      <c r="D29" s="12"/>
      <c r="E29" s="12"/>
      <c r="F29" s="12"/>
      <c r="G29" s="12"/>
      <c r="H29" s="12"/>
    </row>
    <row r="30" spans="1:8">
      <c r="A30" s="27" t="s">
        <v>74</v>
      </c>
      <c r="B30" s="25">
        <v>473</v>
      </c>
      <c r="C30" s="26"/>
      <c r="D30" s="12"/>
      <c r="E30" s="12"/>
      <c r="F30" s="12"/>
      <c r="G30" s="12"/>
      <c r="H30" s="12"/>
    </row>
    <row r="31" spans="1:8">
      <c r="A31" s="27" t="s">
        <v>75</v>
      </c>
      <c r="B31" s="25">
        <v>613</v>
      </c>
      <c r="C31" s="26"/>
      <c r="D31" s="12"/>
      <c r="E31" s="12"/>
      <c r="F31" s="12"/>
      <c r="G31" s="12"/>
      <c r="H31" s="12"/>
    </row>
    <row r="32" spans="1:8">
      <c r="A32" s="27" t="s">
        <v>76</v>
      </c>
      <c r="B32" s="25">
        <v>840</v>
      </c>
      <c r="C32" s="26"/>
      <c r="D32" s="12"/>
      <c r="E32" s="12"/>
      <c r="F32" s="12"/>
      <c r="G32" s="12"/>
      <c r="H32" s="12"/>
    </row>
    <row r="33" spans="1:15">
      <c r="A33" s="27" t="s">
        <v>77</v>
      </c>
      <c r="B33" s="25">
        <v>980</v>
      </c>
      <c r="C33" s="26"/>
      <c r="D33" s="12"/>
      <c r="E33" s="12"/>
      <c r="F33" s="12"/>
      <c r="G33" s="12"/>
      <c r="H33" s="12"/>
    </row>
    <row r="34" spans="1:15">
      <c r="A34" s="27" t="s">
        <v>92</v>
      </c>
      <c r="B34" s="25">
        <v>482</v>
      </c>
      <c r="C34" s="26" t="s">
        <v>86</v>
      </c>
      <c r="D34" s="12"/>
      <c r="E34" s="12"/>
      <c r="F34" s="12"/>
      <c r="G34" s="12"/>
      <c r="H34" s="12"/>
    </row>
    <row r="35" spans="1:15">
      <c r="A35" s="27" t="s">
        <v>93</v>
      </c>
      <c r="B35" s="25">
        <v>689</v>
      </c>
      <c r="C35" s="26" t="s">
        <v>86</v>
      </c>
      <c r="D35" s="12"/>
      <c r="E35" s="12"/>
      <c r="F35" s="12"/>
      <c r="G35" s="12"/>
      <c r="H35" s="12"/>
    </row>
    <row r="36" spans="1:15" s="22" customFormat="1">
      <c r="A36" s="27" t="s">
        <v>79</v>
      </c>
      <c r="B36" s="25">
        <v>892</v>
      </c>
      <c r="C36" s="26" t="s">
        <v>86</v>
      </c>
      <c r="D36" s="23"/>
      <c r="E36" s="23"/>
      <c r="F36" s="23"/>
      <c r="G36" s="23"/>
      <c r="H36" s="23"/>
    </row>
    <row r="37" spans="1:15" s="22" customFormat="1">
      <c r="A37" s="27" t="s">
        <v>78</v>
      </c>
      <c r="B37" s="25">
        <v>1301</v>
      </c>
      <c r="C37" s="26"/>
      <c r="D37" s="23"/>
      <c r="E37" s="23"/>
      <c r="F37" s="23"/>
      <c r="G37" s="23"/>
      <c r="H37" s="23"/>
    </row>
    <row r="38" spans="1:15" s="22" customFormat="1">
      <c r="A38" s="27" t="s">
        <v>80</v>
      </c>
      <c r="B38" s="25">
        <v>1686</v>
      </c>
      <c r="C38" s="26"/>
      <c r="D38" s="23"/>
      <c r="E38" s="23"/>
      <c r="F38" s="23"/>
      <c r="G38" s="23"/>
      <c r="H38" s="23"/>
    </row>
    <row r="39" spans="1:15" s="22" customFormat="1">
      <c r="A39" s="27" t="s">
        <v>81</v>
      </c>
      <c r="B39" s="25">
        <v>2046</v>
      </c>
      <c r="C39" s="26"/>
      <c r="D39" s="23"/>
      <c r="E39" s="23"/>
      <c r="F39" s="23"/>
      <c r="G39" s="23"/>
      <c r="H39" s="23"/>
    </row>
    <row r="40" spans="1:15" s="22" customFormat="1">
      <c r="A40" s="27" t="s">
        <v>82</v>
      </c>
      <c r="B40" s="25">
        <v>2310</v>
      </c>
      <c r="C40" s="26"/>
      <c r="D40" s="23"/>
      <c r="E40" s="23"/>
      <c r="F40" s="23"/>
      <c r="G40" s="23"/>
      <c r="H40" s="23"/>
    </row>
    <row r="41" spans="1:15" s="22" customFormat="1">
      <c r="A41" s="27" t="s">
        <v>94</v>
      </c>
      <c r="B41" s="25">
        <v>2800</v>
      </c>
      <c r="C41" s="26" t="s">
        <v>86</v>
      </c>
      <c r="D41" s="23"/>
      <c r="E41" s="23"/>
      <c r="F41" s="23"/>
      <c r="G41" s="23"/>
      <c r="H41" s="23"/>
    </row>
    <row r="42" spans="1:15" s="22" customFormat="1">
      <c r="A42" s="27" t="s">
        <v>83</v>
      </c>
      <c r="B42" s="25">
        <v>125</v>
      </c>
      <c r="C42" s="26"/>
      <c r="D42" s="23"/>
      <c r="E42" s="23"/>
      <c r="F42" s="23"/>
      <c r="G42" s="23"/>
      <c r="H42" s="23"/>
    </row>
    <row r="43" spans="1:15">
      <c r="B43" s="93" t="s">
        <v>97</v>
      </c>
      <c r="C43" s="93"/>
      <c r="D43" s="93"/>
    </row>
    <row r="46" spans="1:15">
      <c r="A46" s="21" t="s">
        <v>98</v>
      </c>
      <c r="B46" s="19" t="s">
        <v>6</v>
      </c>
      <c r="C46" s="19" t="s">
        <v>7</v>
      </c>
      <c r="F46" s="278" t="s">
        <v>27</v>
      </c>
      <c r="G46" s="278"/>
    </row>
    <row r="47" spans="1:15">
      <c r="A47" s="15" t="s">
        <v>8</v>
      </c>
      <c r="B47" s="275">
        <v>154.01999999999998</v>
      </c>
      <c r="C47" s="142">
        <f>B47/2000</f>
        <v>7.7009999999999995E-2</v>
      </c>
      <c r="F47" s="3" t="s">
        <v>28</v>
      </c>
      <c r="G47" s="151">
        <f>0.0175</f>
        <v>1.7500000000000002E-2</v>
      </c>
    </row>
    <row r="48" spans="1:15">
      <c r="A48" s="15" t="s">
        <v>9</v>
      </c>
      <c r="B48" s="276">
        <v>168.68</v>
      </c>
      <c r="C48" s="143">
        <f>B48/2000</f>
        <v>8.4339999999999998E-2</v>
      </c>
      <c r="F48" s="3" t="s">
        <v>29</v>
      </c>
      <c r="G48" s="152">
        <v>5.1000000000000004E-3</v>
      </c>
      <c r="N48" s="17"/>
      <c r="O48" s="17"/>
    </row>
    <row r="49" spans="1:7">
      <c r="A49" s="13" t="s">
        <v>10</v>
      </c>
      <c r="B49" s="141">
        <f>B48-B47</f>
        <v>14.660000000000025</v>
      </c>
      <c r="C49" s="144">
        <f>C48-C47</f>
        <v>7.3300000000000032E-3</v>
      </c>
      <c r="F49" s="3" t="s">
        <v>53</v>
      </c>
      <c r="G49" s="153">
        <v>6.0000000000000001E-3</v>
      </c>
    </row>
    <row r="50" spans="1:7">
      <c r="F50" s="3" t="s">
        <v>17</v>
      </c>
      <c r="G50" s="16">
        <f>SUM(G47:G49)</f>
        <v>2.86E-2</v>
      </c>
    </row>
    <row r="51" spans="1:7">
      <c r="B51" s="20" t="str">
        <f>A46</f>
        <v>King County</v>
      </c>
    </row>
    <row r="52" spans="1:7">
      <c r="A52" s="3" t="s">
        <v>4</v>
      </c>
      <c r="B52" s="17">
        <f>B49</f>
        <v>14.660000000000025</v>
      </c>
      <c r="F52" s="3" t="s">
        <v>30</v>
      </c>
      <c r="G52" s="18">
        <f>1-G50</f>
        <v>0.97140000000000004</v>
      </c>
    </row>
    <row r="53" spans="1:7">
      <c r="A53" s="3" t="s">
        <v>26</v>
      </c>
      <c r="B53" s="17">
        <f>B52/$G$52</f>
        <v>15.091620341774783</v>
      </c>
    </row>
    <row r="54" spans="1:7">
      <c r="A54" s="3" t="s">
        <v>25</v>
      </c>
      <c r="B54" s="6">
        <f>'Staff Calcs '!D121</f>
        <v>22537.537318102022</v>
      </c>
    </row>
    <row r="55" spans="1:7">
      <c r="A55" s="2" t="s">
        <v>31</v>
      </c>
      <c r="B55" s="4">
        <f>B53*B54</f>
        <v>340127.95664337679</v>
      </c>
    </row>
    <row r="58" spans="1:7" ht="15" thickBot="1"/>
    <row r="59" spans="1:7">
      <c r="A59" s="81" t="s">
        <v>89</v>
      </c>
      <c r="B59" s="82" t="s">
        <v>87</v>
      </c>
      <c r="D59" s="17"/>
    </row>
    <row r="60" spans="1:7">
      <c r="A60" s="83" t="s">
        <v>88</v>
      </c>
      <c r="B60" s="84">
        <f>-'Staff Calcs '!Q50</f>
        <v>340127.95664337656</v>
      </c>
    </row>
    <row r="61" spans="1:7">
      <c r="A61" s="83" t="s">
        <v>13</v>
      </c>
      <c r="B61" s="84">
        <f>B60-B55</f>
        <v>0</v>
      </c>
    </row>
    <row r="62" spans="1:7" ht="15" thickBot="1">
      <c r="A62" s="161"/>
      <c r="B62" s="162"/>
    </row>
  </sheetData>
  <mergeCells count="3">
    <mergeCell ref="A1:H1"/>
    <mergeCell ref="F46:G46"/>
    <mergeCell ref="A11:B11"/>
  </mergeCells>
  <pageMargins left="0.28000000000000003" right="0.52" top="0.75" bottom="0.75" header="0.3" footer="0.3"/>
  <pageSetup scale="72" orientation="portrait" r:id="rId1"/>
  <headerFooter>
    <oddHeader>&amp;C&amp;12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32"/>
  <sheetViews>
    <sheetView zoomScale="130" zoomScaleNormal="130" workbookViewId="0">
      <pane xSplit="3" ySplit="1" topLeftCell="D92" activePane="bottomRight" state="frozen"/>
      <selection pane="topRight" activeCell="D1" sqref="D1"/>
      <selection pane="bottomLeft" activeCell="A6" sqref="A6"/>
      <selection pane="bottomRight" activeCell="D121" sqref="D121"/>
    </sheetView>
  </sheetViews>
  <sheetFormatPr defaultColWidth="8.81640625" defaultRowHeight="14.5"/>
  <cols>
    <col min="1" max="1" width="5.453125" style="58" bestFit="1" customWidth="1"/>
    <col min="2" max="2" width="27.7265625" style="62" bestFit="1" customWidth="1"/>
    <col min="3" max="3" width="30.7265625" style="58" customWidth="1"/>
    <col min="4" max="4" width="23.7265625" style="59" customWidth="1"/>
    <col min="5" max="5" width="13.7265625" style="58" customWidth="1"/>
    <col min="6" max="6" width="16" style="58" customWidth="1"/>
    <col min="7" max="7" width="19.26953125" style="98" customWidth="1"/>
    <col min="8" max="8" width="25.7265625" style="58" customWidth="1"/>
    <col min="9" max="9" width="21.7265625" style="57" customWidth="1"/>
    <col min="10" max="10" width="13.26953125" style="58" customWidth="1"/>
    <col min="11" max="11" width="12.54296875" style="58" bestFit="1" customWidth="1"/>
    <col min="12" max="12" width="13.7265625" style="58" customWidth="1"/>
    <col min="13" max="13" width="21.7265625" style="58" customWidth="1"/>
    <col min="14" max="14" width="26.26953125" style="58" bestFit="1" customWidth="1"/>
    <col min="15" max="15" width="32.7265625" style="58" bestFit="1" customWidth="1"/>
    <col min="16" max="16" width="31.26953125" style="58" bestFit="1" customWidth="1"/>
    <col min="17" max="17" width="29" style="58" bestFit="1" customWidth="1"/>
    <col min="18" max="18" width="18.1796875" style="58" bestFit="1" customWidth="1"/>
    <col min="19" max="20" width="21.54296875" style="58" bestFit="1" customWidth="1"/>
    <col min="21" max="16384" width="8.81640625" style="58"/>
  </cols>
  <sheetData>
    <row r="1" spans="1:22" ht="29">
      <c r="A1" s="50"/>
      <c r="B1" s="89" t="s">
        <v>16</v>
      </c>
      <c r="C1" s="75" t="s">
        <v>18</v>
      </c>
      <c r="D1" s="74" t="s">
        <v>40</v>
      </c>
      <c r="E1" s="89" t="s">
        <v>0</v>
      </c>
      <c r="F1" s="50" t="s">
        <v>1</v>
      </c>
      <c r="G1" s="94" t="s">
        <v>11</v>
      </c>
      <c r="H1" s="89" t="s">
        <v>35</v>
      </c>
      <c r="I1" s="90" t="s">
        <v>36</v>
      </c>
      <c r="J1" s="86" t="s">
        <v>10</v>
      </c>
      <c r="K1" s="74" t="s">
        <v>2</v>
      </c>
      <c r="L1" s="89" t="s">
        <v>42</v>
      </c>
      <c r="M1" s="74" t="s">
        <v>38</v>
      </c>
      <c r="N1" s="89" t="s">
        <v>37</v>
      </c>
      <c r="O1" s="89" t="s">
        <v>39</v>
      </c>
      <c r="P1" s="89" t="s">
        <v>151</v>
      </c>
      <c r="Q1" s="89" t="s">
        <v>41</v>
      </c>
      <c r="R1" s="89" t="s">
        <v>43</v>
      </c>
      <c r="S1" s="89" t="s">
        <v>45</v>
      </c>
      <c r="T1" s="89" t="s">
        <v>44</v>
      </c>
    </row>
    <row r="2" spans="1:22" s="60" customFormat="1" ht="14.5" customHeight="1">
      <c r="A2" s="281" t="s">
        <v>14</v>
      </c>
      <c r="B2" s="126" t="s">
        <v>147</v>
      </c>
      <c r="C2" s="112" t="s">
        <v>99</v>
      </c>
      <c r="D2" s="146">
        <v>1835.6666666666667</v>
      </c>
      <c r="E2" s="69">
        <f>References!$B$7</f>
        <v>4.333333333333333</v>
      </c>
      <c r="F2" s="113">
        <f>D2*E2*12</f>
        <v>95454.666666666672</v>
      </c>
      <c r="G2" s="114">
        <f>References!$B$13</f>
        <v>20</v>
      </c>
      <c r="H2" s="68">
        <f>G2*F2</f>
        <v>1909093.3333333335</v>
      </c>
      <c r="I2" s="47">
        <f t="shared" ref="I2:I10" si="0">$D$124*H2</f>
        <v>1536761.9275473244</v>
      </c>
      <c r="J2" s="67">
        <f>(References!$C$49*I2)</f>
        <v>11264.464928921892</v>
      </c>
      <c r="K2" s="67">
        <f>J2/References!$G$52</f>
        <v>11596.113783119097</v>
      </c>
      <c r="L2" s="67">
        <f>K2/F2*E2</f>
        <v>0.52642608421641079</v>
      </c>
      <c r="M2" s="148">
        <v>11.72</v>
      </c>
      <c r="N2" s="67">
        <f>L2+M2</f>
        <v>12.246426084216411</v>
      </c>
      <c r="O2" s="67">
        <f t="shared" ref="O2:O10" si="1">M2*D2*12</f>
        <v>258168.16000000003</v>
      </c>
      <c r="P2" s="67">
        <f t="shared" ref="P2:P10" si="2">N2*D2*12</f>
        <v>269764.2737831191</v>
      </c>
      <c r="Q2" s="67">
        <f>O2-P2</f>
        <v>-11596.113783119072</v>
      </c>
      <c r="R2" s="70">
        <f t="shared" ref="R2:R10" si="3">N2</f>
        <v>12.246426084216411</v>
      </c>
      <c r="S2" s="70">
        <f t="shared" ref="S2:S10" si="4">R2*D2*12</f>
        <v>269764.2737831191</v>
      </c>
      <c r="T2" s="70">
        <f t="shared" ref="T2:T10" si="5">S2-O2</f>
        <v>11596.113783119072</v>
      </c>
    </row>
    <row r="3" spans="1:22" s="60" customFormat="1">
      <c r="A3" s="280"/>
      <c r="B3" s="126" t="s">
        <v>147</v>
      </c>
      <c r="C3" s="101" t="s">
        <v>100</v>
      </c>
      <c r="D3" s="147">
        <v>3181.5833333333335</v>
      </c>
      <c r="E3" s="69">
        <f>References!$B$7</f>
        <v>4.333333333333333</v>
      </c>
      <c r="F3" s="104">
        <f>D3*E3*12</f>
        <v>165442.33333333334</v>
      </c>
      <c r="G3" s="105">
        <f>References!B23</f>
        <v>34</v>
      </c>
      <c r="H3" s="68">
        <f t="shared" ref="H3:H9" si="6">G3*F3</f>
        <v>5625039.333333334</v>
      </c>
      <c r="I3" s="47">
        <f t="shared" si="0"/>
        <v>4527985.1631609686</v>
      </c>
      <c r="J3" s="67">
        <f>(References!$C$49*I3)</f>
        <v>33190.131245969911</v>
      </c>
      <c r="K3" s="67">
        <f>J3/References!$G$52</f>
        <v>34167.316497807195</v>
      </c>
      <c r="L3" s="67">
        <f t="shared" ref="L3:L9" si="7">K3/F3*E3</f>
        <v>0.89492434316789826</v>
      </c>
      <c r="M3" s="148">
        <v>18.18</v>
      </c>
      <c r="N3" s="67">
        <f t="shared" ref="N3:N9" si="8">L3+M3</f>
        <v>19.074924343167897</v>
      </c>
      <c r="O3" s="67">
        <f t="shared" si="1"/>
        <v>694094.22000000009</v>
      </c>
      <c r="P3" s="67">
        <f t="shared" si="2"/>
        <v>728261.53649780713</v>
      </c>
      <c r="Q3" s="67">
        <f t="shared" ref="Q3:Q10" si="9">O3-P3</f>
        <v>-34167.316497807042</v>
      </c>
      <c r="R3" s="70">
        <f t="shared" si="3"/>
        <v>19.074924343167897</v>
      </c>
      <c r="S3" s="70">
        <f t="shared" si="4"/>
        <v>728261.53649780713</v>
      </c>
      <c r="T3" s="70">
        <f t="shared" si="5"/>
        <v>34167.316497807042</v>
      </c>
    </row>
    <row r="4" spans="1:22" s="60" customFormat="1">
      <c r="A4" s="280"/>
      <c r="B4" s="126" t="s">
        <v>147</v>
      </c>
      <c r="C4" s="101" t="s">
        <v>101</v>
      </c>
      <c r="D4" s="147">
        <v>217.08333333333334</v>
      </c>
      <c r="E4" s="69">
        <f>References!$B$7</f>
        <v>4.333333333333333</v>
      </c>
      <c r="F4" s="104">
        <f t="shared" ref="F4:F9" si="10">D4*E4*12</f>
        <v>11288.333333333334</v>
      </c>
      <c r="G4" s="105">
        <f>References!B15</f>
        <v>51</v>
      </c>
      <c r="H4" s="68">
        <f t="shared" si="6"/>
        <v>575705</v>
      </c>
      <c r="I4" s="47">
        <f t="shared" si="0"/>
        <v>463424.97249931854</v>
      </c>
      <c r="J4" s="67">
        <f>(References!$C$49*I4)</f>
        <v>3396.9050484200066</v>
      </c>
      <c r="K4" s="67">
        <f>J4/References!$G$52</f>
        <v>3496.9168709285632</v>
      </c>
      <c r="L4" s="67">
        <f t="shared" si="7"/>
        <v>1.3423865147518474</v>
      </c>
      <c r="M4" s="148">
        <v>29.45</v>
      </c>
      <c r="N4" s="67">
        <f t="shared" si="8"/>
        <v>30.792386514751847</v>
      </c>
      <c r="O4" s="67">
        <f t="shared" si="1"/>
        <v>76717.25</v>
      </c>
      <c r="P4" s="67">
        <f t="shared" si="2"/>
        <v>80214.166870928573</v>
      </c>
      <c r="Q4" s="67">
        <f t="shared" si="9"/>
        <v>-3496.9168709285732</v>
      </c>
      <c r="R4" s="70">
        <f t="shared" si="3"/>
        <v>30.792386514751847</v>
      </c>
      <c r="S4" s="70">
        <f t="shared" si="4"/>
        <v>80214.166870928573</v>
      </c>
      <c r="T4" s="70">
        <f t="shared" si="5"/>
        <v>3496.9168709285732</v>
      </c>
    </row>
    <row r="5" spans="1:22" s="60" customFormat="1">
      <c r="A5" s="280"/>
      <c r="B5" s="126" t="s">
        <v>147</v>
      </c>
      <c r="C5" s="101" t="s">
        <v>102</v>
      </c>
      <c r="D5" s="147">
        <v>7.333333333333333</v>
      </c>
      <c r="E5" s="69">
        <f>References!$B$7</f>
        <v>4.333333333333333</v>
      </c>
      <c r="F5" s="104">
        <f t="shared" si="10"/>
        <v>381.33333333333331</v>
      </c>
      <c r="G5" s="105">
        <f>References!B16</f>
        <v>77</v>
      </c>
      <c r="H5" s="68">
        <f t="shared" si="6"/>
        <v>29362.666666666664</v>
      </c>
      <c r="I5" s="47">
        <f t="shared" si="0"/>
        <v>23636.051436945407</v>
      </c>
      <c r="J5" s="67">
        <f>(References!$C$49*I5)</f>
        <v>173.25225703280989</v>
      </c>
      <c r="K5" s="67">
        <f>J5/References!$G$52</f>
        <v>178.35315733251997</v>
      </c>
      <c r="L5" s="67">
        <f t="shared" si="7"/>
        <v>2.0267404242331812</v>
      </c>
      <c r="M5" s="148">
        <v>42.52</v>
      </c>
      <c r="N5" s="67">
        <f t="shared" si="8"/>
        <v>44.546740424233185</v>
      </c>
      <c r="O5" s="67">
        <f t="shared" si="1"/>
        <v>3741.76</v>
      </c>
      <c r="P5" s="67">
        <f t="shared" si="2"/>
        <v>3920.1131573325201</v>
      </c>
      <c r="Q5" s="67">
        <f t="shared" si="9"/>
        <v>-178.35315733251991</v>
      </c>
      <c r="R5" s="70">
        <f t="shared" si="3"/>
        <v>44.546740424233185</v>
      </c>
      <c r="S5" s="70">
        <f t="shared" si="4"/>
        <v>3920.1131573325201</v>
      </c>
      <c r="T5" s="70">
        <f t="shared" si="5"/>
        <v>178.35315733251991</v>
      </c>
    </row>
    <row r="6" spans="1:22" s="60" customFormat="1">
      <c r="A6" s="280"/>
      <c r="B6" s="126" t="s">
        <v>147</v>
      </c>
      <c r="C6" s="101" t="s">
        <v>106</v>
      </c>
      <c r="D6" s="147">
        <v>2</v>
      </c>
      <c r="E6" s="69">
        <f>References!$B$7</f>
        <v>4.333333333333333</v>
      </c>
      <c r="F6" s="104">
        <f t="shared" si="10"/>
        <v>104</v>
      </c>
      <c r="G6" s="105">
        <f>References!B17</f>
        <v>97</v>
      </c>
      <c r="H6" s="68">
        <f t="shared" si="6"/>
        <v>10088</v>
      </c>
      <c r="I6" s="47">
        <f t="shared" si="0"/>
        <v>8120.5324299304766</v>
      </c>
      <c r="J6" s="67">
        <f>(References!$C$49*I6)</f>
        <v>59.523502711390421</v>
      </c>
      <c r="K6" s="67">
        <f>J6/References!$G$52</f>
        <v>61.275996202790218</v>
      </c>
      <c r="L6" s="67">
        <f t="shared" si="7"/>
        <v>2.5531665084495923</v>
      </c>
      <c r="M6" s="148">
        <v>56.49</v>
      </c>
      <c r="N6" s="67">
        <f t="shared" si="8"/>
        <v>59.043166508449595</v>
      </c>
      <c r="O6" s="67">
        <f t="shared" si="1"/>
        <v>1355.76</v>
      </c>
      <c r="P6" s="67">
        <f t="shared" si="2"/>
        <v>1417.0359962027903</v>
      </c>
      <c r="Q6" s="67">
        <f t="shared" si="9"/>
        <v>-61.275996202790338</v>
      </c>
      <c r="R6" s="70">
        <f t="shared" si="3"/>
        <v>59.043166508449595</v>
      </c>
      <c r="S6" s="70">
        <f t="shared" si="4"/>
        <v>1417.0359962027903</v>
      </c>
      <c r="T6" s="70">
        <f t="shared" si="5"/>
        <v>61.275996202790338</v>
      </c>
    </row>
    <row r="7" spans="1:22" s="60" customFormat="1">
      <c r="A7" s="280"/>
      <c r="B7" s="126" t="s">
        <v>147</v>
      </c>
      <c r="C7" s="101" t="s">
        <v>103</v>
      </c>
      <c r="D7" s="147">
        <v>7853.25</v>
      </c>
      <c r="E7" s="69">
        <f>References!$B$7</f>
        <v>4.333333333333333</v>
      </c>
      <c r="F7" s="104">
        <f t="shared" si="10"/>
        <v>408369</v>
      </c>
      <c r="G7" s="105">
        <f>References!$B$14</f>
        <v>34</v>
      </c>
      <c r="H7" s="68">
        <f t="shared" si="6"/>
        <v>13884546</v>
      </c>
      <c r="I7" s="47">
        <f t="shared" si="0"/>
        <v>11176636.20815439</v>
      </c>
      <c r="J7" s="67">
        <f>(References!$C$49*I7)</f>
        <v>81924.743405771718</v>
      </c>
      <c r="K7" s="67">
        <f>J7/References!$G$52</f>
        <v>84336.775175799587</v>
      </c>
      <c r="L7" s="67">
        <f t="shared" si="7"/>
        <v>0.89492434316789837</v>
      </c>
      <c r="M7" s="148">
        <v>17.5</v>
      </c>
      <c r="N7" s="67">
        <f t="shared" si="8"/>
        <v>18.394924343167897</v>
      </c>
      <c r="O7" s="67">
        <f t="shared" si="1"/>
        <v>1649182.5</v>
      </c>
      <c r="P7" s="67">
        <f t="shared" si="2"/>
        <v>1733519.2751757996</v>
      </c>
      <c r="Q7" s="67">
        <f t="shared" si="9"/>
        <v>-84336.775175799616</v>
      </c>
      <c r="R7" s="70">
        <f t="shared" si="3"/>
        <v>18.394924343167897</v>
      </c>
      <c r="S7" s="70">
        <f t="shared" si="4"/>
        <v>1733519.2751757996</v>
      </c>
      <c r="T7" s="70">
        <f t="shared" si="5"/>
        <v>84336.775175799616</v>
      </c>
    </row>
    <row r="8" spans="1:22" s="60" customFormat="1">
      <c r="A8" s="280"/>
      <c r="B8" s="126" t="s">
        <v>147</v>
      </c>
      <c r="C8" s="101" t="s">
        <v>104</v>
      </c>
      <c r="D8" s="147">
        <v>6406.666666666667</v>
      </c>
      <c r="E8" s="69">
        <f>References!$B$7</f>
        <v>4.333333333333333</v>
      </c>
      <c r="F8" s="104">
        <f t="shared" si="10"/>
        <v>333146.66666666669</v>
      </c>
      <c r="G8" s="105">
        <f>References!B21</f>
        <v>47</v>
      </c>
      <c r="H8" s="68">
        <f t="shared" si="6"/>
        <v>15657893.333333334</v>
      </c>
      <c r="I8" s="47">
        <f t="shared" si="0"/>
        <v>12604126.744421644</v>
      </c>
      <c r="J8" s="67">
        <f>(References!$C$49*I8)</f>
        <v>92388.249036610694</v>
      </c>
      <c r="K8" s="67">
        <f>J8/References!$G$52</f>
        <v>95108.347783210513</v>
      </c>
      <c r="L8" s="67">
        <f t="shared" si="7"/>
        <v>1.2371012979085654</v>
      </c>
      <c r="M8" s="148">
        <v>26.59</v>
      </c>
      <c r="N8" s="67">
        <f t="shared" si="8"/>
        <v>27.827101297908566</v>
      </c>
      <c r="O8" s="67">
        <f t="shared" si="1"/>
        <v>2044239.2</v>
      </c>
      <c r="P8" s="67">
        <f t="shared" si="2"/>
        <v>2139347.5477832109</v>
      </c>
      <c r="Q8" s="67">
        <f t="shared" si="9"/>
        <v>-95108.34778321092</v>
      </c>
      <c r="R8" s="70">
        <f t="shared" si="3"/>
        <v>27.827101297908566</v>
      </c>
      <c r="S8" s="70">
        <f t="shared" si="4"/>
        <v>2139347.5477832109</v>
      </c>
      <c r="T8" s="70">
        <f t="shared" si="5"/>
        <v>95108.34778321092</v>
      </c>
    </row>
    <row r="9" spans="1:22" s="60" customFormat="1">
      <c r="A9" s="280"/>
      <c r="B9" s="126" t="s">
        <v>147</v>
      </c>
      <c r="C9" s="101" t="s">
        <v>105</v>
      </c>
      <c r="D9" s="147">
        <v>2200.8333333333335</v>
      </c>
      <c r="E9" s="69">
        <f>References!$B$7</f>
        <v>4.333333333333333</v>
      </c>
      <c r="F9" s="104">
        <f t="shared" si="10"/>
        <v>114443.33333333334</v>
      </c>
      <c r="G9" s="105">
        <f>References!B22</f>
        <v>68</v>
      </c>
      <c r="H9" s="68">
        <f t="shared" si="6"/>
        <v>7782146.666666667</v>
      </c>
      <c r="I9" s="47">
        <f t="shared" si="0"/>
        <v>6264390.7990822792</v>
      </c>
      <c r="J9" s="67">
        <f>(References!$C$49*I9)</f>
        <v>45917.984557273128</v>
      </c>
      <c r="K9" s="67">
        <f>J9/References!$G$52</f>
        <v>47269.903806128401</v>
      </c>
      <c r="L9" s="67">
        <f t="shared" si="7"/>
        <v>1.7898486863357967</v>
      </c>
      <c r="M9" s="148">
        <v>36.049999999999997</v>
      </c>
      <c r="N9" s="67">
        <f t="shared" si="8"/>
        <v>37.839848686335792</v>
      </c>
      <c r="O9" s="67">
        <f t="shared" si="1"/>
        <v>952080.5</v>
      </c>
      <c r="P9" s="67">
        <f t="shared" si="2"/>
        <v>999350.40380612831</v>
      </c>
      <c r="Q9" s="67">
        <f t="shared" si="9"/>
        <v>-47269.903806128306</v>
      </c>
      <c r="R9" s="70">
        <f t="shared" si="3"/>
        <v>37.839848686335792</v>
      </c>
      <c r="S9" s="70">
        <f t="shared" si="4"/>
        <v>999350.40380612831</v>
      </c>
      <c r="T9" s="70">
        <f t="shared" si="5"/>
        <v>47269.903806128306</v>
      </c>
    </row>
    <row r="10" spans="1:22" s="60" customFormat="1">
      <c r="A10" s="63"/>
      <c r="B10" s="126" t="s">
        <v>147</v>
      </c>
      <c r="C10" s="101" t="s">
        <v>96</v>
      </c>
      <c r="D10" s="147">
        <v>291.66666666666669</v>
      </c>
      <c r="E10" s="69">
        <f>References!$B$9</f>
        <v>1</v>
      </c>
      <c r="F10" s="104">
        <f>D10*E10*12</f>
        <v>3500</v>
      </c>
      <c r="G10" s="105">
        <f>References!B23</f>
        <v>34</v>
      </c>
      <c r="H10" s="68">
        <f t="shared" ref="H10" si="11">G10*F10</f>
        <v>119000</v>
      </c>
      <c r="I10" s="47">
        <f t="shared" si="0"/>
        <v>95791.371843945948</v>
      </c>
      <c r="J10" s="67">
        <f>(References!$C$49*I10)</f>
        <v>702.15075561612412</v>
      </c>
      <c r="K10" s="67">
        <f>J10/References!$G$52</f>
        <v>722.8235079433025</v>
      </c>
      <c r="L10" s="67">
        <f t="shared" ref="L10" si="12">K10/F10*E10</f>
        <v>0.206521002269515</v>
      </c>
      <c r="M10" s="148">
        <v>7.87</v>
      </c>
      <c r="N10" s="67">
        <f t="shared" ref="N10" si="13">L10+M10</f>
        <v>8.0765210022695157</v>
      </c>
      <c r="O10" s="67">
        <f t="shared" si="1"/>
        <v>27545.000000000004</v>
      </c>
      <c r="P10" s="67">
        <f t="shared" si="2"/>
        <v>28267.823507943307</v>
      </c>
      <c r="Q10" s="67">
        <f t="shared" si="9"/>
        <v>-722.82350794330341</v>
      </c>
      <c r="R10" s="70">
        <f t="shared" si="3"/>
        <v>8.0765210022695157</v>
      </c>
      <c r="S10" s="70">
        <f t="shared" si="4"/>
        <v>28267.823507943307</v>
      </c>
      <c r="T10" s="70">
        <f t="shared" si="5"/>
        <v>722.82350794330341</v>
      </c>
    </row>
    <row r="11" spans="1:22" s="60" customFormat="1">
      <c r="A11" s="63"/>
      <c r="B11" s="92"/>
      <c r="C11" s="101"/>
      <c r="D11" s="103"/>
      <c r="E11" s="69"/>
      <c r="F11" s="68"/>
      <c r="G11" s="105"/>
      <c r="H11" s="68"/>
      <c r="I11" s="47"/>
      <c r="J11" s="67"/>
      <c r="K11" s="67"/>
      <c r="L11" s="67"/>
      <c r="M11" s="106"/>
      <c r="N11" s="67"/>
      <c r="O11" s="67"/>
      <c r="P11" s="67"/>
      <c r="Q11" s="67"/>
      <c r="R11" s="70"/>
      <c r="S11" s="70"/>
      <c r="T11" s="70"/>
    </row>
    <row r="12" spans="1:22" s="60" customFormat="1">
      <c r="A12" s="51"/>
      <c r="B12" s="76"/>
      <c r="C12" s="52" t="s">
        <v>17</v>
      </c>
      <c r="D12" s="53">
        <f>SUM(D2:D11)</f>
        <v>21996.083333333332</v>
      </c>
      <c r="E12" s="54"/>
      <c r="F12" s="53">
        <f>SUM(F2:F11)</f>
        <v>1132129.6666666665</v>
      </c>
      <c r="G12" s="95"/>
      <c r="H12" s="53">
        <f>SUM(H2:H11)</f>
        <v>45592874.333333336</v>
      </c>
      <c r="I12" s="53">
        <f>SUM(I2:I11)</f>
        <v>36700873.770576753</v>
      </c>
      <c r="J12" s="72"/>
      <c r="K12" s="72"/>
      <c r="L12" s="72"/>
      <c r="M12" s="72"/>
      <c r="N12" s="72"/>
      <c r="O12" s="53">
        <f>SUM(O2:O11)</f>
        <v>5707124.3500000006</v>
      </c>
      <c r="P12" s="111">
        <f>SUM(P2:P11)</f>
        <v>5984062.1765784724</v>
      </c>
      <c r="Q12" s="111">
        <f>SUM(Q2:Q11)</f>
        <v>-276937.82657847216</v>
      </c>
      <c r="R12" s="111"/>
      <c r="S12" s="111">
        <f>SUM(S2:S11)</f>
        <v>5984062.1765784724</v>
      </c>
      <c r="T12" s="111">
        <f>SUM(T2:T11)</f>
        <v>276937.82657847216</v>
      </c>
    </row>
    <row r="13" spans="1:22" s="60" customFormat="1">
      <c r="A13" s="63"/>
      <c r="B13" s="92"/>
      <c r="C13" s="101"/>
      <c r="D13" s="103"/>
      <c r="E13" s="69"/>
      <c r="F13" s="68"/>
      <c r="G13" s="105"/>
      <c r="H13" s="68"/>
      <c r="I13" s="47"/>
      <c r="J13" s="67"/>
      <c r="K13" s="67"/>
      <c r="L13" s="67"/>
      <c r="M13" s="106"/>
      <c r="N13" s="67"/>
      <c r="O13" s="67"/>
      <c r="P13" s="67"/>
      <c r="Q13" s="67"/>
      <c r="R13" s="70"/>
      <c r="S13" s="70"/>
      <c r="T13" s="70"/>
    </row>
    <row r="14" spans="1:22" s="60" customFormat="1" ht="29">
      <c r="A14" s="154"/>
      <c r="B14" s="155"/>
      <c r="C14" s="156"/>
      <c r="D14" s="164" t="s">
        <v>150</v>
      </c>
      <c r="E14" s="163" t="s">
        <v>152</v>
      </c>
      <c r="F14" s="157"/>
      <c r="G14" s="158"/>
      <c r="H14" s="157"/>
      <c r="I14" s="157"/>
      <c r="J14" s="159"/>
      <c r="K14" s="159"/>
      <c r="L14" s="159"/>
      <c r="M14" s="159"/>
      <c r="N14" s="159"/>
      <c r="O14" s="157"/>
      <c r="P14" s="160"/>
      <c r="Q14" s="160"/>
      <c r="R14" s="160"/>
      <c r="S14" s="160"/>
      <c r="T14" s="160"/>
    </row>
    <row r="15" spans="1:22" s="60" customFormat="1" ht="14.5" customHeight="1">
      <c r="A15" s="281" t="s">
        <v>15</v>
      </c>
      <c r="B15" s="102" t="s">
        <v>143</v>
      </c>
      <c r="C15" s="107" t="s">
        <v>107</v>
      </c>
      <c r="D15" s="147">
        <v>34.666400000000003</v>
      </c>
      <c r="E15" s="69">
        <v>12</v>
      </c>
      <c r="F15" s="113">
        <f>D15*E15</f>
        <v>415.99680000000001</v>
      </c>
      <c r="G15" s="105">
        <f>References!B26</f>
        <v>29</v>
      </c>
      <c r="H15" s="68">
        <f t="shared" ref="H15:H28" si="14">G15*F15</f>
        <v>12063.9072</v>
      </c>
      <c r="I15" s="47">
        <f t="shared" ref="I15:I30" si="15">$D$124*H15</f>
        <v>9711.0774830761075</v>
      </c>
      <c r="J15" s="67">
        <f>(References!$C$49*I15)</f>
        <v>71.182197950947895</v>
      </c>
      <c r="K15" s="67">
        <f>J15/References!$G$52</f>
        <v>73.277947242071122</v>
      </c>
      <c r="L15" s="67">
        <f t="shared" ref="L15:L18" si="16">K15/F15</f>
        <v>0.17615026664164513</v>
      </c>
      <c r="M15" s="149">
        <v>4.5396773332804923</v>
      </c>
      <c r="N15" s="67">
        <f t="shared" ref="N15:N18" si="17">L15+M15</f>
        <v>4.7158275999221377</v>
      </c>
      <c r="O15" s="67">
        <f t="shared" ref="O15:O30" si="18">M15*F15</f>
        <v>1888.4912436772183</v>
      </c>
      <c r="P15" s="67">
        <f t="shared" ref="P15:P30" si="19">N15*F15</f>
        <v>1961.7691909192895</v>
      </c>
      <c r="Q15" s="67">
        <f>O15-P15</f>
        <v>-73.27794724207115</v>
      </c>
      <c r="R15" s="70">
        <f t="shared" ref="R15:R30" si="20">N15</f>
        <v>4.7158275999221377</v>
      </c>
      <c r="S15" s="70">
        <f t="shared" ref="S15:S30" si="21">R15*F15</f>
        <v>1961.7691909192895</v>
      </c>
      <c r="T15" s="70">
        <f t="shared" ref="T15:T30" si="22">S15-O15</f>
        <v>73.27794724207115</v>
      </c>
    </row>
    <row r="16" spans="1:22">
      <c r="A16" s="280"/>
      <c r="B16" s="43" t="s">
        <v>143</v>
      </c>
      <c r="C16" s="58" t="s">
        <v>296</v>
      </c>
      <c r="D16" s="147">
        <v>93.165999999999997</v>
      </c>
      <c r="E16" s="69">
        <v>12</v>
      </c>
      <c r="F16" s="113">
        <f>D16*E16</f>
        <v>1117.992</v>
      </c>
      <c r="G16" s="114">
        <f>References!B21</f>
        <v>47</v>
      </c>
      <c r="H16" s="68">
        <f>G16*F16</f>
        <v>52545.623999999996</v>
      </c>
      <c r="I16" s="47">
        <f t="shared" si="15"/>
        <v>42297.625271900593</v>
      </c>
      <c r="J16" s="67">
        <f>(References!$C$49*I16)</f>
        <v>310.04159324303146</v>
      </c>
      <c r="K16" s="67">
        <f>J16/References!$G$52</f>
        <v>319.16985098109063</v>
      </c>
      <c r="L16" s="67">
        <f>K16/F16</f>
        <v>0.28548491490197664</v>
      </c>
      <c r="M16" s="148">
        <v>7.4094368622923463</v>
      </c>
      <c r="N16" s="67">
        <f>L16+M16</f>
        <v>7.694921777194323</v>
      </c>
      <c r="O16" s="67">
        <f t="shared" ref="O16" si="23">M16*F16</f>
        <v>8283.6911365479446</v>
      </c>
      <c r="P16" s="67">
        <f t="shared" ref="P16" si="24">N16*F16</f>
        <v>8602.8609875290349</v>
      </c>
      <c r="Q16" s="67">
        <f t="shared" ref="Q16" si="25">O16-P16</f>
        <v>-319.16985098109035</v>
      </c>
      <c r="R16" s="70">
        <f t="shared" ref="R16" si="26">N16</f>
        <v>7.694921777194323</v>
      </c>
      <c r="S16" s="70">
        <f t="shared" ref="S16" si="27">R16*F16</f>
        <v>8602.8609875290349</v>
      </c>
      <c r="T16" s="70">
        <f t="shared" ref="T16" si="28">S16-O16</f>
        <v>319.16985098109035</v>
      </c>
      <c r="U16" s="60"/>
      <c r="V16" s="60"/>
    </row>
    <row r="17" spans="1:22">
      <c r="A17" s="280"/>
      <c r="B17" s="43" t="s">
        <v>143</v>
      </c>
      <c r="C17" s="58" t="s">
        <v>108</v>
      </c>
      <c r="D17" s="147">
        <v>199.33180000000002</v>
      </c>
      <c r="E17" s="69">
        <v>12</v>
      </c>
      <c r="F17" s="113">
        <f>D17*E17</f>
        <v>2391.9816000000001</v>
      </c>
      <c r="G17" s="114">
        <f>References!B22</f>
        <v>68</v>
      </c>
      <c r="H17" s="68">
        <f>G17*F17</f>
        <v>162654.7488</v>
      </c>
      <c r="I17" s="47">
        <f t="shared" si="15"/>
        <v>130932.11365112959</v>
      </c>
      <c r="J17" s="67">
        <f>(References!$C$49*I17)</f>
        <v>959.73239306278037</v>
      </c>
      <c r="K17" s="67">
        <f>J17/References!$G$52</f>
        <v>987.98887488447633</v>
      </c>
      <c r="L17" s="67">
        <f>K17/F17</f>
        <v>0.41304200453903001</v>
      </c>
      <c r="M17" s="148">
        <v>11.059936169707635</v>
      </c>
      <c r="N17" s="67">
        <f>L17+M17</f>
        <v>11.472978174246665</v>
      </c>
      <c r="O17" s="67">
        <f t="shared" si="18"/>
        <v>26455.163815115142</v>
      </c>
      <c r="P17" s="67">
        <f t="shared" si="19"/>
        <v>27443.152689999617</v>
      </c>
      <c r="Q17" s="67">
        <f t="shared" ref="Q17:Q30" si="29">O17-P17</f>
        <v>-987.98887488447508</v>
      </c>
      <c r="R17" s="70">
        <f t="shared" si="20"/>
        <v>11.472978174246665</v>
      </c>
      <c r="S17" s="70">
        <f t="shared" si="21"/>
        <v>27443.152689999617</v>
      </c>
      <c r="T17" s="70">
        <f t="shared" si="22"/>
        <v>987.98887488447508</v>
      </c>
      <c r="U17" s="60"/>
      <c r="V17" s="60"/>
    </row>
    <row r="18" spans="1:22" s="60" customFormat="1">
      <c r="A18" s="280"/>
      <c r="B18" s="102" t="s">
        <v>143</v>
      </c>
      <c r="C18" s="107" t="s">
        <v>109</v>
      </c>
      <c r="D18" s="147">
        <v>262.16480000000001</v>
      </c>
      <c r="E18" s="69">
        <v>12</v>
      </c>
      <c r="F18" s="113">
        <f t="shared" ref="F18:F30" si="30">D18*E18</f>
        <v>3145.9776000000002</v>
      </c>
      <c r="G18" s="105">
        <f>References!B27</f>
        <v>175</v>
      </c>
      <c r="H18" s="68">
        <f t="shared" si="14"/>
        <v>550546.08000000007</v>
      </c>
      <c r="I18" s="47">
        <f t="shared" si="15"/>
        <v>443172.80896224221</v>
      </c>
      <c r="J18" s="67">
        <f>(References!$C$49*I18)</f>
        <v>3248.456689693237</v>
      </c>
      <c r="K18" s="67">
        <f>J18/References!$G$52</f>
        <v>3344.097889328018</v>
      </c>
      <c r="L18" s="67">
        <f t="shared" si="16"/>
        <v>1.0629757469754451</v>
      </c>
      <c r="M18" s="149">
        <v>23.807783349843852</v>
      </c>
      <c r="N18" s="67">
        <f t="shared" si="17"/>
        <v>24.870759096819299</v>
      </c>
      <c r="O18" s="67">
        <f t="shared" si="18"/>
        <v>74898.753124261726</v>
      </c>
      <c r="P18" s="67">
        <f t="shared" si="19"/>
        <v>78242.851013589752</v>
      </c>
      <c r="Q18" s="67">
        <f t="shared" si="29"/>
        <v>-3344.0978893280262</v>
      </c>
      <c r="R18" s="70">
        <f t="shared" si="20"/>
        <v>24.870759096819299</v>
      </c>
      <c r="S18" s="70">
        <f t="shared" si="21"/>
        <v>78242.851013589752</v>
      </c>
      <c r="T18" s="70">
        <f t="shared" si="22"/>
        <v>3344.0978893280262</v>
      </c>
    </row>
    <row r="19" spans="1:22" s="60" customFormat="1">
      <c r="A19" s="280"/>
      <c r="B19" s="102" t="s">
        <v>143</v>
      </c>
      <c r="C19" s="107" t="s">
        <v>110</v>
      </c>
      <c r="D19" s="147">
        <v>97.499299999999991</v>
      </c>
      <c r="E19" s="69">
        <v>12</v>
      </c>
      <c r="F19" s="113">
        <f t="shared" si="30"/>
        <v>1169.9915999999998</v>
      </c>
      <c r="G19" s="109">
        <f>References!B28</f>
        <v>250</v>
      </c>
      <c r="H19" s="68">
        <f t="shared" si="14"/>
        <v>292497.89999999997</v>
      </c>
      <c r="I19" s="47">
        <f t="shared" si="15"/>
        <v>235451.89161742281</v>
      </c>
      <c r="J19" s="67">
        <f>(References!$C$49*I19)</f>
        <v>1725.8623655557099</v>
      </c>
      <c r="K19" s="67">
        <f>J19/References!$G$52</f>
        <v>1776.6752785214226</v>
      </c>
      <c r="L19" s="67">
        <f t="shared" ref="L19:L28" si="31">K19/F19</f>
        <v>1.5185367813934927</v>
      </c>
      <c r="M19" s="149">
        <v>32.101773682452006</v>
      </c>
      <c r="N19" s="67">
        <f t="shared" ref="N19:N28" si="32">L19+M19</f>
        <v>33.620310463845499</v>
      </c>
      <c r="O19" s="67">
        <f t="shared" si="18"/>
        <v>37558.80555356991</v>
      </c>
      <c r="P19" s="67">
        <f t="shared" si="19"/>
        <v>39335.480832091329</v>
      </c>
      <c r="Q19" s="67">
        <f t="shared" si="29"/>
        <v>-1776.6752785214194</v>
      </c>
      <c r="R19" s="70">
        <f t="shared" si="20"/>
        <v>33.620310463845499</v>
      </c>
      <c r="S19" s="70">
        <f t="shared" si="21"/>
        <v>39335.480832091329</v>
      </c>
      <c r="T19" s="70">
        <f t="shared" si="22"/>
        <v>1776.6752785214194</v>
      </c>
    </row>
    <row r="20" spans="1:22" s="60" customFormat="1">
      <c r="A20" s="280"/>
      <c r="B20" s="102" t="s">
        <v>143</v>
      </c>
      <c r="C20" s="107" t="s">
        <v>111</v>
      </c>
      <c r="D20" s="147">
        <v>430.08</v>
      </c>
      <c r="E20" s="69">
        <v>12</v>
      </c>
      <c r="F20" s="113">
        <f t="shared" si="30"/>
        <v>5160.96</v>
      </c>
      <c r="G20" s="109">
        <f>References!B29</f>
        <v>324</v>
      </c>
      <c r="H20" s="68">
        <f t="shared" si="14"/>
        <v>1672151.04</v>
      </c>
      <c r="I20" s="47">
        <f t="shared" si="15"/>
        <v>1346030.605477991</v>
      </c>
      <c r="J20" s="67">
        <f>(References!$C$49*I20)</f>
        <v>9866.4043381536794</v>
      </c>
      <c r="K20" s="67">
        <f>J20/References!$G$52</f>
        <v>10156.891433141527</v>
      </c>
      <c r="L20" s="67">
        <f t="shared" si="31"/>
        <v>1.9680236686859667</v>
      </c>
      <c r="M20" s="149">
        <v>44.356175650029904</v>
      </c>
      <c r="N20" s="67">
        <f t="shared" si="32"/>
        <v>46.32419931871587</v>
      </c>
      <c r="O20" s="67">
        <f t="shared" si="18"/>
        <v>228920.44828277832</v>
      </c>
      <c r="P20" s="67">
        <f t="shared" si="19"/>
        <v>239077.33971591986</v>
      </c>
      <c r="Q20" s="67">
        <f t="shared" si="29"/>
        <v>-10156.891433141544</v>
      </c>
      <c r="R20" s="70">
        <f t="shared" si="20"/>
        <v>46.32419931871587</v>
      </c>
      <c r="S20" s="70">
        <f t="shared" si="21"/>
        <v>239077.33971591986</v>
      </c>
      <c r="T20" s="70">
        <f t="shared" si="22"/>
        <v>10156.891433141544</v>
      </c>
    </row>
    <row r="21" spans="1:22" s="60" customFormat="1">
      <c r="A21" s="280"/>
      <c r="B21" s="102" t="s">
        <v>143</v>
      </c>
      <c r="C21" s="107" t="s">
        <v>112</v>
      </c>
      <c r="D21" s="147">
        <v>171.16540000000001</v>
      </c>
      <c r="E21" s="69">
        <v>12</v>
      </c>
      <c r="F21" s="113">
        <f t="shared" si="30"/>
        <v>2053.9848000000002</v>
      </c>
      <c r="G21" s="109">
        <f>References!B30</f>
        <v>473</v>
      </c>
      <c r="H21" s="68">
        <f t="shared" si="14"/>
        <v>971534.81040000007</v>
      </c>
      <c r="I21" s="47">
        <f t="shared" si="15"/>
        <v>782055.90153247002</v>
      </c>
      <c r="J21" s="67">
        <f>(References!$C$49*I21)</f>
        <v>5732.4697582330073</v>
      </c>
      <c r="K21" s="67">
        <f>J21/References!$G$52</f>
        <v>5901.2453759862128</v>
      </c>
      <c r="L21" s="67">
        <f t="shared" si="31"/>
        <v>2.8730715903964881</v>
      </c>
      <c r="M21" s="149">
        <v>63.1204732887186</v>
      </c>
      <c r="N21" s="67">
        <f t="shared" si="32"/>
        <v>65.993544879115092</v>
      </c>
      <c r="O21" s="67">
        <f t="shared" si="18"/>
        <v>129648.49270383402</v>
      </c>
      <c r="P21" s="67">
        <f t="shared" si="19"/>
        <v>135549.73807982024</v>
      </c>
      <c r="Q21" s="67">
        <f t="shared" si="29"/>
        <v>-5901.245375986211</v>
      </c>
      <c r="R21" s="70">
        <f t="shared" si="20"/>
        <v>65.993544879115092</v>
      </c>
      <c r="S21" s="70">
        <f t="shared" si="21"/>
        <v>135549.73807982024</v>
      </c>
      <c r="T21" s="70">
        <f t="shared" si="22"/>
        <v>5901.245375986211</v>
      </c>
    </row>
    <row r="22" spans="1:22" s="60" customFormat="1">
      <c r="A22" s="145"/>
      <c r="B22" s="102" t="s">
        <v>143</v>
      </c>
      <c r="C22" s="107" t="s">
        <v>113</v>
      </c>
      <c r="D22" s="147">
        <v>214.49839999999998</v>
      </c>
      <c r="E22" s="69">
        <v>12</v>
      </c>
      <c r="F22" s="113">
        <f t="shared" si="30"/>
        <v>2573.9807999999998</v>
      </c>
      <c r="G22" s="109">
        <f>References!B31</f>
        <v>613</v>
      </c>
      <c r="H22" s="68">
        <f t="shared" si="14"/>
        <v>1577850.2304</v>
      </c>
      <c r="I22" s="47">
        <f t="shared" si="15"/>
        <v>1270121.3288596822</v>
      </c>
      <c r="J22" s="67">
        <f>(References!$C$49*I22)</f>
        <v>9309.989340541475</v>
      </c>
      <c r="K22" s="67">
        <f>J22/References!$G$52</f>
        <v>9584.0944415703871</v>
      </c>
      <c r="L22" s="67">
        <f t="shared" si="31"/>
        <v>3.7234521879768443</v>
      </c>
      <c r="M22" s="149">
        <v>78.971641300517845</v>
      </c>
      <c r="N22" s="67">
        <f t="shared" si="32"/>
        <v>82.695093488494692</v>
      </c>
      <c r="O22" s="67">
        <f t="shared" si="18"/>
        <v>203271.48845201996</v>
      </c>
      <c r="P22" s="67">
        <f t="shared" si="19"/>
        <v>212855.58289359036</v>
      </c>
      <c r="Q22" s="67">
        <f t="shared" si="29"/>
        <v>-9584.0944415703998</v>
      </c>
      <c r="R22" s="70">
        <f t="shared" si="20"/>
        <v>82.695093488494692</v>
      </c>
      <c r="S22" s="70">
        <f t="shared" si="21"/>
        <v>212855.58289359036</v>
      </c>
      <c r="T22" s="70">
        <f t="shared" si="22"/>
        <v>9584.0944415703998</v>
      </c>
    </row>
    <row r="23" spans="1:22" s="60" customFormat="1">
      <c r="A23" s="145"/>
      <c r="B23" s="102" t="s">
        <v>143</v>
      </c>
      <c r="C23" s="107" t="s">
        <v>114</v>
      </c>
      <c r="D23" s="147">
        <v>217.7484</v>
      </c>
      <c r="E23" s="69">
        <v>12</v>
      </c>
      <c r="F23" s="113">
        <f t="shared" si="30"/>
        <v>2612.9808000000003</v>
      </c>
      <c r="G23" s="109">
        <f>References!B32</f>
        <v>840</v>
      </c>
      <c r="H23" s="68">
        <f t="shared" si="14"/>
        <v>2194903.8720000004</v>
      </c>
      <c r="I23" s="47">
        <f t="shared" si="15"/>
        <v>1766830.6971804099</v>
      </c>
      <c r="J23" s="67">
        <f>(References!$C$49*I23)</f>
        <v>12950.86901033241</v>
      </c>
      <c r="K23" s="67">
        <f>J23/References!$G$52</f>
        <v>13332.16904501998</v>
      </c>
      <c r="L23" s="67">
        <f t="shared" si="31"/>
        <v>5.1022835854821356</v>
      </c>
      <c r="M23" s="149">
        <v>116.82198880787757</v>
      </c>
      <c r="N23" s="67">
        <f t="shared" si="32"/>
        <v>121.92427239335971</v>
      </c>
      <c r="O23" s="67">
        <f t="shared" si="18"/>
        <v>305253.61377279903</v>
      </c>
      <c r="P23" s="67">
        <f t="shared" si="19"/>
        <v>318585.78281781904</v>
      </c>
      <c r="Q23" s="67">
        <f t="shared" si="29"/>
        <v>-13332.169045020011</v>
      </c>
      <c r="R23" s="70">
        <f t="shared" si="20"/>
        <v>121.92427239335971</v>
      </c>
      <c r="S23" s="70">
        <f t="shared" si="21"/>
        <v>318585.78281781904</v>
      </c>
      <c r="T23" s="70">
        <f t="shared" si="22"/>
        <v>13332.169045020011</v>
      </c>
    </row>
    <row r="24" spans="1:22" s="60" customFormat="1" ht="15" customHeight="1">
      <c r="A24" s="145"/>
      <c r="B24" s="102" t="s">
        <v>143</v>
      </c>
      <c r="C24" s="107" t="s">
        <v>115</v>
      </c>
      <c r="D24" s="147">
        <v>194.99860000000001</v>
      </c>
      <c r="E24" s="69">
        <v>12</v>
      </c>
      <c r="F24" s="113">
        <f t="shared" si="30"/>
        <v>2339.9832000000001</v>
      </c>
      <c r="G24" s="109">
        <f>References!B33</f>
        <v>980</v>
      </c>
      <c r="H24" s="68">
        <f t="shared" si="14"/>
        <v>2293183.5360000003</v>
      </c>
      <c r="I24" s="47">
        <f t="shared" si="15"/>
        <v>1845942.8302805955</v>
      </c>
      <c r="J24" s="67">
        <f>(References!$C$49*I24)</f>
        <v>13530.76094595677</v>
      </c>
      <c r="K24" s="67">
        <f>J24/References!$G$52</f>
        <v>13929.134183607957</v>
      </c>
      <c r="L24" s="67">
        <f t="shared" si="31"/>
        <v>5.9526641830624927</v>
      </c>
      <c r="M24" s="149">
        <v>146.49734173962207</v>
      </c>
      <c r="N24" s="67">
        <f t="shared" si="32"/>
        <v>152.45000592268457</v>
      </c>
      <c r="O24" s="67">
        <f t="shared" si="18"/>
        <v>342801.31851537444</v>
      </c>
      <c r="P24" s="67">
        <f t="shared" si="19"/>
        <v>356730.45269898238</v>
      </c>
      <c r="Q24" s="67">
        <f t="shared" si="29"/>
        <v>-13929.134183607937</v>
      </c>
      <c r="R24" s="70">
        <f t="shared" si="20"/>
        <v>152.45000592268457</v>
      </c>
      <c r="S24" s="70">
        <f t="shared" si="21"/>
        <v>356730.45269898238</v>
      </c>
      <c r="T24" s="70">
        <f t="shared" si="22"/>
        <v>13929.134183607937</v>
      </c>
    </row>
    <row r="25" spans="1:22" s="60" customFormat="1">
      <c r="A25" s="145"/>
      <c r="B25" s="102" t="s">
        <v>143</v>
      </c>
      <c r="C25" s="107" t="s">
        <v>117</v>
      </c>
      <c r="D25" s="147">
        <v>6</v>
      </c>
      <c r="E25" s="69">
        <v>12</v>
      </c>
      <c r="F25" s="113">
        <f t="shared" si="30"/>
        <v>72</v>
      </c>
      <c r="G25" s="109">
        <f>References!B27</f>
        <v>175</v>
      </c>
      <c r="H25" s="68">
        <f t="shared" si="14"/>
        <v>12600</v>
      </c>
      <c r="I25" s="47">
        <f t="shared" si="15"/>
        <v>10142.61584230016</v>
      </c>
      <c r="J25" s="67">
        <f>(References!$C$49*I25)</f>
        <v>74.3453741240602</v>
      </c>
      <c r="K25" s="67">
        <f>J25/References!$G$52</f>
        <v>76.534253782232028</v>
      </c>
      <c r="L25" s="67">
        <f t="shared" si="31"/>
        <v>1.0629757469754448</v>
      </c>
      <c r="M25" s="149">
        <v>25.428760785147166</v>
      </c>
      <c r="N25" s="67">
        <f t="shared" si="32"/>
        <v>26.491736532122609</v>
      </c>
      <c r="O25" s="67">
        <f t="shared" si="18"/>
        <v>1830.870776530596</v>
      </c>
      <c r="P25" s="67">
        <f t="shared" si="19"/>
        <v>1907.4050303128279</v>
      </c>
      <c r="Q25" s="67">
        <f t="shared" si="29"/>
        <v>-76.534253782231872</v>
      </c>
      <c r="R25" s="70">
        <f t="shared" si="20"/>
        <v>26.491736532122609</v>
      </c>
      <c r="S25" s="70">
        <f t="shared" si="21"/>
        <v>1907.4050303128279</v>
      </c>
      <c r="T25" s="70">
        <f t="shared" si="22"/>
        <v>76.534253782231872</v>
      </c>
    </row>
    <row r="26" spans="1:22" s="60" customFormat="1">
      <c r="A26" s="145"/>
      <c r="B26" s="102" t="s">
        <v>143</v>
      </c>
      <c r="C26" s="115" t="s">
        <v>118</v>
      </c>
      <c r="D26" s="147">
        <v>4</v>
      </c>
      <c r="E26" s="69">
        <v>12</v>
      </c>
      <c r="F26" s="113">
        <f t="shared" si="30"/>
        <v>48</v>
      </c>
      <c r="G26" s="105">
        <f>References!B29</f>
        <v>324</v>
      </c>
      <c r="H26" s="68">
        <f t="shared" si="14"/>
        <v>15552</v>
      </c>
      <c r="I26" s="47">
        <f t="shared" si="15"/>
        <v>12518.885839639053</v>
      </c>
      <c r="J26" s="67">
        <f>(References!$C$49*I26)</f>
        <v>91.763433204554303</v>
      </c>
      <c r="K26" s="67">
        <f>J26/References!$G$52</f>
        <v>94.4651360969264</v>
      </c>
      <c r="L26" s="67">
        <f t="shared" si="31"/>
        <v>1.9680236686859667</v>
      </c>
      <c r="M26" s="149">
        <v>48.138456332404303</v>
      </c>
      <c r="N26" s="67">
        <f t="shared" si="32"/>
        <v>50.106480001090269</v>
      </c>
      <c r="O26" s="67">
        <f t="shared" si="18"/>
        <v>2310.6459039554065</v>
      </c>
      <c r="P26" s="67">
        <f t="shared" si="19"/>
        <v>2405.111040052333</v>
      </c>
      <c r="Q26" s="67">
        <f t="shared" si="29"/>
        <v>-94.465136096926472</v>
      </c>
      <c r="R26" s="70">
        <f t="shared" si="20"/>
        <v>50.106480001090269</v>
      </c>
      <c r="S26" s="70">
        <f t="shared" si="21"/>
        <v>2405.111040052333</v>
      </c>
      <c r="T26" s="70">
        <f t="shared" si="22"/>
        <v>94.465136096926472</v>
      </c>
    </row>
    <row r="27" spans="1:22" s="60" customFormat="1">
      <c r="A27" s="145"/>
      <c r="B27" s="102" t="s">
        <v>143</v>
      </c>
      <c r="C27" s="107" t="s">
        <v>119</v>
      </c>
      <c r="D27" s="147">
        <v>7</v>
      </c>
      <c r="E27" s="69">
        <v>12</v>
      </c>
      <c r="F27" s="113">
        <f t="shared" si="30"/>
        <v>84</v>
      </c>
      <c r="G27" s="105">
        <f>References!B30</f>
        <v>473</v>
      </c>
      <c r="H27" s="68">
        <f t="shared" si="14"/>
        <v>39732</v>
      </c>
      <c r="I27" s="47">
        <f t="shared" si="15"/>
        <v>31983.048622719838</v>
      </c>
      <c r="J27" s="67">
        <f>(References!$C$49*I27)</f>
        <v>234.4357464045365</v>
      </c>
      <c r="K27" s="67">
        <f>J27/References!$G$52</f>
        <v>241.33801359330502</v>
      </c>
      <c r="L27" s="67">
        <f t="shared" si="31"/>
        <v>2.8730715903964885</v>
      </c>
      <c r="M27" s="149">
        <v>66.790610878084593</v>
      </c>
      <c r="N27" s="67">
        <f t="shared" si="32"/>
        <v>69.663682468481085</v>
      </c>
      <c r="O27" s="67">
        <f t="shared" si="18"/>
        <v>5610.4113137591057</v>
      </c>
      <c r="P27" s="67">
        <f t="shared" si="19"/>
        <v>5851.7493273524115</v>
      </c>
      <c r="Q27" s="67">
        <f t="shared" si="29"/>
        <v>-241.33801359330573</v>
      </c>
      <c r="R27" s="70">
        <f t="shared" si="20"/>
        <v>69.663682468481085</v>
      </c>
      <c r="S27" s="70">
        <f t="shared" si="21"/>
        <v>5851.7493273524115</v>
      </c>
      <c r="T27" s="70">
        <f t="shared" si="22"/>
        <v>241.33801359330573</v>
      </c>
    </row>
    <row r="28" spans="1:22" s="60" customFormat="1">
      <c r="A28" s="145"/>
      <c r="B28" s="102" t="s">
        <v>143</v>
      </c>
      <c r="C28" s="107" t="s">
        <v>120</v>
      </c>
      <c r="D28" s="147">
        <v>10</v>
      </c>
      <c r="E28" s="69">
        <v>12</v>
      </c>
      <c r="F28" s="113">
        <f t="shared" si="30"/>
        <v>120</v>
      </c>
      <c r="G28" s="105">
        <f>References!B31</f>
        <v>613</v>
      </c>
      <c r="H28" s="68">
        <f t="shared" si="14"/>
        <v>73560</v>
      </c>
      <c r="I28" s="47">
        <f t="shared" si="15"/>
        <v>59213.557250761885</v>
      </c>
      <c r="J28" s="67">
        <f>(References!$C$49*I28)</f>
        <v>434.03537464808483</v>
      </c>
      <c r="K28" s="67">
        <f>J28/References!$G$52</f>
        <v>446.81426255722135</v>
      </c>
      <c r="L28" s="67">
        <f t="shared" si="31"/>
        <v>3.7234521879768447</v>
      </c>
      <c r="M28" s="149">
        <v>82.437882357141277</v>
      </c>
      <c r="N28" s="67">
        <f t="shared" si="32"/>
        <v>86.161334545118123</v>
      </c>
      <c r="O28" s="67">
        <f t="shared" si="18"/>
        <v>9892.5458828569535</v>
      </c>
      <c r="P28" s="67">
        <f t="shared" si="19"/>
        <v>10339.360145414175</v>
      </c>
      <c r="Q28" s="67">
        <f t="shared" si="29"/>
        <v>-446.81426255722181</v>
      </c>
      <c r="R28" s="70">
        <f t="shared" si="20"/>
        <v>86.161334545118123</v>
      </c>
      <c r="S28" s="70">
        <f t="shared" si="21"/>
        <v>10339.360145414175</v>
      </c>
      <c r="T28" s="70">
        <f t="shared" si="22"/>
        <v>446.81426255722181</v>
      </c>
    </row>
    <row r="29" spans="1:22" s="60" customFormat="1">
      <c r="A29" s="116"/>
      <c r="B29" s="102" t="s">
        <v>143</v>
      </c>
      <c r="C29" s="107" t="s">
        <v>121</v>
      </c>
      <c r="D29" s="147">
        <v>4</v>
      </c>
      <c r="E29" s="69">
        <v>12</v>
      </c>
      <c r="F29" s="113">
        <f t="shared" si="30"/>
        <v>48</v>
      </c>
      <c r="G29" s="105">
        <f>References!B32</f>
        <v>840</v>
      </c>
      <c r="H29" s="68">
        <f t="shared" ref="H29:H30" si="33">G29*F29</f>
        <v>40320</v>
      </c>
      <c r="I29" s="47">
        <f t="shared" si="15"/>
        <v>32456.370695360511</v>
      </c>
      <c r="J29" s="67">
        <f>(References!$C$49*I29)</f>
        <v>237.90519719699265</v>
      </c>
      <c r="K29" s="67">
        <f>J29/References!$G$52</f>
        <v>244.90961210314251</v>
      </c>
      <c r="L29" s="67">
        <f t="shared" ref="L29:L30" si="34">K29/F29</f>
        <v>5.1022835854821356</v>
      </c>
      <c r="M29" s="149">
        <v>123.19375545608243</v>
      </c>
      <c r="N29" s="67">
        <f t="shared" ref="N29:N30" si="35">L29+M29</f>
        <v>128.29603904156457</v>
      </c>
      <c r="O29" s="67">
        <f t="shared" si="18"/>
        <v>5913.3002618919563</v>
      </c>
      <c r="P29" s="67">
        <f t="shared" si="19"/>
        <v>6158.2098739950998</v>
      </c>
      <c r="Q29" s="67">
        <f t="shared" si="29"/>
        <v>-244.90961210314344</v>
      </c>
      <c r="R29" s="70">
        <f t="shared" si="20"/>
        <v>128.29603904156457</v>
      </c>
      <c r="S29" s="70">
        <f t="shared" si="21"/>
        <v>6158.2098739950998</v>
      </c>
      <c r="T29" s="70">
        <f t="shared" si="22"/>
        <v>244.90961210314344</v>
      </c>
    </row>
    <row r="30" spans="1:22" s="60" customFormat="1">
      <c r="A30" s="116"/>
      <c r="B30" s="102" t="s">
        <v>143</v>
      </c>
      <c r="C30" s="107" t="s">
        <v>122</v>
      </c>
      <c r="D30" s="147">
        <v>8</v>
      </c>
      <c r="E30" s="69">
        <v>12</v>
      </c>
      <c r="F30" s="113">
        <f t="shared" si="30"/>
        <v>96</v>
      </c>
      <c r="G30" s="105">
        <f>References!B33</f>
        <v>980</v>
      </c>
      <c r="H30" s="68">
        <f t="shared" si="33"/>
        <v>94080</v>
      </c>
      <c r="I30" s="47">
        <f t="shared" si="15"/>
        <v>75731.531622507857</v>
      </c>
      <c r="J30" s="67">
        <f>(References!$C$49*I30)</f>
        <v>555.11212679298285</v>
      </c>
      <c r="K30" s="67">
        <f>J30/References!$G$52</f>
        <v>571.45576157399921</v>
      </c>
      <c r="L30" s="67">
        <f t="shared" si="34"/>
        <v>5.9526641830624918</v>
      </c>
      <c r="M30" s="149">
        <v>149.37228285129208</v>
      </c>
      <c r="N30" s="67">
        <f t="shared" si="35"/>
        <v>155.32494703435458</v>
      </c>
      <c r="O30" s="67">
        <f t="shared" si="18"/>
        <v>14339.73915372404</v>
      </c>
      <c r="P30" s="67">
        <f t="shared" si="19"/>
        <v>14911.19491529804</v>
      </c>
      <c r="Q30" s="67">
        <f t="shared" si="29"/>
        <v>-571.45576157399955</v>
      </c>
      <c r="R30" s="70">
        <f t="shared" si="20"/>
        <v>155.32494703435458</v>
      </c>
      <c r="S30" s="70">
        <f t="shared" si="21"/>
        <v>14911.19491529804</v>
      </c>
      <c r="T30" s="70">
        <f t="shared" si="22"/>
        <v>571.45576157399955</v>
      </c>
    </row>
    <row r="31" spans="1:22" s="60" customFormat="1">
      <c r="A31" s="237"/>
      <c r="B31" s="102" t="s">
        <v>143</v>
      </c>
      <c r="C31" s="107" t="s">
        <v>163</v>
      </c>
      <c r="D31" s="147">
        <v>2</v>
      </c>
      <c r="E31" s="69">
        <v>12</v>
      </c>
      <c r="F31" s="113">
        <f t="shared" ref="F31:F34" si="36">D31*E31</f>
        <v>24</v>
      </c>
      <c r="G31" s="109">
        <f>References!B27</f>
        <v>175</v>
      </c>
      <c r="H31" s="68">
        <f t="shared" ref="H31:H34" si="37">G31*F31</f>
        <v>4200</v>
      </c>
      <c r="I31" s="47">
        <f t="shared" ref="I31:I34" si="38">$D$124*H31</f>
        <v>3380.8719474333866</v>
      </c>
      <c r="J31" s="67">
        <f>(References!$C$49*I31)</f>
        <v>24.781791374686733</v>
      </c>
      <c r="K31" s="67">
        <f>J31/References!$G$52</f>
        <v>25.511417927410676</v>
      </c>
      <c r="L31" s="67">
        <f t="shared" ref="L31:L34" si="39">K31/F31</f>
        <v>1.0629757469754448</v>
      </c>
      <c r="M31" s="149">
        <v>66.790610878084593</v>
      </c>
      <c r="N31" s="67">
        <f t="shared" ref="N31:N34" si="40">L31+M31</f>
        <v>67.853586625060032</v>
      </c>
      <c r="O31" s="67">
        <f t="shared" ref="O31:O34" si="41">M31*F31</f>
        <v>1602.9746610740303</v>
      </c>
      <c r="P31" s="67">
        <f t="shared" ref="P31:P34" si="42">N31*F31</f>
        <v>1628.4860790014409</v>
      </c>
      <c r="Q31" s="67">
        <f t="shared" ref="Q31:Q34" si="43">O31-P31</f>
        <v>-25.511417927410548</v>
      </c>
      <c r="R31" s="70">
        <f t="shared" ref="R31:R34" si="44">N31</f>
        <v>67.853586625060032</v>
      </c>
      <c r="S31" s="70">
        <f t="shared" ref="S31:S34" si="45">R31*F31</f>
        <v>1628.4860790014409</v>
      </c>
      <c r="T31" s="70">
        <f t="shared" ref="T31:T34" si="46">S31-O31</f>
        <v>25.511417927410548</v>
      </c>
    </row>
    <row r="32" spans="1:22" s="60" customFormat="1">
      <c r="A32" s="237"/>
      <c r="B32" s="102" t="s">
        <v>143</v>
      </c>
      <c r="C32" s="107" t="s">
        <v>164</v>
      </c>
      <c r="D32" s="147">
        <v>2</v>
      </c>
      <c r="E32" s="69">
        <v>12</v>
      </c>
      <c r="F32" s="113">
        <f t="shared" si="36"/>
        <v>24</v>
      </c>
      <c r="G32" s="109">
        <f>References!B28</f>
        <v>250</v>
      </c>
      <c r="H32" s="68">
        <f t="shared" si="37"/>
        <v>6000</v>
      </c>
      <c r="I32" s="47">
        <f t="shared" si="38"/>
        <v>4829.817067761981</v>
      </c>
      <c r="J32" s="67">
        <f>(References!$C$49*I32)</f>
        <v>35.402559106695335</v>
      </c>
      <c r="K32" s="67">
        <f>J32/References!$G$52</f>
        <v>36.444882753443828</v>
      </c>
      <c r="L32" s="67">
        <f t="shared" si="39"/>
        <v>1.5185367813934929</v>
      </c>
      <c r="M32" s="149">
        <v>82.437882357141277</v>
      </c>
      <c r="N32" s="67">
        <f t="shared" si="40"/>
        <v>83.95641913853477</v>
      </c>
      <c r="O32" s="67">
        <f t="shared" si="41"/>
        <v>1978.5091765713905</v>
      </c>
      <c r="P32" s="67">
        <f t="shared" si="42"/>
        <v>2014.9540593248344</v>
      </c>
      <c r="Q32" s="67">
        <f t="shared" si="43"/>
        <v>-36.444882753443835</v>
      </c>
      <c r="R32" s="70">
        <f t="shared" si="44"/>
        <v>83.95641913853477</v>
      </c>
      <c r="S32" s="70">
        <f t="shared" si="45"/>
        <v>2014.9540593248344</v>
      </c>
      <c r="T32" s="70">
        <f t="shared" si="46"/>
        <v>36.444882753443835</v>
      </c>
    </row>
    <row r="33" spans="1:22" s="60" customFormat="1">
      <c r="A33" s="237"/>
      <c r="B33" s="102" t="s">
        <v>143</v>
      </c>
      <c r="C33" s="107" t="s">
        <v>165</v>
      </c>
      <c r="D33" s="147">
        <v>15</v>
      </c>
      <c r="E33" s="69">
        <v>12</v>
      </c>
      <c r="F33" s="113">
        <f t="shared" si="36"/>
        <v>180</v>
      </c>
      <c r="G33" s="109">
        <f>References!B29</f>
        <v>324</v>
      </c>
      <c r="H33" s="68">
        <f t="shared" si="37"/>
        <v>58320</v>
      </c>
      <c r="I33" s="47">
        <f t="shared" si="38"/>
        <v>46945.821898646449</v>
      </c>
      <c r="J33" s="67">
        <f>(References!$C$49*I33)</f>
        <v>344.11287451707864</v>
      </c>
      <c r="K33" s="67">
        <f>J33/References!$G$52</f>
        <v>354.24426036347398</v>
      </c>
      <c r="L33" s="67">
        <f t="shared" si="39"/>
        <v>1.9680236686859667</v>
      </c>
      <c r="M33" s="149">
        <v>123.19375545608243</v>
      </c>
      <c r="N33" s="67">
        <f t="shared" si="40"/>
        <v>125.1617791247684</v>
      </c>
      <c r="O33" s="67">
        <f t="shared" si="41"/>
        <v>22174.875982094836</v>
      </c>
      <c r="P33" s="67">
        <f t="shared" si="42"/>
        <v>22529.120242458313</v>
      </c>
      <c r="Q33" s="67">
        <f t="shared" si="43"/>
        <v>-354.24426036347722</v>
      </c>
      <c r="R33" s="70">
        <f t="shared" si="44"/>
        <v>125.1617791247684</v>
      </c>
      <c r="S33" s="70">
        <f t="shared" si="45"/>
        <v>22529.120242458313</v>
      </c>
      <c r="T33" s="70">
        <f t="shared" si="46"/>
        <v>354.24426036347722</v>
      </c>
    </row>
    <row r="34" spans="1:22" s="60" customFormat="1">
      <c r="A34" s="237"/>
      <c r="B34" s="102" t="s">
        <v>143</v>
      </c>
      <c r="C34" s="107" t="s">
        <v>166</v>
      </c>
      <c r="D34" s="147">
        <v>11</v>
      </c>
      <c r="E34" s="69">
        <v>12</v>
      </c>
      <c r="F34" s="113">
        <f t="shared" si="36"/>
        <v>132</v>
      </c>
      <c r="G34" s="109">
        <f>References!B30</f>
        <v>473</v>
      </c>
      <c r="H34" s="68">
        <f t="shared" si="37"/>
        <v>62436</v>
      </c>
      <c r="I34" s="47">
        <f t="shared" si="38"/>
        <v>50259.076407131171</v>
      </c>
      <c r="J34" s="67">
        <f>(References!$C$49*I34)</f>
        <v>368.39903006427164</v>
      </c>
      <c r="K34" s="67">
        <f>J34/References!$G$52</f>
        <v>379.24544993233644</v>
      </c>
      <c r="L34" s="67">
        <f t="shared" si="39"/>
        <v>2.8730715903964881</v>
      </c>
      <c r="M34" s="149">
        <v>149.37228285129208</v>
      </c>
      <c r="N34" s="67">
        <f t="shared" si="40"/>
        <v>152.24535444168856</v>
      </c>
      <c r="O34" s="67">
        <f t="shared" si="41"/>
        <v>19717.141336370554</v>
      </c>
      <c r="P34" s="67">
        <f t="shared" si="42"/>
        <v>20096.38678630289</v>
      </c>
      <c r="Q34" s="67">
        <f t="shared" si="43"/>
        <v>-379.24544993233576</v>
      </c>
      <c r="R34" s="70">
        <f t="shared" si="44"/>
        <v>152.24535444168856</v>
      </c>
      <c r="S34" s="70">
        <f t="shared" si="45"/>
        <v>20096.38678630289</v>
      </c>
      <c r="T34" s="70">
        <f t="shared" si="46"/>
        <v>379.24544993233576</v>
      </c>
    </row>
    <row r="35" spans="1:22" s="60" customFormat="1">
      <c r="A35" s="116"/>
      <c r="B35" s="102" t="s">
        <v>144</v>
      </c>
      <c r="C35" s="107" t="s">
        <v>107</v>
      </c>
      <c r="D35" s="147">
        <v>15.166600000000001</v>
      </c>
      <c r="E35" s="69">
        <v>12</v>
      </c>
      <c r="F35" s="113">
        <f>D35*E35</f>
        <v>181.9992</v>
      </c>
      <c r="G35" s="109">
        <f>References!B26</f>
        <v>29</v>
      </c>
      <c r="H35" s="68">
        <f>G35*F35</f>
        <v>5277.9768000000004</v>
      </c>
      <c r="I35" s="47">
        <f>$D$124*H35</f>
        <v>4248.610405315294</v>
      </c>
      <c r="J35" s="67">
        <f>(References!$C$49*I35)</f>
        <v>31.142314270961119</v>
      </c>
      <c r="K35" s="67">
        <f>J35/References!$G$52</f>
        <v>32.059207608566112</v>
      </c>
      <c r="L35" s="67">
        <f>K35/F35</f>
        <v>0.17615026664164518</v>
      </c>
      <c r="M35" s="149">
        <v>4.5396773332804923</v>
      </c>
      <c r="N35" s="67">
        <f>L35+M35</f>
        <v>4.7158275999221377</v>
      </c>
      <c r="O35" s="67">
        <f>M35*F35</f>
        <v>826.21764291518298</v>
      </c>
      <c r="P35" s="67">
        <f>N35*F35</f>
        <v>858.27685052374909</v>
      </c>
      <c r="Q35" s="67">
        <f>O35-P35</f>
        <v>-32.059207608566112</v>
      </c>
      <c r="R35" s="70">
        <f>N35</f>
        <v>4.7158275999221377</v>
      </c>
      <c r="S35" s="70">
        <f>R35*F35</f>
        <v>858.27685052374909</v>
      </c>
      <c r="T35" s="70">
        <f>S35-O35</f>
        <v>32.059207608566112</v>
      </c>
    </row>
    <row r="36" spans="1:22" s="60" customFormat="1">
      <c r="A36" s="116"/>
      <c r="B36" s="102"/>
      <c r="C36" s="115"/>
      <c r="D36" s="57"/>
      <c r="E36" s="69"/>
      <c r="F36" s="108"/>
      <c r="G36" s="105"/>
      <c r="H36" s="68"/>
      <c r="I36" s="47"/>
      <c r="J36" s="67"/>
      <c r="K36" s="67"/>
      <c r="L36" s="67"/>
      <c r="M36" s="67"/>
      <c r="N36" s="67"/>
      <c r="O36" s="67"/>
      <c r="P36" s="67"/>
      <c r="Q36" s="67"/>
      <c r="R36" s="70"/>
      <c r="S36" s="70"/>
      <c r="T36" s="70"/>
    </row>
    <row r="37" spans="1:22" s="60" customFormat="1">
      <c r="A37" s="63"/>
      <c r="B37" s="102"/>
      <c r="C37" s="107"/>
      <c r="D37" s="57"/>
      <c r="E37" s="69"/>
      <c r="F37" s="108"/>
      <c r="G37" s="105"/>
      <c r="H37" s="68"/>
      <c r="I37" s="47"/>
      <c r="J37" s="67"/>
      <c r="K37" s="67"/>
      <c r="L37" s="67"/>
      <c r="M37" s="67"/>
      <c r="N37" s="67"/>
      <c r="O37" s="67"/>
      <c r="P37" s="67"/>
      <c r="Q37" s="67"/>
      <c r="R37" s="70"/>
      <c r="S37" s="70"/>
      <c r="T37" s="70"/>
    </row>
    <row r="38" spans="1:22" s="60" customFormat="1">
      <c r="A38" s="51"/>
      <c r="B38" s="76"/>
      <c r="C38" s="52" t="s">
        <v>17</v>
      </c>
      <c r="D38" s="53">
        <f>SUM(D15:D37)</f>
        <v>1999.4857000000002</v>
      </c>
      <c r="E38" s="53"/>
      <c r="F38" s="53">
        <f>SUM(F15:F37)</f>
        <v>23993.828399999999</v>
      </c>
      <c r="G38" s="95"/>
      <c r="H38" s="53">
        <f>SUM(H15:H37)</f>
        <v>10192009.7256</v>
      </c>
      <c r="I38" s="53">
        <f>SUM(I15:I37)</f>
        <v>8204257.0879164981</v>
      </c>
      <c r="J38" s="72"/>
      <c r="K38" s="72"/>
      <c r="L38" s="72"/>
      <c r="M38" s="72"/>
      <c r="N38" s="72"/>
      <c r="O38" s="53">
        <f>SUM(O15:O37)</f>
        <v>1445177.4986917218</v>
      </c>
      <c r="P38" s="111">
        <f>SUM(P15:P37)</f>
        <v>1507085.2652702967</v>
      </c>
      <c r="Q38" s="111">
        <f>SUM(Q15:Q37)</f>
        <v>-61907.766578575247</v>
      </c>
      <c r="R38" s="111"/>
      <c r="S38" s="111">
        <f>SUM(S15:S37)</f>
        <v>1507085.2652702967</v>
      </c>
      <c r="T38" s="111">
        <f>SUM(T15:T37)</f>
        <v>61907.766578575247</v>
      </c>
    </row>
    <row r="39" spans="1:22" s="60" customFormat="1">
      <c r="A39" s="280" t="s">
        <v>300</v>
      </c>
      <c r="B39" s="102" t="s">
        <v>149</v>
      </c>
      <c r="C39" s="107" t="s">
        <v>296</v>
      </c>
      <c r="D39" s="147">
        <v>17.333200000000001</v>
      </c>
      <c r="E39" s="69">
        <v>12</v>
      </c>
      <c r="F39" s="113">
        <f t="shared" ref="F39" si="47">D39*E39</f>
        <v>207.9984</v>
      </c>
      <c r="G39" s="105">
        <f>References!B21</f>
        <v>47</v>
      </c>
      <c r="H39" s="68">
        <f t="shared" ref="H39" si="48">G39*F39</f>
        <v>9775.9248000000007</v>
      </c>
      <c r="I39" s="47">
        <f t="shared" ref="I39:I47" si="49">$D$124*H39</f>
        <v>7869.3214086996049</v>
      </c>
      <c r="J39" s="67">
        <f>(References!$C$49*I39)</f>
        <v>57.682125925768126</v>
      </c>
      <c r="K39" s="67">
        <f>J39/References!$G$52</f>
        <v>59.380405523747299</v>
      </c>
      <c r="L39" s="67">
        <f t="shared" ref="L39" si="50">K39/F39</f>
        <v>0.28548491490197664</v>
      </c>
      <c r="M39" s="149">
        <v>8.0109316338828851</v>
      </c>
      <c r="N39" s="67">
        <f t="shared" ref="N39" si="51">L39+M39</f>
        <v>8.2964165487848618</v>
      </c>
      <c r="O39" s="67">
        <f t="shared" ref="O39" si="52">M39*F39</f>
        <v>1666.2609623570258</v>
      </c>
      <c r="P39" s="67">
        <f t="shared" ref="P39" si="53">N39*F39</f>
        <v>1725.6413678807733</v>
      </c>
      <c r="Q39" s="67">
        <f t="shared" ref="Q39" si="54">O39-P39</f>
        <v>-59.380405523747413</v>
      </c>
      <c r="R39" s="70">
        <f t="shared" ref="R39" si="55">N39</f>
        <v>8.2964165487848618</v>
      </c>
      <c r="S39" s="70">
        <f t="shared" ref="S39" si="56">R39*F39</f>
        <v>1725.6413678807733</v>
      </c>
      <c r="T39" s="70">
        <f t="shared" ref="T39" si="57">S39-O39</f>
        <v>59.380405523747413</v>
      </c>
    </row>
    <row r="40" spans="1:22" s="60" customFormat="1">
      <c r="A40" s="280"/>
      <c r="B40" s="102" t="s">
        <v>149</v>
      </c>
      <c r="C40" s="107" t="s">
        <v>108</v>
      </c>
      <c r="D40" s="147">
        <v>12.9999</v>
      </c>
      <c r="E40" s="69">
        <v>12</v>
      </c>
      <c r="F40" s="113">
        <f t="shared" ref="F40:F47" si="58">D40*E40</f>
        <v>155.99880000000002</v>
      </c>
      <c r="G40" s="105">
        <f>References!B22</f>
        <v>68</v>
      </c>
      <c r="H40" s="68">
        <f t="shared" ref="H40:H43" si="59">G40*F40</f>
        <v>10607.9184</v>
      </c>
      <c r="I40" s="47">
        <f t="shared" si="49"/>
        <v>8539.0508902910606</v>
      </c>
      <c r="J40" s="67">
        <f>(References!$C$49*I40)</f>
        <v>62.591243025833499</v>
      </c>
      <c r="K40" s="67">
        <f>J40/References!$G$52</f>
        <v>64.434057057683233</v>
      </c>
      <c r="L40" s="67">
        <f t="shared" ref="L40:L43" si="60">K40/F40</f>
        <v>0.41304200453902995</v>
      </c>
      <c r="M40" s="149">
        <v>11.895911953952112</v>
      </c>
      <c r="N40" s="67">
        <f t="shared" ref="N40:N43" si="61">L40+M40</f>
        <v>12.308953958491141</v>
      </c>
      <c r="O40" s="67">
        <f t="shared" ref="O40:O46" si="62">M40*F40</f>
        <v>1855.7479897221849</v>
      </c>
      <c r="P40" s="67">
        <f t="shared" ref="P40:P46" si="63">N40*F40</f>
        <v>1920.1820467798682</v>
      </c>
      <c r="Q40" s="67">
        <f t="shared" ref="Q40:Q46" si="64">O40-P40</f>
        <v>-64.434057057683276</v>
      </c>
      <c r="R40" s="70">
        <f t="shared" ref="R40:R46" si="65">N40</f>
        <v>12.308953958491141</v>
      </c>
      <c r="S40" s="70">
        <f t="shared" ref="S40:S46" si="66">R40*F40</f>
        <v>1920.1820467798682</v>
      </c>
      <c r="T40" s="70">
        <f t="shared" ref="T40:T46" si="67">S40-O40</f>
        <v>64.434057057683276</v>
      </c>
    </row>
    <row r="41" spans="1:22" s="60" customFormat="1">
      <c r="A41" s="280"/>
      <c r="B41" s="102" t="s">
        <v>149</v>
      </c>
      <c r="C41" s="107" t="s">
        <v>110</v>
      </c>
      <c r="D41" s="147">
        <v>4.3333000000000004</v>
      </c>
      <c r="E41" s="69">
        <v>12</v>
      </c>
      <c r="F41" s="113">
        <f t="shared" si="58"/>
        <v>51.999600000000001</v>
      </c>
      <c r="G41" s="105">
        <f>References!B28</f>
        <v>250</v>
      </c>
      <c r="H41" s="68">
        <f t="shared" si="59"/>
        <v>12999.9</v>
      </c>
      <c r="I41" s="47">
        <f t="shared" si="49"/>
        <v>10464.523149866494</v>
      </c>
      <c r="J41" s="67">
        <f>(References!$C$49*I41)</f>
        <v>76.70495468852144</v>
      </c>
      <c r="K41" s="67">
        <f>J41/References!$G$52</f>
        <v>78.963305217749053</v>
      </c>
      <c r="L41" s="67">
        <f t="shared" si="60"/>
        <v>1.5185367813934925</v>
      </c>
      <c r="M41" s="149">
        <v>34.935935487573524</v>
      </c>
      <c r="N41" s="67">
        <f t="shared" si="61"/>
        <v>36.454472268967017</v>
      </c>
      <c r="O41" s="67">
        <f t="shared" si="62"/>
        <v>1816.6546709796282</v>
      </c>
      <c r="P41" s="67">
        <f t="shared" si="63"/>
        <v>1895.6179761973774</v>
      </c>
      <c r="Q41" s="67">
        <f t="shared" si="64"/>
        <v>-78.963305217749166</v>
      </c>
      <c r="R41" s="70">
        <f t="shared" si="65"/>
        <v>36.454472268967017</v>
      </c>
      <c r="S41" s="70">
        <f t="shared" si="66"/>
        <v>1895.6179761973774</v>
      </c>
      <c r="T41" s="70">
        <f t="shared" si="67"/>
        <v>78.963305217749166</v>
      </c>
    </row>
    <row r="42" spans="1:22" s="60" customFormat="1">
      <c r="A42" s="280"/>
      <c r="B42" s="102" t="s">
        <v>149</v>
      </c>
      <c r="C42" s="107" t="s">
        <v>111</v>
      </c>
      <c r="D42" s="147">
        <v>14.083200000000001</v>
      </c>
      <c r="E42" s="69">
        <v>12</v>
      </c>
      <c r="F42" s="113">
        <f t="shared" si="58"/>
        <v>168.9984</v>
      </c>
      <c r="G42" s="105">
        <f>References!B29</f>
        <v>324</v>
      </c>
      <c r="H42" s="68">
        <f t="shared" si="59"/>
        <v>54755.481599999999</v>
      </c>
      <c r="I42" s="47">
        <f t="shared" si="49"/>
        <v>44076.493264201177</v>
      </c>
      <c r="J42" s="67">
        <f>(References!$C$49*I42)</f>
        <v>323.08069562659477</v>
      </c>
      <c r="K42" s="67">
        <f>J42/References!$G$52</f>
        <v>332.59285117005845</v>
      </c>
      <c r="L42" s="67">
        <f t="shared" si="60"/>
        <v>1.9680236686859665</v>
      </c>
      <c r="M42" s="149">
        <v>48.15884598567856</v>
      </c>
      <c r="N42" s="67">
        <f t="shared" si="61"/>
        <v>50.126869654364526</v>
      </c>
      <c r="O42" s="67">
        <f t="shared" si="62"/>
        <v>8138.7679174261002</v>
      </c>
      <c r="P42" s="67">
        <f t="shared" si="63"/>
        <v>8471.3607685961579</v>
      </c>
      <c r="Q42" s="67">
        <f t="shared" si="64"/>
        <v>-332.59285117005766</v>
      </c>
      <c r="R42" s="70">
        <f t="shared" si="65"/>
        <v>50.126869654364526</v>
      </c>
      <c r="S42" s="70">
        <f t="shared" si="66"/>
        <v>8471.3607685961579</v>
      </c>
      <c r="T42" s="70">
        <f t="shared" si="67"/>
        <v>332.59285117005766</v>
      </c>
    </row>
    <row r="43" spans="1:22" s="60" customFormat="1">
      <c r="A43" s="280"/>
      <c r="B43" s="102" t="s">
        <v>149</v>
      </c>
      <c r="C43" s="107" t="s">
        <v>112</v>
      </c>
      <c r="D43" s="147">
        <v>21.666500000000003</v>
      </c>
      <c r="E43" s="69">
        <v>12</v>
      </c>
      <c r="F43" s="113">
        <f t="shared" si="58"/>
        <v>259.99800000000005</v>
      </c>
      <c r="G43" s="105">
        <f>References!B30</f>
        <v>473</v>
      </c>
      <c r="H43" s="68">
        <f t="shared" si="59"/>
        <v>122979.05400000002</v>
      </c>
      <c r="I43" s="47">
        <f t="shared" si="49"/>
        <v>98994.388997737056</v>
      </c>
      <c r="J43" s="67">
        <f>(References!$C$49*I43)</f>
        <v>725.62887135341293</v>
      </c>
      <c r="K43" s="67">
        <f>J43/References!$G$52</f>
        <v>746.9928673599062</v>
      </c>
      <c r="L43" s="67">
        <f t="shared" si="60"/>
        <v>2.8730715903964881</v>
      </c>
      <c r="M43" s="149">
        <v>68.829576205510136</v>
      </c>
      <c r="N43" s="67">
        <f t="shared" si="61"/>
        <v>71.702647795906628</v>
      </c>
      <c r="O43" s="67">
        <f t="shared" si="62"/>
        <v>17895.552154280227</v>
      </c>
      <c r="P43" s="67">
        <f t="shared" si="63"/>
        <v>18642.545021640133</v>
      </c>
      <c r="Q43" s="67">
        <f t="shared" si="64"/>
        <v>-746.99286735990609</v>
      </c>
      <c r="R43" s="70">
        <f t="shared" si="65"/>
        <v>71.702647795906628</v>
      </c>
      <c r="S43" s="70">
        <f t="shared" si="66"/>
        <v>18642.545021640133</v>
      </c>
      <c r="T43" s="70">
        <f t="shared" si="67"/>
        <v>746.99286735990609</v>
      </c>
    </row>
    <row r="44" spans="1:22" s="60" customFormat="1">
      <c r="A44" s="116"/>
      <c r="B44" s="102" t="s">
        <v>149</v>
      </c>
      <c r="C44" s="107" t="s">
        <v>113</v>
      </c>
      <c r="D44" s="147">
        <v>8.6666000000000007</v>
      </c>
      <c r="E44" s="69">
        <v>12</v>
      </c>
      <c r="F44" s="113">
        <f t="shared" si="58"/>
        <v>103.9992</v>
      </c>
      <c r="G44" s="105">
        <f>References!B31</f>
        <v>613</v>
      </c>
      <c r="H44" s="68">
        <f t="shared" ref="H44:H46" si="68">G44*F44</f>
        <v>63751.509599999998</v>
      </c>
      <c r="I44" s="47">
        <f t="shared" si="49"/>
        <v>51318.021526945289</v>
      </c>
      <c r="J44" s="67">
        <f>(References!$C$49*I44)</f>
        <v>376.16109779250911</v>
      </c>
      <c r="K44" s="67">
        <f>J44/References!$G$52</f>
        <v>387.23604878784136</v>
      </c>
      <c r="L44" s="67">
        <f t="shared" ref="L44:L46" si="69">K44/F44</f>
        <v>3.7234521879768434</v>
      </c>
      <c r="M44" s="149">
        <v>86.566787145178026</v>
      </c>
      <c r="N44" s="67">
        <f t="shared" ref="N44:N46" si="70">L44+M44</f>
        <v>90.290239333154872</v>
      </c>
      <c r="O44" s="67">
        <f t="shared" si="62"/>
        <v>9002.8766096687996</v>
      </c>
      <c r="P44" s="67">
        <f t="shared" si="63"/>
        <v>9390.1126584566409</v>
      </c>
      <c r="Q44" s="67">
        <f t="shared" si="64"/>
        <v>-387.23604878784136</v>
      </c>
      <c r="R44" s="70">
        <f t="shared" si="65"/>
        <v>90.290239333154872</v>
      </c>
      <c r="S44" s="70">
        <f t="shared" si="66"/>
        <v>9390.1126584566409</v>
      </c>
      <c r="T44" s="70">
        <f t="shared" si="67"/>
        <v>387.23604878784136</v>
      </c>
    </row>
    <row r="45" spans="1:22" s="60" customFormat="1">
      <c r="A45" s="116"/>
      <c r="B45" s="102" t="s">
        <v>149</v>
      </c>
      <c r="C45" s="107" t="s">
        <v>114</v>
      </c>
      <c r="D45" s="147">
        <v>17.333200000000001</v>
      </c>
      <c r="E45" s="69">
        <v>12</v>
      </c>
      <c r="F45" s="113">
        <f t="shared" si="58"/>
        <v>207.9984</v>
      </c>
      <c r="G45" s="105">
        <f>References!B32</f>
        <v>840</v>
      </c>
      <c r="H45" s="68">
        <f t="shared" si="68"/>
        <v>174718.65600000002</v>
      </c>
      <c r="I45" s="47">
        <f t="shared" si="49"/>
        <v>140643.19113420573</v>
      </c>
      <c r="J45" s="67">
        <f>(References!$C$49*I45)</f>
        <v>1030.9145910137283</v>
      </c>
      <c r="K45" s="67">
        <f>J45/References!$G$52</f>
        <v>1061.2668221265476</v>
      </c>
      <c r="L45" s="67">
        <f t="shared" si="69"/>
        <v>5.1022835854821365</v>
      </c>
      <c r="M45" s="149">
        <v>128.22999981482354</v>
      </c>
      <c r="N45" s="67">
        <f t="shared" si="70"/>
        <v>133.33228340030567</v>
      </c>
      <c r="O45" s="67">
        <f t="shared" si="62"/>
        <v>26671.634793483594</v>
      </c>
      <c r="P45" s="67">
        <f t="shared" si="63"/>
        <v>27732.901615610139</v>
      </c>
      <c r="Q45" s="67">
        <f t="shared" si="64"/>
        <v>-1061.2668221265449</v>
      </c>
      <c r="R45" s="70">
        <f t="shared" si="65"/>
        <v>133.33228340030567</v>
      </c>
      <c r="S45" s="70">
        <f t="shared" si="66"/>
        <v>27732.901615610139</v>
      </c>
      <c r="T45" s="70">
        <f t="shared" si="67"/>
        <v>1061.2668221265449</v>
      </c>
    </row>
    <row r="46" spans="1:22" s="60" customFormat="1">
      <c r="A46" s="116"/>
      <c r="B46" s="102" t="s">
        <v>149</v>
      </c>
      <c r="C46" s="107" t="s">
        <v>115</v>
      </c>
      <c r="D46" s="147">
        <v>25.9998</v>
      </c>
      <c r="E46" s="69">
        <v>12</v>
      </c>
      <c r="F46" s="113">
        <f t="shared" si="58"/>
        <v>311.99760000000003</v>
      </c>
      <c r="G46" s="105">
        <f>References!B33</f>
        <v>980</v>
      </c>
      <c r="H46" s="68">
        <f t="shared" si="68"/>
        <v>305757.64800000004</v>
      </c>
      <c r="I46" s="47">
        <f t="shared" si="49"/>
        <v>246125.58448486001</v>
      </c>
      <c r="J46" s="67">
        <f>(References!$C$49*I46)</f>
        <v>1804.1005342740248</v>
      </c>
      <c r="K46" s="67">
        <f>J46/References!$G$52</f>
        <v>1857.2169387214583</v>
      </c>
      <c r="L46" s="67">
        <f t="shared" si="69"/>
        <v>5.9526641830624918</v>
      </c>
      <c r="M46" s="149">
        <v>161.68763342894243</v>
      </c>
      <c r="N46" s="67">
        <f t="shared" si="70"/>
        <v>167.64029761200493</v>
      </c>
      <c r="O46" s="67">
        <f t="shared" si="62"/>
        <v>50446.153579509817</v>
      </c>
      <c r="P46" s="67">
        <f t="shared" si="63"/>
        <v>52303.370518231277</v>
      </c>
      <c r="Q46" s="67">
        <f t="shared" si="64"/>
        <v>-1857.2169387214599</v>
      </c>
      <c r="R46" s="70">
        <f t="shared" si="65"/>
        <v>167.64029761200493</v>
      </c>
      <c r="S46" s="70">
        <f t="shared" si="66"/>
        <v>52303.370518231277</v>
      </c>
      <c r="T46" s="70">
        <f t="shared" si="67"/>
        <v>1857.2169387214599</v>
      </c>
    </row>
    <row r="47" spans="1:22">
      <c r="A47" s="125"/>
      <c r="B47" s="126" t="s">
        <v>141</v>
      </c>
      <c r="C47" s="127" t="s">
        <v>134</v>
      </c>
      <c r="D47" s="146">
        <v>13</v>
      </c>
      <c r="E47" s="69">
        <v>12</v>
      </c>
      <c r="F47" s="113">
        <f t="shared" si="58"/>
        <v>156</v>
      </c>
      <c r="G47" s="114">
        <f>+References!B37</f>
        <v>1301</v>
      </c>
      <c r="H47" s="68">
        <f>G47*F47</f>
        <v>202956</v>
      </c>
      <c r="I47" s="47">
        <f t="shared" si="49"/>
        <v>163373.39213411676</v>
      </c>
      <c r="J47" s="67">
        <f>(References!$C$49*I47)</f>
        <v>1197.5269643430763</v>
      </c>
      <c r="K47" s="67">
        <f>J47/References!$G$52</f>
        <v>1232.7846040179909</v>
      </c>
      <c r="L47" s="67">
        <f>K47/F47</f>
        <v>7.9024654103717369</v>
      </c>
      <c r="M47" s="148">
        <v>247.30653435208379</v>
      </c>
      <c r="N47" s="67">
        <f>L47+M47</f>
        <v>255.20899976245553</v>
      </c>
      <c r="O47" s="67">
        <f t="shared" ref="O47" si="71">M47*F47</f>
        <v>38579.819358925073</v>
      </c>
      <c r="P47" s="67">
        <f t="shared" ref="P47" si="72">N47*F47</f>
        <v>39812.60396294306</v>
      </c>
      <c r="Q47" s="67">
        <f t="shared" ref="Q47" si="73">O47-P47</f>
        <v>-1232.7846040179866</v>
      </c>
      <c r="R47" s="70">
        <f t="shared" ref="R47" si="74">N47</f>
        <v>255.20899976245553</v>
      </c>
      <c r="S47" s="70">
        <f t="shared" ref="S47" si="75">R47*F47</f>
        <v>39812.60396294306</v>
      </c>
      <c r="T47" s="70">
        <f t="shared" ref="T47" si="76">S47-O47</f>
        <v>1232.7846040179866</v>
      </c>
      <c r="U47" s="60"/>
      <c r="V47" s="60"/>
    </row>
    <row r="48" spans="1:22" s="60" customFormat="1">
      <c r="A48" s="63"/>
      <c r="B48" s="48"/>
      <c r="C48" s="107"/>
      <c r="D48" s="91"/>
      <c r="E48" s="69"/>
      <c r="F48" s="108"/>
      <c r="G48" s="105"/>
      <c r="H48" s="68"/>
      <c r="I48" s="47"/>
      <c r="J48" s="67"/>
      <c r="K48" s="67"/>
      <c r="L48" s="67"/>
      <c r="M48" s="67"/>
      <c r="N48" s="67"/>
      <c r="O48" s="67"/>
      <c r="P48" s="67"/>
      <c r="Q48" s="67"/>
      <c r="R48" s="70"/>
      <c r="S48" s="70"/>
      <c r="T48" s="70"/>
    </row>
    <row r="49" spans="1:22" s="60" customFormat="1">
      <c r="A49" s="51"/>
      <c r="B49" s="49"/>
      <c r="C49" s="52" t="s">
        <v>17</v>
      </c>
      <c r="D49" s="53">
        <f>SUM(D39:D43)</f>
        <v>70.4161</v>
      </c>
      <c r="E49" s="53"/>
      <c r="F49" s="53">
        <f>SUM(F39:F46)</f>
        <v>1468.9884000000002</v>
      </c>
      <c r="G49" s="96"/>
      <c r="H49" s="53">
        <f>SUM(H39:H43)</f>
        <v>211118.27880000003</v>
      </c>
      <c r="I49" s="53">
        <f>SUM(I39:I43)</f>
        <v>169943.7777107954</v>
      </c>
      <c r="J49" s="71"/>
      <c r="K49" s="71"/>
      <c r="L49" s="71"/>
      <c r="M49" s="71"/>
      <c r="N49" s="71"/>
      <c r="O49" s="53">
        <f>SUM(O39:O43)</f>
        <v>31372.983694765167</v>
      </c>
      <c r="P49" s="111">
        <f>SUM(P39:P43)</f>
        <v>32655.347181094308</v>
      </c>
      <c r="Q49" s="111">
        <f>SUM(Q39:Q43)</f>
        <v>-1282.3634863291436</v>
      </c>
      <c r="R49" s="111"/>
      <c r="S49" s="111">
        <f>SUM(S39:S43)</f>
        <v>32655.347181094308</v>
      </c>
      <c r="T49" s="111">
        <f>SUM(T39:T43)</f>
        <v>1282.3634863291436</v>
      </c>
    </row>
    <row r="50" spans="1:22">
      <c r="C50" s="64" t="s">
        <v>3</v>
      </c>
      <c r="D50" s="65">
        <f>D12+D38+D49</f>
        <v>24065.985133333332</v>
      </c>
      <c r="E50" s="65"/>
      <c r="F50" s="65">
        <f>F12+F38+F49</f>
        <v>1157592.4834666664</v>
      </c>
      <c r="G50" s="97"/>
      <c r="H50" s="65">
        <f>H12+H38+H49</f>
        <v>55996002.337733336</v>
      </c>
      <c r="I50" s="65">
        <f>I12+I38+I49</f>
        <v>45075074.636204049</v>
      </c>
      <c r="J50" s="67"/>
      <c r="K50" s="73"/>
      <c r="L50" s="73"/>
      <c r="M50" s="73"/>
      <c r="N50" s="73"/>
      <c r="O50" s="65">
        <f>O12+O38+O49</f>
        <v>7183674.8323864872</v>
      </c>
      <c r="P50" s="65">
        <f>P12+P38+P49</f>
        <v>7523802.7890298627</v>
      </c>
      <c r="Q50" s="65">
        <f>Q12+Q38+Q49</f>
        <v>-340127.95664337656</v>
      </c>
      <c r="R50" s="65"/>
      <c r="S50" s="65">
        <f>S12+S38+S49</f>
        <v>7523802.7890298627</v>
      </c>
      <c r="T50" s="65">
        <f>T12+T38+T49</f>
        <v>340127.95664337656</v>
      </c>
    </row>
    <row r="51" spans="1:22">
      <c r="J51" s="56"/>
      <c r="P51" s="61"/>
      <c r="T51" s="30">
        <f>T50/O50</f>
        <v>4.7347348617446085E-2</v>
      </c>
    </row>
    <row r="52" spans="1:22">
      <c r="A52" s="117"/>
      <c r="B52" s="118"/>
      <c r="C52" s="119" t="s">
        <v>140</v>
      </c>
      <c r="D52" s="120"/>
      <c r="E52" s="121"/>
      <c r="F52" s="121"/>
      <c r="G52" s="122"/>
      <c r="H52" s="121"/>
      <c r="I52" s="123"/>
      <c r="J52" s="124"/>
      <c r="K52" s="121"/>
      <c r="L52" s="121"/>
      <c r="M52" s="121"/>
      <c r="N52" s="121"/>
      <c r="O52" s="60"/>
      <c r="P52" s="85"/>
      <c r="Q52" s="60"/>
      <c r="R52" s="60"/>
      <c r="S52" s="60"/>
      <c r="T52" s="60"/>
      <c r="U52" s="60"/>
      <c r="V52" s="60"/>
    </row>
    <row r="53" spans="1:22">
      <c r="A53" s="125"/>
      <c r="B53" s="126" t="s">
        <v>147</v>
      </c>
      <c r="C53" s="101" t="s">
        <v>295</v>
      </c>
      <c r="D53" s="147">
        <v>1</v>
      </c>
      <c r="E53" s="69">
        <v>1</v>
      </c>
      <c r="F53" s="113">
        <f>D53*E53*12</f>
        <v>12</v>
      </c>
      <c r="G53" s="105">
        <f>+References!B18</f>
        <v>117</v>
      </c>
      <c r="H53" s="68">
        <f t="shared" ref="H53" si="77">G53*F53</f>
        <v>1404</v>
      </c>
      <c r="I53" s="47">
        <f t="shared" ref="I53:I98" si="78">$D$124*H53</f>
        <v>1130.1771938563036</v>
      </c>
      <c r="J53" s="67">
        <f>(References!$C$49*I53)</f>
        <v>8.2841988309667087</v>
      </c>
      <c r="K53" s="67">
        <f>J53/References!$G$52</f>
        <v>8.5281025643058559</v>
      </c>
      <c r="L53" s="67">
        <f t="shared" ref="L53" si="79">K53/F53*E53</f>
        <v>0.71067521369215469</v>
      </c>
      <c r="M53" s="148">
        <v>65.930000000000007</v>
      </c>
      <c r="N53" s="67">
        <f t="shared" ref="N53" si="80">L53+M53</f>
        <v>66.640675213692163</v>
      </c>
      <c r="O53" s="60"/>
      <c r="P53" s="85"/>
      <c r="Q53" s="60"/>
      <c r="R53" s="60"/>
      <c r="S53" s="60"/>
      <c r="T53" s="60"/>
      <c r="U53" s="60"/>
      <c r="V53" s="60"/>
    </row>
    <row r="54" spans="1:22" s="60" customFormat="1">
      <c r="A54" s="125"/>
      <c r="B54" s="126" t="s">
        <v>148</v>
      </c>
      <c r="C54" s="127" t="s">
        <v>124</v>
      </c>
      <c r="D54" s="146">
        <v>1</v>
      </c>
      <c r="E54" s="69">
        <v>1</v>
      </c>
      <c r="F54" s="113">
        <f>D54*E54*12</f>
        <v>12</v>
      </c>
      <c r="G54" s="114">
        <f>References!B24</f>
        <v>34</v>
      </c>
      <c r="H54" s="68">
        <f t="shared" ref="H54:H98" si="81">G54*F54</f>
        <v>408</v>
      </c>
      <c r="I54" s="47">
        <f t="shared" si="78"/>
        <v>328.42756060781471</v>
      </c>
      <c r="J54" s="67">
        <f>(References!$C$49*I54)</f>
        <v>2.407374019255283</v>
      </c>
      <c r="K54" s="67">
        <f>J54/References!$G$52</f>
        <v>2.4782520272341806</v>
      </c>
      <c r="L54" s="67">
        <f t="shared" ref="L54:L98" si="82">K54/F54</f>
        <v>0.20652100226951506</v>
      </c>
      <c r="M54" s="148">
        <v>3.27</v>
      </c>
      <c r="N54" s="67">
        <f t="shared" ref="N54:N109" si="83">L54+M54</f>
        <v>3.4765210022695152</v>
      </c>
      <c r="O54" s="67"/>
      <c r="P54" s="67"/>
      <c r="Q54" s="67"/>
      <c r="R54" s="67"/>
      <c r="S54" s="67"/>
      <c r="T54" s="67"/>
    </row>
    <row r="55" spans="1:22" s="60" customFormat="1">
      <c r="A55" s="125"/>
      <c r="B55" s="102" t="s">
        <v>149</v>
      </c>
      <c r="C55" s="127" t="s">
        <v>127</v>
      </c>
      <c r="D55" s="146">
        <v>1</v>
      </c>
      <c r="E55" s="69">
        <v>1</v>
      </c>
      <c r="F55" s="113">
        <f t="shared" ref="F55:F98" si="84">D55*E55*12</f>
        <v>12</v>
      </c>
      <c r="G55" s="114">
        <f>References!B13</f>
        <v>20</v>
      </c>
      <c r="H55" s="68">
        <f t="shared" si="81"/>
        <v>240</v>
      </c>
      <c r="I55" s="47">
        <f t="shared" si="78"/>
        <v>193.19268271047923</v>
      </c>
      <c r="J55" s="67">
        <f>(References!$C$49*I55)</f>
        <v>1.4161023642678134</v>
      </c>
      <c r="K55" s="67">
        <f>J55/References!$G$52</f>
        <v>1.4577953101377532</v>
      </c>
      <c r="L55" s="67">
        <f t="shared" si="82"/>
        <v>0.12148294251147944</v>
      </c>
      <c r="M55" s="148">
        <v>9.9455262422872934</v>
      </c>
      <c r="N55" s="67">
        <f t="shared" si="83"/>
        <v>10.067009184798772</v>
      </c>
      <c r="O55" s="67"/>
      <c r="P55" s="67"/>
      <c r="Q55" s="67"/>
      <c r="R55" s="67"/>
      <c r="S55" s="67"/>
      <c r="T55" s="67"/>
    </row>
    <row r="56" spans="1:22" s="60" customFormat="1">
      <c r="A56" s="125"/>
      <c r="B56" s="102" t="s">
        <v>149</v>
      </c>
      <c r="C56" s="127" t="s">
        <v>129</v>
      </c>
      <c r="D56" s="146">
        <v>1</v>
      </c>
      <c r="E56" s="69">
        <v>1</v>
      </c>
      <c r="F56" s="113">
        <f t="shared" si="84"/>
        <v>12</v>
      </c>
      <c r="G56" s="114">
        <f>References!B14</f>
        <v>34</v>
      </c>
      <c r="H56" s="68">
        <f t="shared" si="81"/>
        <v>408</v>
      </c>
      <c r="I56" s="47">
        <f t="shared" si="78"/>
        <v>328.42756060781471</v>
      </c>
      <c r="J56" s="67">
        <f>(References!$C$49*I56)</f>
        <v>2.407374019255283</v>
      </c>
      <c r="K56" s="67">
        <f>J56/References!$G$52</f>
        <v>2.4782520272341806</v>
      </c>
      <c r="L56" s="67">
        <f t="shared" si="82"/>
        <v>0.20652100226951506</v>
      </c>
      <c r="M56" s="148">
        <v>10.020789218508597</v>
      </c>
      <c r="N56" s="67">
        <f t="shared" si="83"/>
        <v>10.227310220778111</v>
      </c>
      <c r="O56" s="67"/>
      <c r="P56" s="67"/>
      <c r="Q56" s="67"/>
      <c r="R56" s="67"/>
      <c r="S56" s="67"/>
      <c r="T56" s="67"/>
    </row>
    <row r="57" spans="1:22" s="60" customFormat="1">
      <c r="A57" s="125"/>
      <c r="B57" s="102" t="s">
        <v>149</v>
      </c>
      <c r="C57" s="127" t="s">
        <v>128</v>
      </c>
      <c r="D57" s="146">
        <v>1</v>
      </c>
      <c r="E57" s="69">
        <v>1</v>
      </c>
      <c r="F57" s="113">
        <f t="shared" si="84"/>
        <v>12</v>
      </c>
      <c r="G57" s="114">
        <f>References!B21</f>
        <v>47</v>
      </c>
      <c r="H57" s="68">
        <f t="shared" si="81"/>
        <v>564</v>
      </c>
      <c r="I57" s="47">
        <f t="shared" si="78"/>
        <v>454.00280436962618</v>
      </c>
      <c r="J57" s="67">
        <f>(References!$C$49*I57)</f>
        <v>3.3278405560293614</v>
      </c>
      <c r="K57" s="67">
        <f>J57/References!$G$52</f>
        <v>3.4258189788237194</v>
      </c>
      <c r="L57" s="67">
        <f t="shared" si="82"/>
        <v>0.28548491490197664</v>
      </c>
      <c r="M57" s="148">
        <v>11.711653703160263</v>
      </c>
      <c r="N57" s="67">
        <f t="shared" si="83"/>
        <v>11.997138618062239</v>
      </c>
      <c r="O57" s="67"/>
      <c r="P57" s="67"/>
      <c r="Q57" s="67"/>
      <c r="R57" s="67"/>
      <c r="S57" s="67"/>
      <c r="T57" s="67"/>
    </row>
    <row r="58" spans="1:22" s="60" customFormat="1">
      <c r="A58" s="125"/>
      <c r="B58" s="102" t="s">
        <v>149</v>
      </c>
      <c r="C58" s="127" t="s">
        <v>130</v>
      </c>
      <c r="D58" s="146">
        <v>1</v>
      </c>
      <c r="E58" s="69">
        <v>1</v>
      </c>
      <c r="F58" s="113">
        <f t="shared" si="84"/>
        <v>12</v>
      </c>
      <c r="G58" s="114">
        <f>References!B22</f>
        <v>68</v>
      </c>
      <c r="H58" s="68">
        <f t="shared" si="81"/>
        <v>816</v>
      </c>
      <c r="I58" s="47">
        <f t="shared" si="78"/>
        <v>656.85512121562942</v>
      </c>
      <c r="J58" s="67">
        <f>(References!$C$49*I58)</f>
        <v>4.8147480385105661</v>
      </c>
      <c r="K58" s="67">
        <f>J58/References!$G$52</f>
        <v>4.9565040544683612</v>
      </c>
      <c r="L58" s="67">
        <f t="shared" si="82"/>
        <v>0.41304200453903012</v>
      </c>
      <c r="M58" s="148">
        <v>14.628125492702351</v>
      </c>
      <c r="N58" s="67">
        <f t="shared" si="83"/>
        <v>15.04116749724138</v>
      </c>
      <c r="O58" s="67"/>
      <c r="P58" s="67"/>
      <c r="Q58" s="67"/>
      <c r="R58" s="67"/>
      <c r="S58" s="67"/>
      <c r="T58" s="67"/>
    </row>
    <row r="59" spans="1:22" s="60" customFormat="1">
      <c r="A59" s="125"/>
      <c r="B59" s="102" t="s">
        <v>149</v>
      </c>
      <c r="C59" s="127" t="s">
        <v>117</v>
      </c>
      <c r="D59" s="146">
        <v>1</v>
      </c>
      <c r="E59" s="69">
        <v>1</v>
      </c>
      <c r="F59" s="113">
        <f t="shared" si="84"/>
        <v>12</v>
      </c>
      <c r="G59" s="114">
        <f>References!B27</f>
        <v>175</v>
      </c>
      <c r="H59" s="68">
        <f t="shared" si="81"/>
        <v>2100</v>
      </c>
      <c r="I59" s="47">
        <f t="shared" si="78"/>
        <v>1690.4359737166933</v>
      </c>
      <c r="J59" s="67">
        <f>(References!$C$49*I59)</f>
        <v>12.390895687343367</v>
      </c>
      <c r="K59" s="67">
        <f>J59/References!$G$52</f>
        <v>12.755708963705338</v>
      </c>
      <c r="L59" s="67">
        <f t="shared" si="82"/>
        <v>1.0629757469754448</v>
      </c>
      <c r="M59" s="148">
        <v>27.335193366290056</v>
      </c>
      <c r="N59" s="67">
        <f t="shared" si="83"/>
        <v>28.398169113265503</v>
      </c>
      <c r="O59" s="67"/>
      <c r="P59" s="67"/>
      <c r="Q59" s="67"/>
      <c r="R59" s="67"/>
      <c r="S59" s="67"/>
      <c r="T59" s="67"/>
    </row>
    <row r="60" spans="1:22">
      <c r="A60" s="125"/>
      <c r="B60" s="102" t="s">
        <v>149</v>
      </c>
      <c r="C60" s="127" t="s">
        <v>131</v>
      </c>
      <c r="D60" s="146">
        <v>1</v>
      </c>
      <c r="E60" s="69">
        <v>1</v>
      </c>
      <c r="F60" s="113">
        <f t="shared" si="84"/>
        <v>12</v>
      </c>
      <c r="G60" s="114">
        <f>References!B28</f>
        <v>250</v>
      </c>
      <c r="H60" s="68">
        <f t="shared" si="81"/>
        <v>3000</v>
      </c>
      <c r="I60" s="47">
        <f t="shared" si="78"/>
        <v>2414.9085338809905</v>
      </c>
      <c r="J60" s="67">
        <f>(References!$C$49*I60)</f>
        <v>17.701279553347668</v>
      </c>
      <c r="K60" s="67">
        <f>J60/References!$G$52</f>
        <v>18.222441376721914</v>
      </c>
      <c r="L60" s="67">
        <f t="shared" si="82"/>
        <v>1.5185367813934929</v>
      </c>
      <c r="M60" s="148">
        <v>36.974900814999074</v>
      </c>
      <c r="N60" s="67">
        <f t="shared" si="83"/>
        <v>38.493437596392567</v>
      </c>
      <c r="O60" s="67"/>
      <c r="P60" s="67"/>
      <c r="Q60" s="67"/>
      <c r="R60" s="67"/>
      <c r="S60" s="67"/>
      <c r="T60" s="67"/>
      <c r="U60" s="60"/>
      <c r="V60" s="60"/>
    </row>
    <row r="61" spans="1:22">
      <c r="A61" s="125"/>
      <c r="B61" s="102" t="s">
        <v>149</v>
      </c>
      <c r="C61" s="127" t="s">
        <v>118</v>
      </c>
      <c r="D61" s="146">
        <v>1</v>
      </c>
      <c r="E61" s="69">
        <v>1</v>
      </c>
      <c r="F61" s="113">
        <f t="shared" si="84"/>
        <v>12</v>
      </c>
      <c r="G61" s="114">
        <f>References!B29</f>
        <v>324</v>
      </c>
      <c r="H61" s="68">
        <f t="shared" si="81"/>
        <v>3888</v>
      </c>
      <c r="I61" s="47">
        <f t="shared" si="78"/>
        <v>3129.7214599097633</v>
      </c>
      <c r="J61" s="67">
        <f>(References!$C$49*I61)</f>
        <v>22.940858301138576</v>
      </c>
      <c r="K61" s="67">
        <f>J61/References!$G$52</f>
        <v>23.6162840242316</v>
      </c>
      <c r="L61" s="67">
        <f t="shared" si="82"/>
        <v>1.9680236686859667</v>
      </c>
      <c r="M61" s="148">
        <v>51.941126668052959</v>
      </c>
      <c r="N61" s="67">
        <f t="shared" si="83"/>
        <v>53.909150336738925</v>
      </c>
      <c r="O61" s="67"/>
      <c r="P61" s="67"/>
      <c r="Q61" s="67"/>
      <c r="R61" s="67"/>
      <c r="S61" s="67"/>
      <c r="T61" s="67"/>
      <c r="U61" s="60"/>
      <c r="V61" s="60"/>
    </row>
    <row r="62" spans="1:22">
      <c r="A62" s="125"/>
      <c r="B62" s="102" t="s">
        <v>149</v>
      </c>
      <c r="C62" s="127" t="s">
        <v>119</v>
      </c>
      <c r="D62" s="146">
        <v>1</v>
      </c>
      <c r="E62" s="69">
        <v>1</v>
      </c>
      <c r="F62" s="113">
        <f t="shared" si="84"/>
        <v>12</v>
      </c>
      <c r="G62" s="114">
        <f>References!B30</f>
        <v>473</v>
      </c>
      <c r="H62" s="68">
        <f t="shared" si="81"/>
        <v>5676</v>
      </c>
      <c r="I62" s="47">
        <f t="shared" si="78"/>
        <v>4569.0069461028334</v>
      </c>
      <c r="J62" s="67">
        <f>(References!$C$49*I62)</f>
        <v>33.490820914933785</v>
      </c>
      <c r="K62" s="67">
        <f>J62/References!$G$52</f>
        <v>34.476859084757855</v>
      </c>
      <c r="L62" s="67">
        <f t="shared" si="82"/>
        <v>2.8730715903964881</v>
      </c>
      <c r="M62" s="148">
        <v>72.479324141601879</v>
      </c>
      <c r="N62" s="67">
        <f t="shared" si="83"/>
        <v>75.352395731998371</v>
      </c>
      <c r="O62" s="67"/>
      <c r="P62" s="67"/>
      <c r="Q62" s="67"/>
      <c r="R62" s="67"/>
      <c r="S62" s="67"/>
      <c r="T62" s="67"/>
      <c r="U62" s="60"/>
      <c r="V62" s="60"/>
    </row>
    <row r="63" spans="1:22">
      <c r="A63" s="125"/>
      <c r="B63" s="102" t="s">
        <v>149</v>
      </c>
      <c r="C63" s="127" t="s">
        <v>120</v>
      </c>
      <c r="D63" s="146">
        <v>1</v>
      </c>
      <c r="E63" s="69">
        <v>1</v>
      </c>
      <c r="F63" s="113">
        <f t="shared" si="84"/>
        <v>12</v>
      </c>
      <c r="G63" s="114">
        <f>References!B31</f>
        <v>613</v>
      </c>
      <c r="H63" s="68">
        <f t="shared" si="81"/>
        <v>7356</v>
      </c>
      <c r="I63" s="47">
        <f t="shared" si="78"/>
        <v>5921.3557250761887</v>
      </c>
      <c r="J63" s="67">
        <f>(References!$C$49*I63)</f>
        <v>43.40353746480848</v>
      </c>
      <c r="K63" s="67">
        <f>J63/References!$G$52</f>
        <v>44.68142625572213</v>
      </c>
      <c r="L63" s="67">
        <f t="shared" si="82"/>
        <v>3.7234521879768443</v>
      </c>
      <c r="M63" s="148">
        <v>90.043223028438589</v>
      </c>
      <c r="N63" s="67">
        <f t="shared" si="83"/>
        <v>93.766675216415436</v>
      </c>
      <c r="O63" s="67"/>
      <c r="P63" s="67"/>
      <c r="Q63" s="67"/>
      <c r="R63" s="67"/>
      <c r="S63" s="67"/>
      <c r="T63" s="67"/>
      <c r="U63" s="60"/>
      <c r="V63" s="60"/>
    </row>
    <row r="64" spans="1:22">
      <c r="A64" s="125"/>
      <c r="B64" s="102" t="s">
        <v>149</v>
      </c>
      <c r="C64" s="127" t="s">
        <v>121</v>
      </c>
      <c r="D64" s="146">
        <v>1</v>
      </c>
      <c r="E64" s="69">
        <v>1</v>
      </c>
      <c r="F64" s="113">
        <f t="shared" si="84"/>
        <v>12</v>
      </c>
      <c r="G64" s="114">
        <f>References!B32</f>
        <v>840</v>
      </c>
      <c r="H64" s="68">
        <f t="shared" si="81"/>
        <v>10080</v>
      </c>
      <c r="I64" s="47">
        <f t="shared" si="78"/>
        <v>8114.0926738401276</v>
      </c>
      <c r="J64" s="67">
        <f>(References!$C$49*I64)</f>
        <v>59.476299299248161</v>
      </c>
      <c r="K64" s="67">
        <f>J64/References!$G$52</f>
        <v>61.227403025785627</v>
      </c>
      <c r="L64" s="67">
        <f t="shared" si="82"/>
        <v>5.1022835854821356</v>
      </c>
      <c r="M64" s="148">
        <v>134.59157163639128</v>
      </c>
      <c r="N64" s="67">
        <f t="shared" si="83"/>
        <v>139.69385522187341</v>
      </c>
      <c r="O64" s="67"/>
      <c r="P64" s="67"/>
      <c r="Q64" s="67"/>
      <c r="R64" s="67"/>
      <c r="S64" s="67"/>
      <c r="T64" s="67"/>
      <c r="U64" s="60"/>
      <c r="V64" s="60"/>
    </row>
    <row r="65" spans="1:22">
      <c r="A65" s="125"/>
      <c r="B65" s="102" t="s">
        <v>149</v>
      </c>
      <c r="C65" s="127" t="s">
        <v>122</v>
      </c>
      <c r="D65" s="146">
        <v>1</v>
      </c>
      <c r="E65" s="69">
        <v>1</v>
      </c>
      <c r="F65" s="113">
        <f t="shared" si="84"/>
        <v>12</v>
      </c>
      <c r="G65" s="114">
        <f>References!B33</f>
        <v>980</v>
      </c>
      <c r="H65" s="68">
        <f t="shared" si="81"/>
        <v>11760</v>
      </c>
      <c r="I65" s="47">
        <f t="shared" si="78"/>
        <v>9466.4414528134821</v>
      </c>
      <c r="J65" s="67">
        <f>(References!$C$49*I65)</f>
        <v>69.389015849122856</v>
      </c>
      <c r="K65" s="67">
        <f>J65/References!$G$52</f>
        <v>71.431970196749901</v>
      </c>
      <c r="L65" s="67">
        <f t="shared" si="82"/>
        <v>5.9526641830624918</v>
      </c>
      <c r="M65" s="148">
        <v>164.58296419388674</v>
      </c>
      <c r="N65" s="67">
        <f t="shared" si="83"/>
        <v>170.53562837694923</v>
      </c>
      <c r="O65" s="67"/>
      <c r="P65" s="67"/>
      <c r="Q65" s="67"/>
      <c r="R65" s="67"/>
      <c r="S65" s="67"/>
      <c r="T65" s="67"/>
      <c r="U65" s="60"/>
      <c r="V65" s="60"/>
    </row>
    <row r="66" spans="1:22">
      <c r="A66" s="125"/>
      <c r="B66" s="102" t="s">
        <v>149</v>
      </c>
      <c r="C66" s="107" t="s">
        <v>123</v>
      </c>
      <c r="D66" s="146">
        <v>1</v>
      </c>
      <c r="E66" s="69">
        <v>1</v>
      </c>
      <c r="F66" s="113">
        <f t="shared" ref="F66:F69" si="85">D66*E66*12</f>
        <v>12</v>
      </c>
      <c r="G66" s="105">
        <f>+References!B14</f>
        <v>34</v>
      </c>
      <c r="H66" s="68">
        <f t="shared" si="81"/>
        <v>408</v>
      </c>
      <c r="I66" s="47">
        <f t="shared" si="78"/>
        <v>328.42756060781471</v>
      </c>
      <c r="J66" s="67">
        <f>(References!$C$49*I66)</f>
        <v>2.407374019255283</v>
      </c>
      <c r="K66" s="67">
        <f>J66/References!$G$52</f>
        <v>2.4782520272341806</v>
      </c>
      <c r="L66" s="67">
        <f t="shared" si="82"/>
        <v>0.20652100226951506</v>
      </c>
      <c r="M66" s="149">
        <v>3.45</v>
      </c>
      <c r="N66" s="67">
        <f t="shared" si="83"/>
        <v>3.6565210022695154</v>
      </c>
      <c r="O66" s="67"/>
      <c r="P66" s="67"/>
      <c r="Q66" s="67"/>
      <c r="R66" s="67"/>
      <c r="S66" s="67"/>
      <c r="T66" s="67"/>
      <c r="U66" s="60"/>
      <c r="V66" s="60"/>
    </row>
    <row r="67" spans="1:22">
      <c r="A67" s="125"/>
      <c r="B67" s="102" t="s">
        <v>149</v>
      </c>
      <c r="C67" s="107" t="s">
        <v>298</v>
      </c>
      <c r="D67" s="146">
        <v>1</v>
      </c>
      <c r="E67" s="69">
        <v>1</v>
      </c>
      <c r="F67" s="113">
        <f t="shared" si="85"/>
        <v>12</v>
      </c>
      <c r="G67" s="114">
        <f>+References!B13</f>
        <v>20</v>
      </c>
      <c r="H67" s="68">
        <f t="shared" si="81"/>
        <v>240</v>
      </c>
      <c r="I67" s="47">
        <f t="shared" si="78"/>
        <v>193.19268271047923</v>
      </c>
      <c r="J67" s="67">
        <f>(References!$C$49*I67)</f>
        <v>1.4161023642678134</v>
      </c>
      <c r="K67" s="67">
        <f>J67/References!$G$52</f>
        <v>1.4577953101377532</v>
      </c>
      <c r="L67" s="67">
        <f>K67/F67</f>
        <v>0.12148294251147944</v>
      </c>
      <c r="M67" s="149">
        <v>4.8379180970862832</v>
      </c>
      <c r="N67" s="67">
        <f t="shared" si="83"/>
        <v>4.959401039597763</v>
      </c>
      <c r="O67" s="67"/>
      <c r="P67" s="67"/>
      <c r="Q67" s="67"/>
      <c r="R67" s="67"/>
      <c r="S67" s="67"/>
      <c r="T67" s="67"/>
      <c r="U67" s="60"/>
      <c r="V67" s="60"/>
    </row>
    <row r="68" spans="1:22">
      <c r="A68" s="125"/>
      <c r="B68" s="102" t="s">
        <v>149</v>
      </c>
      <c r="C68" s="107" t="s">
        <v>107</v>
      </c>
      <c r="D68" s="146">
        <v>1</v>
      </c>
      <c r="E68" s="69">
        <v>1</v>
      </c>
      <c r="F68" s="113">
        <f t="shared" si="85"/>
        <v>12</v>
      </c>
      <c r="G68" s="114">
        <f>+References!B14</f>
        <v>34</v>
      </c>
      <c r="H68" s="68">
        <f t="shared" si="81"/>
        <v>408</v>
      </c>
      <c r="I68" s="47">
        <f t="shared" si="78"/>
        <v>328.42756060781471</v>
      </c>
      <c r="J68" s="67">
        <f>(References!$C$49*I68)</f>
        <v>2.407374019255283</v>
      </c>
      <c r="K68" s="67">
        <f>J68/References!$G$52</f>
        <v>2.4782520272341806</v>
      </c>
      <c r="L68" s="67">
        <f>K68/F68</f>
        <v>0.20652100226951506</v>
      </c>
      <c r="M68" s="149">
        <v>4.9131810733075874</v>
      </c>
      <c r="N68" s="67">
        <f t="shared" si="83"/>
        <v>5.1197020755771021</v>
      </c>
      <c r="O68" s="67"/>
      <c r="P68" s="67"/>
      <c r="Q68" s="67"/>
      <c r="R68" s="67"/>
      <c r="S68" s="67"/>
      <c r="T68" s="67"/>
      <c r="U68" s="60"/>
      <c r="V68" s="60"/>
    </row>
    <row r="69" spans="1:22">
      <c r="A69" s="125"/>
      <c r="B69" s="102" t="s">
        <v>149</v>
      </c>
      <c r="C69" s="107" t="s">
        <v>109</v>
      </c>
      <c r="D69" s="146">
        <v>1</v>
      </c>
      <c r="E69" s="69">
        <v>1</v>
      </c>
      <c r="F69" s="113">
        <f t="shared" si="85"/>
        <v>12</v>
      </c>
      <c r="G69" s="105">
        <f>+References!B27</f>
        <v>175</v>
      </c>
      <c r="H69" s="68">
        <f t="shared" si="81"/>
        <v>2100</v>
      </c>
      <c r="I69" s="47">
        <f t="shared" si="78"/>
        <v>1690.4359737166933</v>
      </c>
      <c r="J69" s="67">
        <f>(References!$C$49*I69)</f>
        <v>12.390895687343367</v>
      </c>
      <c r="K69" s="67">
        <f>J69/References!$G$52</f>
        <v>12.755708963705338</v>
      </c>
      <c r="L69" s="67">
        <f t="shared" ref="L69" si="86">K69/F69</f>
        <v>1.0629757469754448</v>
      </c>
      <c r="M69" s="149">
        <v>25.693826277712489</v>
      </c>
      <c r="N69" s="67">
        <f t="shared" si="83"/>
        <v>26.756802024687936</v>
      </c>
      <c r="O69" s="67"/>
      <c r="P69" s="67"/>
      <c r="Q69" s="67"/>
      <c r="R69" s="67"/>
      <c r="S69" s="67"/>
      <c r="T69" s="67"/>
      <c r="U69" s="60"/>
      <c r="V69" s="60"/>
    </row>
    <row r="70" spans="1:22">
      <c r="A70" s="125"/>
      <c r="B70" s="126" t="s">
        <v>141</v>
      </c>
      <c r="C70" s="127" t="s">
        <v>132</v>
      </c>
      <c r="D70" s="146">
        <v>1</v>
      </c>
      <c r="E70" s="69">
        <v>1</v>
      </c>
      <c r="F70" s="113">
        <f t="shared" si="84"/>
        <v>12</v>
      </c>
      <c r="G70" s="114">
        <f>References!B34</f>
        <v>482</v>
      </c>
      <c r="H70" s="68">
        <f t="shared" si="81"/>
        <v>5784</v>
      </c>
      <c r="I70" s="47">
        <f t="shared" si="78"/>
        <v>4655.9436533225498</v>
      </c>
      <c r="J70" s="67">
        <f>(References!$C$49*I70)</f>
        <v>34.128066978854307</v>
      </c>
      <c r="K70" s="67">
        <f>J70/References!$G$52</f>
        <v>35.132866974319853</v>
      </c>
      <c r="L70" s="67">
        <f t="shared" si="82"/>
        <v>2.9277389145266546</v>
      </c>
      <c r="M70" s="148">
        <v>137.96829966718153</v>
      </c>
      <c r="N70" s="67">
        <f t="shared" si="83"/>
        <v>140.89603858170818</v>
      </c>
      <c r="O70" s="67"/>
      <c r="P70" s="67"/>
      <c r="Q70" s="67"/>
      <c r="R70" s="67"/>
      <c r="S70" s="67"/>
      <c r="T70" s="67"/>
      <c r="U70" s="60"/>
      <c r="V70" s="60"/>
    </row>
    <row r="71" spans="1:22">
      <c r="A71" s="125"/>
      <c r="B71" s="126" t="s">
        <v>141</v>
      </c>
      <c r="C71" s="127" t="s">
        <v>133</v>
      </c>
      <c r="D71" s="146">
        <v>1</v>
      </c>
      <c r="E71" s="69">
        <v>1</v>
      </c>
      <c r="F71" s="113">
        <f t="shared" si="84"/>
        <v>12</v>
      </c>
      <c r="G71" s="114">
        <f>References!B36</f>
        <v>892</v>
      </c>
      <c r="H71" s="68">
        <f t="shared" si="81"/>
        <v>10704</v>
      </c>
      <c r="I71" s="47">
        <f t="shared" si="78"/>
        <v>8616.3936488873733</v>
      </c>
      <c r="J71" s="67">
        <f>(References!$C$49*I71)</f>
        <v>63.158165446344476</v>
      </c>
      <c r="K71" s="67">
        <f>J71/References!$G$52</f>
        <v>65.017670832143793</v>
      </c>
      <c r="L71" s="67">
        <f t="shared" si="82"/>
        <v>5.4181392360119824</v>
      </c>
      <c r="M71" s="148">
        <v>197.1207312800868</v>
      </c>
      <c r="N71" s="67">
        <f t="shared" si="83"/>
        <v>202.5388705160988</v>
      </c>
      <c r="O71" s="67"/>
      <c r="P71" s="67"/>
      <c r="Q71" s="67"/>
      <c r="R71" s="67"/>
      <c r="S71" s="67"/>
      <c r="T71" s="67"/>
      <c r="U71" s="60"/>
      <c r="V71" s="60"/>
    </row>
    <row r="72" spans="1:22">
      <c r="A72" s="125"/>
      <c r="B72" s="126" t="s">
        <v>141</v>
      </c>
      <c r="C72" s="127" t="s">
        <v>135</v>
      </c>
      <c r="D72" s="146">
        <v>1</v>
      </c>
      <c r="E72" s="69">
        <v>1</v>
      </c>
      <c r="F72" s="113">
        <f t="shared" si="84"/>
        <v>12</v>
      </c>
      <c r="G72" s="114">
        <f>References!B38</f>
        <v>1686</v>
      </c>
      <c r="H72" s="68">
        <f t="shared" si="81"/>
        <v>20232</v>
      </c>
      <c r="I72" s="47">
        <f t="shared" si="78"/>
        <v>16286.1431524934</v>
      </c>
      <c r="J72" s="67">
        <f>(References!$C$49*I72)</f>
        <v>119.37742930777667</v>
      </c>
      <c r="K72" s="67">
        <f>J72/References!$G$52</f>
        <v>122.89214464461259</v>
      </c>
      <c r="L72" s="67">
        <f t="shared" si="82"/>
        <v>10.241012053717716</v>
      </c>
      <c r="M72" s="148">
        <v>294.38642580108871</v>
      </c>
      <c r="N72" s="67">
        <f t="shared" si="83"/>
        <v>304.62743785480643</v>
      </c>
      <c r="O72" s="67"/>
      <c r="P72" s="67"/>
      <c r="Q72" s="67"/>
      <c r="R72" s="67"/>
      <c r="S72" s="67"/>
      <c r="T72" s="67"/>
      <c r="U72" s="60"/>
      <c r="V72" s="60"/>
    </row>
    <row r="73" spans="1:22">
      <c r="A73" s="128"/>
      <c r="B73" s="126" t="s">
        <v>141</v>
      </c>
      <c r="C73" s="127" t="s">
        <v>136</v>
      </c>
      <c r="D73" s="146">
        <v>1</v>
      </c>
      <c r="E73" s="69">
        <v>1</v>
      </c>
      <c r="F73" s="113">
        <f t="shared" si="84"/>
        <v>12</v>
      </c>
      <c r="G73" s="114">
        <f>References!B39</f>
        <v>2046</v>
      </c>
      <c r="H73" s="68">
        <f t="shared" si="81"/>
        <v>24552</v>
      </c>
      <c r="I73" s="47">
        <f t="shared" si="78"/>
        <v>19763.611441282024</v>
      </c>
      <c r="J73" s="67">
        <f>(References!$C$49*I73)</f>
        <v>144.86727186459731</v>
      </c>
      <c r="K73" s="67">
        <f>J73/References!$G$52</f>
        <v>149.13246022709214</v>
      </c>
      <c r="L73" s="67">
        <f t="shared" si="82"/>
        <v>12.427705018924344</v>
      </c>
      <c r="M73" s="148">
        <v>341.7702966236663</v>
      </c>
      <c r="N73" s="67">
        <f t="shared" si="83"/>
        <v>354.19800164259067</v>
      </c>
      <c r="O73" s="67"/>
      <c r="P73" s="67"/>
      <c r="Q73" s="67"/>
      <c r="R73" s="67"/>
      <c r="S73" s="67"/>
      <c r="T73" s="67"/>
      <c r="U73" s="60"/>
      <c r="V73" s="60"/>
    </row>
    <row r="74" spans="1:22">
      <c r="A74" s="128"/>
      <c r="B74" s="126" t="s">
        <v>141</v>
      </c>
      <c r="C74" s="127" t="s">
        <v>137</v>
      </c>
      <c r="D74" s="146">
        <v>1</v>
      </c>
      <c r="E74" s="69">
        <v>1</v>
      </c>
      <c r="F74" s="113">
        <f t="shared" si="84"/>
        <v>12</v>
      </c>
      <c r="G74" s="114">
        <f>References!B40</f>
        <v>2310</v>
      </c>
      <c r="H74" s="68">
        <f t="shared" si="81"/>
        <v>27720</v>
      </c>
      <c r="I74" s="47">
        <f t="shared" si="78"/>
        <v>22313.754853060353</v>
      </c>
      <c r="J74" s="67">
        <f>(References!$C$49*I74)</f>
        <v>163.55982307293246</v>
      </c>
      <c r="K74" s="67">
        <f>J74/References!$G$52</f>
        <v>168.37535832091049</v>
      </c>
      <c r="L74" s="67">
        <f t="shared" si="82"/>
        <v>14.031279860075875</v>
      </c>
      <c r="M74" s="148">
        <v>428.57121440407013</v>
      </c>
      <c r="N74" s="67">
        <f t="shared" si="83"/>
        <v>442.602494264146</v>
      </c>
      <c r="O74" s="67"/>
      <c r="P74" s="67"/>
      <c r="Q74" s="67"/>
      <c r="R74" s="67"/>
      <c r="S74" s="67"/>
      <c r="T74" s="67"/>
      <c r="U74" s="60"/>
      <c r="V74" s="60"/>
    </row>
    <row r="75" spans="1:22">
      <c r="A75" s="128"/>
      <c r="B75" s="43" t="s">
        <v>142</v>
      </c>
      <c r="C75" s="58" t="s">
        <v>132</v>
      </c>
      <c r="D75" s="146">
        <v>1</v>
      </c>
      <c r="E75" s="69">
        <v>1</v>
      </c>
      <c r="F75" s="113">
        <f t="shared" si="84"/>
        <v>12</v>
      </c>
      <c r="G75" s="114">
        <f>References!B34</f>
        <v>482</v>
      </c>
      <c r="H75" s="68">
        <f t="shared" si="81"/>
        <v>5784</v>
      </c>
      <c r="I75" s="47">
        <f t="shared" si="78"/>
        <v>4655.9436533225498</v>
      </c>
      <c r="J75" s="67">
        <f>(References!$C$49*I75)</f>
        <v>34.128066978854307</v>
      </c>
      <c r="K75" s="67">
        <f>J75/References!$G$52</f>
        <v>35.132866974319853</v>
      </c>
      <c r="L75" s="67">
        <f t="shared" si="82"/>
        <v>2.9277389145266546</v>
      </c>
      <c r="M75" s="148">
        <v>152.82045129054515</v>
      </c>
      <c r="N75" s="67">
        <f t="shared" si="83"/>
        <v>155.74819020507181</v>
      </c>
      <c r="O75" s="67"/>
      <c r="P75" s="67"/>
      <c r="Q75" s="67"/>
      <c r="R75" s="67"/>
      <c r="S75" s="67"/>
      <c r="T75" s="67"/>
      <c r="U75" s="60"/>
      <c r="V75" s="60"/>
    </row>
    <row r="76" spans="1:22">
      <c r="A76" s="128"/>
      <c r="B76" s="43" t="s">
        <v>142</v>
      </c>
      <c r="C76" s="58" t="s">
        <v>133</v>
      </c>
      <c r="D76" s="146">
        <v>1</v>
      </c>
      <c r="E76" s="69">
        <v>1</v>
      </c>
      <c r="F76" s="113">
        <f t="shared" si="84"/>
        <v>12</v>
      </c>
      <c r="G76" s="114">
        <f>References!B36</f>
        <v>892</v>
      </c>
      <c r="H76" s="68">
        <f t="shared" si="81"/>
        <v>10704</v>
      </c>
      <c r="I76" s="47">
        <f t="shared" si="78"/>
        <v>8616.3936488873733</v>
      </c>
      <c r="J76" s="67">
        <f>(References!$C$49*I76)</f>
        <v>63.158165446344476</v>
      </c>
      <c r="K76" s="67">
        <f>J76/References!$G$52</f>
        <v>65.017670832143793</v>
      </c>
      <c r="L76" s="67">
        <f t="shared" si="82"/>
        <v>5.4181392360119824</v>
      </c>
      <c r="M76" s="148">
        <v>235.61263841065968</v>
      </c>
      <c r="N76" s="67">
        <f t="shared" si="83"/>
        <v>241.03077764667168</v>
      </c>
      <c r="O76" s="67"/>
      <c r="P76" s="67"/>
      <c r="Q76" s="67"/>
      <c r="R76" s="67"/>
      <c r="S76" s="67"/>
      <c r="T76" s="67"/>
      <c r="U76" s="60"/>
      <c r="V76" s="60"/>
    </row>
    <row r="77" spans="1:22" s="60" customFormat="1">
      <c r="A77" s="125"/>
      <c r="B77" s="43" t="s">
        <v>142</v>
      </c>
      <c r="C77" s="58" t="s">
        <v>134</v>
      </c>
      <c r="D77" s="146">
        <v>1</v>
      </c>
      <c r="E77" s="69">
        <v>1</v>
      </c>
      <c r="F77" s="113">
        <f t="shared" si="84"/>
        <v>12</v>
      </c>
      <c r="G77" s="114">
        <f>References!B37</f>
        <v>1301</v>
      </c>
      <c r="H77" s="68">
        <f t="shared" si="81"/>
        <v>15612</v>
      </c>
      <c r="I77" s="47">
        <f t="shared" si="78"/>
        <v>12567.184010316674</v>
      </c>
      <c r="J77" s="67">
        <f>(References!$C$49*I77)</f>
        <v>92.11745879562126</v>
      </c>
      <c r="K77" s="67">
        <f>J77/References!$G$52</f>
        <v>94.829584924460832</v>
      </c>
      <c r="L77" s="67">
        <f t="shared" si="82"/>
        <v>7.902465410371736</v>
      </c>
      <c r="M77" s="148">
        <v>301.52219261969066</v>
      </c>
      <c r="N77" s="67">
        <f t="shared" si="83"/>
        <v>309.4246580300624</v>
      </c>
      <c r="O77" s="67"/>
      <c r="P77" s="67"/>
      <c r="Q77" s="67"/>
      <c r="R77" s="67"/>
      <c r="S77" s="67"/>
      <c r="T77" s="67"/>
    </row>
    <row r="78" spans="1:22">
      <c r="A78" s="125"/>
      <c r="B78" s="43" t="s">
        <v>142</v>
      </c>
      <c r="C78" s="58" t="s">
        <v>135</v>
      </c>
      <c r="D78" s="146">
        <v>1</v>
      </c>
      <c r="E78" s="69">
        <v>1</v>
      </c>
      <c r="F78" s="113">
        <f t="shared" si="84"/>
        <v>12</v>
      </c>
      <c r="G78" s="114">
        <f>References!B38</f>
        <v>1686</v>
      </c>
      <c r="H78" s="68">
        <f t="shared" si="81"/>
        <v>20232</v>
      </c>
      <c r="I78" s="47">
        <f t="shared" si="78"/>
        <v>16286.1431524934</v>
      </c>
      <c r="J78" s="67">
        <f>(References!$C$49*I78)</f>
        <v>119.37742930777667</v>
      </c>
      <c r="K78" s="67">
        <f>J78/References!$G$52</f>
        <v>122.89214464461259</v>
      </c>
      <c r="L78" s="67">
        <f t="shared" si="82"/>
        <v>10.241012053717716</v>
      </c>
      <c r="M78" s="148">
        <v>367.11570720297067</v>
      </c>
      <c r="N78" s="67">
        <f t="shared" si="83"/>
        <v>377.35671925668839</v>
      </c>
      <c r="O78" s="67"/>
      <c r="P78" s="67"/>
      <c r="Q78" s="67"/>
      <c r="R78" s="67"/>
      <c r="S78" s="67"/>
      <c r="T78" s="67"/>
      <c r="U78" s="60"/>
      <c r="V78" s="60"/>
    </row>
    <row r="79" spans="1:22">
      <c r="A79" s="125"/>
      <c r="B79" s="43" t="s">
        <v>142</v>
      </c>
      <c r="C79" s="58" t="s">
        <v>136</v>
      </c>
      <c r="D79" s="146">
        <v>1</v>
      </c>
      <c r="E79" s="69">
        <v>1</v>
      </c>
      <c r="F79" s="113">
        <f t="shared" si="84"/>
        <v>12</v>
      </c>
      <c r="G79" s="114">
        <f>References!B39</f>
        <v>2046</v>
      </c>
      <c r="H79" s="68">
        <f t="shared" si="81"/>
        <v>24552</v>
      </c>
      <c r="I79" s="47">
        <f t="shared" si="78"/>
        <v>19763.611441282024</v>
      </c>
      <c r="J79" s="67">
        <f>(References!$C$49*I79)</f>
        <v>144.86727186459731</v>
      </c>
      <c r="K79" s="67">
        <f>J79/References!$G$52</f>
        <v>149.13246022709214</v>
      </c>
      <c r="L79" s="67">
        <f t="shared" si="82"/>
        <v>12.427705018924344</v>
      </c>
      <c r="M79" s="148">
        <v>432.35240285395116</v>
      </c>
      <c r="N79" s="67">
        <f t="shared" si="83"/>
        <v>444.78010787287553</v>
      </c>
      <c r="O79" s="67"/>
      <c r="P79" s="67"/>
      <c r="Q79" s="67"/>
      <c r="R79" s="67"/>
      <c r="S79" s="67"/>
      <c r="T79" s="67"/>
      <c r="U79" s="60"/>
      <c r="V79" s="60"/>
    </row>
    <row r="80" spans="1:22">
      <c r="A80" s="125"/>
      <c r="B80" s="43" t="s">
        <v>142</v>
      </c>
      <c r="C80" s="58" t="s">
        <v>137</v>
      </c>
      <c r="D80" s="146">
        <v>1</v>
      </c>
      <c r="E80" s="69">
        <v>1</v>
      </c>
      <c r="F80" s="113">
        <f t="shared" si="84"/>
        <v>12</v>
      </c>
      <c r="G80" s="114">
        <f>References!B40</f>
        <v>2310</v>
      </c>
      <c r="H80" s="68">
        <f t="shared" si="81"/>
        <v>27720</v>
      </c>
      <c r="I80" s="47">
        <f t="shared" si="78"/>
        <v>22313.754853060353</v>
      </c>
      <c r="J80" s="67">
        <f>(References!$C$49*I80)</f>
        <v>163.55982307293246</v>
      </c>
      <c r="K80" s="67">
        <f>J80/References!$G$52</f>
        <v>168.37535832091049</v>
      </c>
      <c r="L80" s="67">
        <f t="shared" si="82"/>
        <v>14.031279860075875</v>
      </c>
      <c r="M80" s="148">
        <v>496.21279690891953</v>
      </c>
      <c r="N80" s="67">
        <f t="shared" si="83"/>
        <v>510.2440767689954</v>
      </c>
      <c r="O80" s="67"/>
      <c r="P80" s="67"/>
      <c r="Q80" s="67"/>
      <c r="R80" s="67"/>
      <c r="S80" s="67"/>
      <c r="T80" s="67"/>
      <c r="U80" s="60"/>
      <c r="V80" s="60"/>
    </row>
    <row r="81" spans="1:22">
      <c r="A81" s="128"/>
      <c r="B81" s="43" t="s">
        <v>144</v>
      </c>
      <c r="C81" s="78" t="s">
        <v>299</v>
      </c>
      <c r="D81" s="146">
        <v>1</v>
      </c>
      <c r="E81" s="69">
        <v>1</v>
      </c>
      <c r="F81" s="113">
        <f t="shared" ref="F81" si="87">D81*E81*12</f>
        <v>12</v>
      </c>
      <c r="G81" s="114">
        <f>References!B20</f>
        <v>37</v>
      </c>
      <c r="H81" s="68">
        <f t="shared" ref="H81" si="88">G81*F81</f>
        <v>444</v>
      </c>
      <c r="I81" s="47">
        <f t="shared" si="78"/>
        <v>357.40646301438659</v>
      </c>
      <c r="J81" s="67">
        <f>(References!$C$49*I81)</f>
        <v>2.619789373895455</v>
      </c>
      <c r="K81" s="67">
        <f>J81/References!$G$52</f>
        <v>2.6969213237548435</v>
      </c>
      <c r="L81" s="67">
        <f t="shared" ref="L81" si="89">K81/F81</f>
        <v>0.22474344364623697</v>
      </c>
      <c r="M81" s="148">
        <v>4.54</v>
      </c>
      <c r="N81" s="67">
        <f t="shared" ref="N81" si="90">L81+M81</f>
        <v>4.7647434436462373</v>
      </c>
      <c r="O81" s="67"/>
      <c r="P81" s="67"/>
      <c r="Q81" s="67"/>
      <c r="R81" s="67"/>
      <c r="S81" s="67"/>
      <c r="T81" s="67"/>
      <c r="U81" s="60"/>
      <c r="V81" s="60"/>
    </row>
    <row r="82" spans="1:22">
      <c r="A82" s="128"/>
      <c r="B82" s="43" t="s">
        <v>144</v>
      </c>
      <c r="C82" s="78" t="s">
        <v>126</v>
      </c>
      <c r="D82" s="146">
        <v>1</v>
      </c>
      <c r="E82" s="69">
        <v>1</v>
      </c>
      <c r="F82" s="113">
        <f t="shared" si="84"/>
        <v>12</v>
      </c>
      <c r="G82" s="114">
        <f>References!B21</f>
        <v>47</v>
      </c>
      <c r="H82" s="68">
        <f t="shared" si="81"/>
        <v>564</v>
      </c>
      <c r="I82" s="47">
        <f t="shared" si="78"/>
        <v>454.00280436962618</v>
      </c>
      <c r="J82" s="67">
        <f>(References!$C$49*I82)</f>
        <v>3.3278405560293614</v>
      </c>
      <c r="K82" s="67">
        <f>J82/References!$G$52</f>
        <v>3.4258189788237194</v>
      </c>
      <c r="L82" s="67">
        <f t="shared" si="82"/>
        <v>0.28548491490197664</v>
      </c>
      <c r="M82" s="148">
        <v>7.41</v>
      </c>
      <c r="N82" s="67">
        <f t="shared" si="83"/>
        <v>7.6954849149019768</v>
      </c>
      <c r="O82" s="67"/>
      <c r="P82" s="67"/>
      <c r="Q82" s="67"/>
      <c r="R82" s="67"/>
      <c r="S82" s="67"/>
      <c r="T82" s="67"/>
      <c r="U82" s="60"/>
      <c r="V82" s="60"/>
    </row>
    <row r="83" spans="1:22">
      <c r="A83" s="128"/>
      <c r="B83" s="43" t="s">
        <v>144</v>
      </c>
      <c r="C83" s="58" t="s">
        <v>108</v>
      </c>
      <c r="D83" s="146">
        <v>1</v>
      </c>
      <c r="E83" s="69">
        <v>1</v>
      </c>
      <c r="F83" s="113">
        <f t="shared" si="84"/>
        <v>12</v>
      </c>
      <c r="G83" s="114">
        <f>References!B22</f>
        <v>68</v>
      </c>
      <c r="H83" s="68">
        <f t="shared" si="81"/>
        <v>816</v>
      </c>
      <c r="I83" s="47">
        <f t="shared" si="78"/>
        <v>656.85512121562942</v>
      </c>
      <c r="J83" s="67">
        <f>(References!$C$49*I83)</f>
        <v>4.8147480385105661</v>
      </c>
      <c r="K83" s="67">
        <f>J83/References!$G$52</f>
        <v>4.9565040544683612</v>
      </c>
      <c r="L83" s="67">
        <f t="shared" si="82"/>
        <v>0.41304200453903012</v>
      </c>
      <c r="M83" s="148">
        <v>11.06</v>
      </c>
      <c r="N83" s="67">
        <f t="shared" si="83"/>
        <v>11.47304200453903</v>
      </c>
      <c r="O83" s="67"/>
      <c r="P83" s="67"/>
      <c r="Q83" s="67"/>
      <c r="R83" s="67"/>
      <c r="S83" s="67"/>
      <c r="T83" s="67"/>
      <c r="U83" s="60"/>
      <c r="V83" s="60"/>
    </row>
    <row r="84" spans="1:22">
      <c r="A84" s="125"/>
      <c r="B84" s="43" t="s">
        <v>144</v>
      </c>
      <c r="C84" s="58" t="s">
        <v>138</v>
      </c>
      <c r="D84" s="146">
        <v>1</v>
      </c>
      <c r="E84" s="69">
        <v>1</v>
      </c>
      <c r="F84" s="113">
        <f t="shared" si="84"/>
        <v>12</v>
      </c>
      <c r="G84" s="114">
        <f>References!B26</f>
        <v>29</v>
      </c>
      <c r="H84" s="68">
        <f t="shared" si="81"/>
        <v>348</v>
      </c>
      <c r="I84" s="47">
        <f t="shared" si="78"/>
        <v>280.12938993019486</v>
      </c>
      <c r="J84" s="67">
        <f>(References!$C$49*I84)</f>
        <v>2.0533484281883294</v>
      </c>
      <c r="K84" s="67">
        <f>J84/References!$G$52</f>
        <v>2.113803199699742</v>
      </c>
      <c r="L84" s="67">
        <f t="shared" si="82"/>
        <v>0.17615026664164515</v>
      </c>
      <c r="M84" s="148">
        <v>9.6646956519971177</v>
      </c>
      <c r="N84" s="67">
        <f t="shared" si="83"/>
        <v>9.8408459186387631</v>
      </c>
      <c r="O84" s="67"/>
      <c r="P84" s="67"/>
      <c r="Q84" s="67"/>
      <c r="R84" s="67"/>
      <c r="S84" s="67"/>
      <c r="T84" s="67"/>
      <c r="U84" s="60"/>
      <c r="V84" s="60"/>
    </row>
    <row r="85" spans="1:22">
      <c r="A85" s="125"/>
      <c r="B85" s="43" t="s">
        <v>144</v>
      </c>
      <c r="C85" s="58" t="s">
        <v>128</v>
      </c>
      <c r="D85" s="146">
        <v>1</v>
      </c>
      <c r="E85" s="69">
        <v>1</v>
      </c>
      <c r="F85" s="113">
        <f t="shared" si="84"/>
        <v>12</v>
      </c>
      <c r="G85" s="114">
        <f>References!B21</f>
        <v>47</v>
      </c>
      <c r="H85" s="68">
        <f t="shared" si="81"/>
        <v>564</v>
      </c>
      <c r="I85" s="47">
        <f t="shared" si="78"/>
        <v>454.00280436962618</v>
      </c>
      <c r="J85" s="67">
        <f>(References!$C$49*I85)</f>
        <v>3.3278405560293614</v>
      </c>
      <c r="K85" s="67">
        <f>J85/References!$G$52</f>
        <v>3.4258189788237194</v>
      </c>
      <c r="L85" s="67">
        <f t="shared" si="82"/>
        <v>0.28548491490197664</v>
      </c>
      <c r="M85" s="148">
        <v>11.112361034469259</v>
      </c>
      <c r="N85" s="67">
        <f t="shared" si="83"/>
        <v>11.397845949371236</v>
      </c>
      <c r="O85" s="67"/>
      <c r="P85" s="67"/>
      <c r="Q85" s="67"/>
      <c r="R85" s="67"/>
      <c r="S85" s="67"/>
      <c r="T85" s="67"/>
      <c r="U85" s="60"/>
      <c r="V85" s="60"/>
    </row>
    <row r="86" spans="1:22">
      <c r="A86" s="125"/>
      <c r="B86" s="43" t="s">
        <v>144</v>
      </c>
      <c r="C86" s="58" t="s">
        <v>139</v>
      </c>
      <c r="D86" s="146">
        <v>1</v>
      </c>
      <c r="E86" s="69">
        <v>1</v>
      </c>
      <c r="F86" s="113">
        <f t="shared" si="84"/>
        <v>12</v>
      </c>
      <c r="G86" s="114">
        <f>References!B22</f>
        <v>68</v>
      </c>
      <c r="H86" s="68">
        <f t="shared" si="81"/>
        <v>816</v>
      </c>
      <c r="I86" s="47">
        <f t="shared" si="78"/>
        <v>656.85512121562942</v>
      </c>
      <c r="J86" s="67">
        <f>(References!$C$49*I86)</f>
        <v>4.8147480385105661</v>
      </c>
      <c r="K86" s="67">
        <f>J86/References!$G$52</f>
        <v>4.9565040544683612</v>
      </c>
      <c r="L86" s="67">
        <f t="shared" si="82"/>
        <v>0.41304200453903012</v>
      </c>
      <c r="M86" s="148">
        <v>13.732431480211094</v>
      </c>
      <c r="N86" s="67">
        <f t="shared" si="83"/>
        <v>14.145473484750124</v>
      </c>
      <c r="O86" s="67"/>
      <c r="P86" s="67"/>
      <c r="Q86" s="67"/>
      <c r="R86" s="67"/>
      <c r="S86" s="67"/>
      <c r="T86" s="67"/>
      <c r="U86" s="60"/>
      <c r="V86" s="60"/>
    </row>
    <row r="87" spans="1:22">
      <c r="A87" s="125"/>
      <c r="B87" s="43" t="s">
        <v>146</v>
      </c>
      <c r="C87" s="58" t="s">
        <v>132</v>
      </c>
      <c r="D87" s="146">
        <v>1</v>
      </c>
      <c r="E87" s="69">
        <v>1</v>
      </c>
      <c r="F87" s="113">
        <f t="shared" si="84"/>
        <v>12</v>
      </c>
      <c r="G87" s="114">
        <f>References!B34</f>
        <v>482</v>
      </c>
      <c r="H87" s="68">
        <f t="shared" si="81"/>
        <v>5784</v>
      </c>
      <c r="I87" s="47">
        <f t="shared" si="78"/>
        <v>4655.9436533225498</v>
      </c>
      <c r="J87" s="67">
        <f>(References!$C$49*I87)</f>
        <v>34.128066978854307</v>
      </c>
      <c r="K87" s="67">
        <f>J87/References!$G$52</f>
        <v>35.132866974319853</v>
      </c>
      <c r="L87" s="67">
        <f t="shared" si="82"/>
        <v>2.9277389145266546</v>
      </c>
      <c r="M87" s="148">
        <v>131.34166235304849</v>
      </c>
      <c r="N87" s="67">
        <f t="shared" si="83"/>
        <v>134.26940126757515</v>
      </c>
      <c r="O87" s="67"/>
      <c r="P87" s="67"/>
      <c r="Q87" s="67"/>
      <c r="R87" s="67"/>
      <c r="S87" s="67"/>
      <c r="T87" s="67"/>
      <c r="U87" s="60"/>
      <c r="V87" s="60"/>
    </row>
    <row r="88" spans="1:22">
      <c r="A88" s="125"/>
      <c r="B88" s="43" t="s">
        <v>146</v>
      </c>
      <c r="C88" s="58" t="s">
        <v>133</v>
      </c>
      <c r="D88" s="146">
        <v>1</v>
      </c>
      <c r="E88" s="69">
        <v>1</v>
      </c>
      <c r="F88" s="113">
        <f t="shared" si="84"/>
        <v>12</v>
      </c>
      <c r="G88" s="114">
        <f>References!B36</f>
        <v>892</v>
      </c>
      <c r="H88" s="68">
        <f t="shared" si="81"/>
        <v>10704</v>
      </c>
      <c r="I88" s="47">
        <f t="shared" si="78"/>
        <v>8616.3936488873733</v>
      </c>
      <c r="J88" s="67">
        <f>(References!$C$49*I88)</f>
        <v>63.158165446344476</v>
      </c>
      <c r="K88" s="67">
        <f>J88/References!$G$52</f>
        <v>65.017670832143793</v>
      </c>
      <c r="L88" s="67">
        <f t="shared" si="82"/>
        <v>5.4181392360119824</v>
      </c>
      <c r="M88" s="148">
        <v>183.8266773452722</v>
      </c>
      <c r="N88" s="67">
        <f t="shared" si="83"/>
        <v>189.2448165812842</v>
      </c>
      <c r="O88" s="67"/>
      <c r="P88" s="67"/>
      <c r="Q88" s="67"/>
      <c r="R88" s="67"/>
      <c r="S88" s="67"/>
      <c r="T88" s="67"/>
      <c r="U88" s="60"/>
      <c r="V88" s="60"/>
    </row>
    <row r="89" spans="1:22">
      <c r="A89" s="128"/>
      <c r="B89" s="43" t="s">
        <v>146</v>
      </c>
      <c r="C89" s="58" t="s">
        <v>134</v>
      </c>
      <c r="D89" s="146">
        <v>1</v>
      </c>
      <c r="E89" s="69">
        <v>1</v>
      </c>
      <c r="F89" s="113">
        <f t="shared" si="84"/>
        <v>12</v>
      </c>
      <c r="G89" s="114">
        <f>References!B37</f>
        <v>1301</v>
      </c>
      <c r="H89" s="68">
        <f t="shared" si="81"/>
        <v>15612</v>
      </c>
      <c r="I89" s="47">
        <f t="shared" si="78"/>
        <v>12567.184010316674</v>
      </c>
      <c r="J89" s="67">
        <f>(References!$C$49*I89)</f>
        <v>92.11745879562126</v>
      </c>
      <c r="K89" s="67">
        <f>J89/References!$G$52</f>
        <v>94.829584924460832</v>
      </c>
      <c r="L89" s="67">
        <f t="shared" si="82"/>
        <v>7.902465410371736</v>
      </c>
      <c r="M89" s="148">
        <v>227.34506379658762</v>
      </c>
      <c r="N89" s="67">
        <f t="shared" si="83"/>
        <v>235.24752920695937</v>
      </c>
      <c r="O89" s="67"/>
      <c r="P89" s="67"/>
      <c r="Q89" s="67"/>
      <c r="R89" s="67"/>
      <c r="S89" s="67"/>
      <c r="T89" s="67"/>
      <c r="U89" s="60"/>
      <c r="V89" s="60"/>
    </row>
    <row r="90" spans="1:22">
      <c r="A90" s="128"/>
      <c r="B90" s="43" t="s">
        <v>146</v>
      </c>
      <c r="C90" s="58" t="s">
        <v>135</v>
      </c>
      <c r="D90" s="146">
        <v>1</v>
      </c>
      <c r="E90" s="69">
        <v>1</v>
      </c>
      <c r="F90" s="113">
        <f t="shared" si="84"/>
        <v>12</v>
      </c>
      <c r="G90" s="114">
        <f>References!B38</f>
        <v>1686</v>
      </c>
      <c r="H90" s="68">
        <f t="shared" si="81"/>
        <v>20232</v>
      </c>
      <c r="I90" s="47">
        <f t="shared" si="78"/>
        <v>16286.1431524934</v>
      </c>
      <c r="J90" s="67">
        <f>(References!$C$49*I90)</f>
        <v>119.37742930777667</v>
      </c>
      <c r="K90" s="67">
        <f>J90/References!$G$52</f>
        <v>122.89214464461259</v>
      </c>
      <c r="L90" s="67">
        <f t="shared" si="82"/>
        <v>10.241012053717716</v>
      </c>
      <c r="M90" s="148">
        <v>267.77792827818519</v>
      </c>
      <c r="N90" s="67">
        <f t="shared" si="83"/>
        <v>278.01894033190291</v>
      </c>
      <c r="O90" s="67"/>
      <c r="P90" s="67"/>
      <c r="Q90" s="67"/>
      <c r="R90" s="67"/>
      <c r="S90" s="67"/>
      <c r="T90" s="67"/>
      <c r="U90" s="60"/>
      <c r="V90" s="60"/>
    </row>
    <row r="91" spans="1:22">
      <c r="A91" s="128"/>
      <c r="B91" s="43" t="s">
        <v>146</v>
      </c>
      <c r="C91" s="58" t="s">
        <v>136</v>
      </c>
      <c r="D91" s="146">
        <v>1</v>
      </c>
      <c r="E91" s="69">
        <v>1</v>
      </c>
      <c r="F91" s="113">
        <f t="shared" si="84"/>
        <v>12</v>
      </c>
      <c r="G91" s="114">
        <f>References!B39</f>
        <v>2046</v>
      </c>
      <c r="H91" s="68">
        <f t="shared" si="81"/>
        <v>24552</v>
      </c>
      <c r="I91" s="47">
        <f t="shared" si="78"/>
        <v>19763.611441282024</v>
      </c>
      <c r="J91" s="67">
        <f>(References!$C$49*I91)</f>
        <v>144.86727186459731</v>
      </c>
      <c r="K91" s="67">
        <f>J91/References!$G$52</f>
        <v>149.13246022709214</v>
      </c>
      <c r="L91" s="67">
        <f t="shared" si="82"/>
        <v>12.427705018924344</v>
      </c>
      <c r="M91" s="148">
        <v>308.51477213335551</v>
      </c>
      <c r="N91" s="67">
        <f t="shared" si="83"/>
        <v>320.94247715227988</v>
      </c>
      <c r="O91" s="67"/>
      <c r="P91" s="67"/>
      <c r="Q91" s="67"/>
      <c r="R91" s="67"/>
      <c r="S91" s="67"/>
      <c r="T91" s="67"/>
      <c r="U91" s="60"/>
      <c r="V91" s="60"/>
    </row>
    <row r="92" spans="1:22">
      <c r="A92" s="128"/>
      <c r="B92" s="43" t="s">
        <v>146</v>
      </c>
      <c r="C92" s="58" t="s">
        <v>137</v>
      </c>
      <c r="D92" s="146">
        <v>1</v>
      </c>
      <c r="E92" s="69">
        <v>1</v>
      </c>
      <c r="F92" s="113">
        <f t="shared" si="84"/>
        <v>12</v>
      </c>
      <c r="G92" s="114">
        <f>References!B40</f>
        <v>2310</v>
      </c>
      <c r="H92" s="68">
        <f t="shared" si="81"/>
        <v>27720</v>
      </c>
      <c r="I92" s="47">
        <f t="shared" si="78"/>
        <v>22313.754853060353</v>
      </c>
      <c r="J92" s="67">
        <f>(References!$C$49*I92)</f>
        <v>163.55982307293246</v>
      </c>
      <c r="K92" s="67">
        <f>J92/References!$G$52</f>
        <v>168.37535832091049</v>
      </c>
      <c r="L92" s="67">
        <f t="shared" si="82"/>
        <v>14.031279860075875</v>
      </c>
      <c r="M92" s="148">
        <v>388.66866294635207</v>
      </c>
      <c r="N92" s="67">
        <f t="shared" si="83"/>
        <v>402.69994280642794</v>
      </c>
      <c r="O92" s="67"/>
      <c r="P92" s="67"/>
      <c r="Q92" s="67"/>
      <c r="R92" s="67"/>
      <c r="S92" s="67"/>
      <c r="T92" s="67"/>
      <c r="U92" s="60"/>
      <c r="V92" s="60"/>
    </row>
    <row r="93" spans="1:22" s="60" customFormat="1">
      <c r="A93" s="125"/>
      <c r="B93" s="43" t="s">
        <v>145</v>
      </c>
      <c r="C93" s="58" t="s">
        <v>132</v>
      </c>
      <c r="D93" s="146">
        <v>1</v>
      </c>
      <c r="E93" s="69">
        <v>1</v>
      </c>
      <c r="F93" s="113">
        <f t="shared" si="84"/>
        <v>12</v>
      </c>
      <c r="G93" s="114">
        <f>References!B34</f>
        <v>482</v>
      </c>
      <c r="H93" s="68">
        <f t="shared" si="81"/>
        <v>5784</v>
      </c>
      <c r="I93" s="47">
        <f t="shared" si="78"/>
        <v>4655.9436533225498</v>
      </c>
      <c r="J93" s="67">
        <f>(References!$C$49*I93)</f>
        <v>34.128066978854307</v>
      </c>
      <c r="K93" s="67">
        <f>J93/References!$G$52</f>
        <v>35.132866974319853</v>
      </c>
      <c r="L93" s="67">
        <f t="shared" si="82"/>
        <v>2.9277389145266546</v>
      </c>
      <c r="M93" s="148">
        <v>143.30867803810492</v>
      </c>
      <c r="N93" s="67">
        <f t="shared" si="83"/>
        <v>146.23641695263157</v>
      </c>
      <c r="O93" s="67"/>
      <c r="P93" s="67"/>
      <c r="Q93" s="67"/>
      <c r="R93" s="67"/>
      <c r="S93" s="67"/>
      <c r="T93" s="67"/>
    </row>
    <row r="94" spans="1:22">
      <c r="A94" s="125"/>
      <c r="B94" s="43" t="s">
        <v>145</v>
      </c>
      <c r="C94" s="58" t="s">
        <v>133</v>
      </c>
      <c r="D94" s="146">
        <v>1</v>
      </c>
      <c r="E94" s="69">
        <v>1</v>
      </c>
      <c r="F94" s="113">
        <f t="shared" si="84"/>
        <v>12</v>
      </c>
      <c r="G94" s="114">
        <f>References!B36</f>
        <v>892</v>
      </c>
      <c r="H94" s="68">
        <f t="shared" si="81"/>
        <v>10704</v>
      </c>
      <c r="I94" s="47">
        <f t="shared" si="78"/>
        <v>8616.3936488873733</v>
      </c>
      <c r="J94" s="67">
        <f>(References!$C$49*I94)</f>
        <v>63.158165446344476</v>
      </c>
      <c r="K94" s="67">
        <f>J94/References!$G$52</f>
        <v>65.017670832143793</v>
      </c>
      <c r="L94" s="67">
        <f t="shared" si="82"/>
        <v>5.4181392360119824</v>
      </c>
      <c r="M94" s="148">
        <v>216.60948155905353</v>
      </c>
      <c r="N94" s="67">
        <f t="shared" si="83"/>
        <v>222.02762079506553</v>
      </c>
      <c r="O94" s="67"/>
      <c r="P94" s="67"/>
      <c r="Q94" s="67"/>
      <c r="R94" s="67"/>
      <c r="S94" s="67"/>
      <c r="T94" s="67"/>
      <c r="U94" s="60"/>
      <c r="V94" s="60"/>
    </row>
    <row r="95" spans="1:22">
      <c r="A95" s="125"/>
      <c r="B95" s="43" t="s">
        <v>145</v>
      </c>
      <c r="C95" s="58" t="s">
        <v>134</v>
      </c>
      <c r="D95" s="146">
        <v>1</v>
      </c>
      <c r="E95" s="69">
        <v>1</v>
      </c>
      <c r="F95" s="113">
        <f t="shared" si="84"/>
        <v>12</v>
      </c>
      <c r="G95" s="114">
        <f>References!B37</f>
        <v>1301</v>
      </c>
      <c r="H95" s="68">
        <f t="shared" si="81"/>
        <v>15612</v>
      </c>
      <c r="I95" s="47">
        <f t="shared" si="78"/>
        <v>12567.184010316674</v>
      </c>
      <c r="J95" s="67">
        <f>(References!$C$49*I95)</f>
        <v>92.11745879562126</v>
      </c>
      <c r="K95" s="67">
        <f>J95/References!$G$52</f>
        <v>94.829584924460832</v>
      </c>
      <c r="L95" s="67">
        <f t="shared" si="82"/>
        <v>7.902465410371736</v>
      </c>
      <c r="M95" s="148">
        <v>273.02765216891856</v>
      </c>
      <c r="N95" s="67">
        <f t="shared" si="83"/>
        <v>280.93011757929031</v>
      </c>
      <c r="O95" s="67"/>
      <c r="P95" s="67"/>
      <c r="Q95" s="67"/>
      <c r="R95" s="67"/>
      <c r="S95" s="67"/>
      <c r="T95" s="67"/>
      <c r="U95" s="60"/>
      <c r="V95" s="60"/>
    </row>
    <row r="96" spans="1:22">
      <c r="A96" s="125"/>
      <c r="B96" s="43" t="s">
        <v>145</v>
      </c>
      <c r="C96" s="58" t="s">
        <v>135</v>
      </c>
      <c r="D96" s="146">
        <v>1</v>
      </c>
      <c r="E96" s="69">
        <v>1</v>
      </c>
      <c r="F96" s="113">
        <f t="shared" si="84"/>
        <v>12</v>
      </c>
      <c r="G96" s="114">
        <f>References!B38</f>
        <v>1686</v>
      </c>
      <c r="H96" s="68">
        <f t="shared" si="81"/>
        <v>20232</v>
      </c>
      <c r="I96" s="47">
        <f t="shared" si="78"/>
        <v>16286.1431524934</v>
      </c>
      <c r="J96" s="67">
        <f>(References!$C$49*I96)</f>
        <v>119.37742930777667</v>
      </c>
      <c r="K96" s="67">
        <f>J96/References!$G$52</f>
        <v>122.89214464461259</v>
      </c>
      <c r="L96" s="67">
        <f t="shared" si="82"/>
        <v>10.241012053717716</v>
      </c>
      <c r="M96" s="148">
        <v>329.10939349975837</v>
      </c>
      <c r="N96" s="67">
        <f t="shared" si="83"/>
        <v>339.35040555347609</v>
      </c>
      <c r="O96" s="67"/>
      <c r="P96" s="67"/>
      <c r="Q96" s="67"/>
      <c r="R96" s="67"/>
      <c r="S96" s="67"/>
      <c r="T96" s="67"/>
      <c r="U96" s="60"/>
      <c r="V96" s="60"/>
    </row>
    <row r="97" spans="1:22">
      <c r="A97" s="125"/>
      <c r="B97" s="43" t="s">
        <v>145</v>
      </c>
      <c r="C97" s="58" t="s">
        <v>136</v>
      </c>
      <c r="D97" s="146">
        <v>1</v>
      </c>
      <c r="E97" s="69">
        <v>1</v>
      </c>
      <c r="F97" s="113">
        <f t="shared" si="84"/>
        <v>12</v>
      </c>
      <c r="G97" s="114">
        <f>References!B39</f>
        <v>2046</v>
      </c>
      <c r="H97" s="68">
        <f t="shared" si="81"/>
        <v>24552</v>
      </c>
      <c r="I97" s="47">
        <f t="shared" si="78"/>
        <v>19763.611441282024</v>
      </c>
      <c r="J97" s="67">
        <f>(References!$C$49*I97)</f>
        <v>144.86727186459731</v>
      </c>
      <c r="K97" s="67">
        <f>J97/References!$G$52</f>
        <v>149.13246022709214</v>
      </c>
      <c r="L97" s="67">
        <f t="shared" si="82"/>
        <v>12.427705018924344</v>
      </c>
      <c r="M97" s="148">
        <v>384.83431589829871</v>
      </c>
      <c r="N97" s="67">
        <f t="shared" si="83"/>
        <v>397.26202091722308</v>
      </c>
      <c r="O97" s="67"/>
      <c r="P97" s="67"/>
      <c r="Q97" s="67"/>
      <c r="R97" s="67"/>
      <c r="S97" s="67"/>
      <c r="T97" s="67"/>
      <c r="U97" s="60"/>
      <c r="V97" s="60"/>
    </row>
    <row r="98" spans="1:22">
      <c r="A98" s="125"/>
      <c r="B98" s="43" t="s">
        <v>145</v>
      </c>
      <c r="C98" s="58" t="s">
        <v>137</v>
      </c>
      <c r="D98" s="146">
        <v>1</v>
      </c>
      <c r="E98" s="69">
        <v>1</v>
      </c>
      <c r="F98" s="113">
        <f t="shared" si="84"/>
        <v>12</v>
      </c>
      <c r="G98" s="114">
        <f>References!B40</f>
        <v>2310</v>
      </c>
      <c r="H98" s="68">
        <f t="shared" si="81"/>
        <v>27720</v>
      </c>
      <c r="I98" s="47">
        <f t="shared" si="78"/>
        <v>22313.754853060353</v>
      </c>
      <c r="J98" s="67">
        <f>(References!$C$49*I98)</f>
        <v>163.55982307293246</v>
      </c>
      <c r="K98" s="67">
        <f>J98/References!$G$52</f>
        <v>168.37535832091049</v>
      </c>
      <c r="L98" s="67">
        <f t="shared" si="82"/>
        <v>14.031279860075875</v>
      </c>
      <c r="M98" s="148">
        <v>439.20332635410108</v>
      </c>
      <c r="N98" s="67">
        <f t="shared" si="83"/>
        <v>453.23460621417695</v>
      </c>
      <c r="O98" s="67"/>
      <c r="P98" s="67"/>
      <c r="Q98" s="67"/>
      <c r="R98" s="67"/>
      <c r="S98" s="67"/>
      <c r="T98" s="67"/>
      <c r="U98" s="60"/>
      <c r="V98" s="60"/>
    </row>
    <row r="99" spans="1:22">
      <c r="A99" s="125"/>
      <c r="B99" s="102" t="s">
        <v>149</v>
      </c>
      <c r="C99" s="58" t="s">
        <v>153</v>
      </c>
      <c r="D99" s="146">
        <v>1</v>
      </c>
      <c r="E99" s="69">
        <v>1</v>
      </c>
      <c r="F99" s="113">
        <f t="shared" ref="F99:F104" si="91">D99*E99*12</f>
        <v>12</v>
      </c>
      <c r="G99" s="114">
        <f t="shared" ref="G99:G105" si="92">G59</f>
        <v>175</v>
      </c>
      <c r="H99" s="68">
        <f t="shared" ref="H99:H105" si="93">G99*F99</f>
        <v>2100</v>
      </c>
      <c r="I99" s="47">
        <f t="shared" ref="I99:I105" si="94">$D$124*H99</f>
        <v>1690.4359737166933</v>
      </c>
      <c r="J99" s="67">
        <f>(References!$C$49*I99)</f>
        <v>12.390895687343367</v>
      </c>
      <c r="K99" s="67">
        <f>J99/References!$G$52</f>
        <v>12.755708963705338</v>
      </c>
      <c r="L99" s="67">
        <f t="shared" ref="L99:L105" si="95">K99/F99</f>
        <v>1.0629757469754448</v>
      </c>
      <c r="M99" s="148">
        <v>27.335193366290056</v>
      </c>
      <c r="N99" s="67">
        <f t="shared" si="83"/>
        <v>28.398169113265503</v>
      </c>
      <c r="O99" s="67"/>
      <c r="P99" s="67"/>
      <c r="Q99" s="67"/>
      <c r="R99" s="67"/>
      <c r="S99" s="67"/>
      <c r="T99" s="67"/>
      <c r="U99" s="60"/>
      <c r="V99" s="60"/>
    </row>
    <row r="100" spans="1:22">
      <c r="A100" s="125"/>
      <c r="B100" s="102" t="s">
        <v>149</v>
      </c>
      <c r="C100" s="58" t="s">
        <v>154</v>
      </c>
      <c r="D100" s="146">
        <v>1</v>
      </c>
      <c r="E100" s="69">
        <v>1</v>
      </c>
      <c r="F100" s="113">
        <f t="shared" si="91"/>
        <v>12</v>
      </c>
      <c r="G100" s="114">
        <f t="shared" si="92"/>
        <v>250</v>
      </c>
      <c r="H100" s="68">
        <f t="shared" si="93"/>
        <v>3000</v>
      </c>
      <c r="I100" s="47">
        <f t="shared" si="94"/>
        <v>2414.9085338809905</v>
      </c>
      <c r="J100" s="67">
        <f>(References!$C$49*I100)</f>
        <v>17.701279553347668</v>
      </c>
      <c r="K100" s="67">
        <f>J100/References!$G$52</f>
        <v>18.222441376721914</v>
      </c>
      <c r="L100" s="67">
        <f t="shared" si="95"/>
        <v>1.5185367813934929</v>
      </c>
      <c r="M100" s="148">
        <v>36.974900814999074</v>
      </c>
      <c r="N100" s="67">
        <f t="shared" si="83"/>
        <v>38.493437596392567</v>
      </c>
      <c r="O100" s="67"/>
      <c r="P100" s="67"/>
      <c r="Q100" s="67"/>
      <c r="R100" s="67"/>
      <c r="S100" s="67"/>
      <c r="T100" s="67"/>
      <c r="U100" s="60"/>
      <c r="V100" s="60"/>
    </row>
    <row r="101" spans="1:22">
      <c r="A101" s="125"/>
      <c r="B101" s="102" t="s">
        <v>149</v>
      </c>
      <c r="C101" s="58" t="s">
        <v>155</v>
      </c>
      <c r="D101" s="146">
        <v>1</v>
      </c>
      <c r="E101" s="69">
        <v>1</v>
      </c>
      <c r="F101" s="113">
        <f t="shared" si="91"/>
        <v>12</v>
      </c>
      <c r="G101" s="114">
        <f t="shared" si="92"/>
        <v>324</v>
      </c>
      <c r="H101" s="68">
        <f t="shared" si="93"/>
        <v>3888</v>
      </c>
      <c r="I101" s="47">
        <f t="shared" si="94"/>
        <v>3129.7214599097633</v>
      </c>
      <c r="J101" s="67">
        <f>(References!$C$49*I101)</f>
        <v>22.940858301138576</v>
      </c>
      <c r="K101" s="67">
        <f>J101/References!$G$52</f>
        <v>23.6162840242316</v>
      </c>
      <c r="L101" s="67">
        <f t="shared" si="95"/>
        <v>1.9680236686859667</v>
      </c>
      <c r="M101" s="148">
        <v>51.941126668052959</v>
      </c>
      <c r="N101" s="67">
        <f t="shared" si="83"/>
        <v>53.909150336738925</v>
      </c>
      <c r="O101" s="67"/>
      <c r="P101" s="67"/>
      <c r="Q101" s="67"/>
      <c r="R101" s="67"/>
      <c r="S101" s="67"/>
      <c r="T101" s="67"/>
      <c r="U101" s="60"/>
      <c r="V101" s="60"/>
    </row>
    <row r="102" spans="1:22">
      <c r="A102" s="125"/>
      <c r="B102" s="102" t="s">
        <v>149</v>
      </c>
      <c r="C102" s="58" t="s">
        <v>156</v>
      </c>
      <c r="D102" s="146">
        <v>1</v>
      </c>
      <c r="E102" s="69">
        <v>1</v>
      </c>
      <c r="F102" s="113">
        <f t="shared" si="91"/>
        <v>12</v>
      </c>
      <c r="G102" s="114">
        <f t="shared" si="92"/>
        <v>473</v>
      </c>
      <c r="H102" s="68">
        <f t="shared" si="93"/>
        <v>5676</v>
      </c>
      <c r="I102" s="47">
        <f t="shared" si="94"/>
        <v>4569.0069461028334</v>
      </c>
      <c r="J102" s="67">
        <f>(References!$C$49*I102)</f>
        <v>33.490820914933785</v>
      </c>
      <c r="K102" s="67">
        <f>J102/References!$G$52</f>
        <v>34.476859084757855</v>
      </c>
      <c r="L102" s="67">
        <f t="shared" si="95"/>
        <v>2.8730715903964881</v>
      </c>
      <c r="M102" s="148">
        <v>72.479324141601879</v>
      </c>
      <c r="N102" s="67">
        <f t="shared" si="83"/>
        <v>75.352395731998371</v>
      </c>
      <c r="O102" s="67"/>
      <c r="P102" s="67"/>
      <c r="Q102" s="67"/>
      <c r="R102" s="67"/>
      <c r="S102" s="67"/>
      <c r="T102" s="67"/>
      <c r="U102" s="60"/>
      <c r="V102" s="60"/>
    </row>
    <row r="103" spans="1:22">
      <c r="A103" s="125"/>
      <c r="B103" s="102" t="s">
        <v>149</v>
      </c>
      <c r="C103" s="58" t="s">
        <v>157</v>
      </c>
      <c r="D103" s="146">
        <v>1</v>
      </c>
      <c r="E103" s="69">
        <v>1</v>
      </c>
      <c r="F103" s="113">
        <f t="shared" si="91"/>
        <v>12</v>
      </c>
      <c r="G103" s="114">
        <f t="shared" si="92"/>
        <v>613</v>
      </c>
      <c r="H103" s="68">
        <f t="shared" si="93"/>
        <v>7356</v>
      </c>
      <c r="I103" s="47">
        <f t="shared" si="94"/>
        <v>5921.3557250761887</v>
      </c>
      <c r="J103" s="67">
        <f>(References!$C$49*I103)</f>
        <v>43.40353746480848</v>
      </c>
      <c r="K103" s="67">
        <f>J103/References!$G$52</f>
        <v>44.68142625572213</v>
      </c>
      <c r="L103" s="67">
        <f t="shared" si="95"/>
        <v>3.7234521879768443</v>
      </c>
      <c r="M103" s="148">
        <v>90.043223028438589</v>
      </c>
      <c r="N103" s="67">
        <f t="shared" si="83"/>
        <v>93.766675216415436</v>
      </c>
      <c r="O103" s="67"/>
      <c r="P103" s="67"/>
      <c r="Q103" s="67"/>
      <c r="R103" s="67"/>
      <c r="S103" s="67"/>
      <c r="T103" s="67"/>
      <c r="U103" s="60"/>
      <c r="V103" s="60"/>
    </row>
    <row r="104" spans="1:22">
      <c r="A104" s="125"/>
      <c r="B104" s="102" t="s">
        <v>149</v>
      </c>
      <c r="C104" s="58" t="s">
        <v>158</v>
      </c>
      <c r="D104" s="146">
        <v>1</v>
      </c>
      <c r="E104" s="69">
        <v>1</v>
      </c>
      <c r="F104" s="113">
        <f t="shared" si="91"/>
        <v>12</v>
      </c>
      <c r="G104" s="114">
        <f t="shared" si="92"/>
        <v>840</v>
      </c>
      <c r="H104" s="68">
        <f t="shared" si="93"/>
        <v>10080</v>
      </c>
      <c r="I104" s="47">
        <f t="shared" si="94"/>
        <v>8114.0926738401276</v>
      </c>
      <c r="J104" s="67">
        <f>(References!$C$49*I104)</f>
        <v>59.476299299248161</v>
      </c>
      <c r="K104" s="67">
        <f>J104/References!$G$52</f>
        <v>61.227403025785627</v>
      </c>
      <c r="L104" s="67">
        <f t="shared" si="95"/>
        <v>5.1022835854821356</v>
      </c>
      <c r="M104" s="148">
        <v>134.59157163639128</v>
      </c>
      <c r="N104" s="67">
        <f t="shared" si="83"/>
        <v>139.69385522187341</v>
      </c>
      <c r="O104" s="67"/>
      <c r="P104" s="67"/>
      <c r="Q104" s="67"/>
      <c r="R104" s="67"/>
      <c r="S104" s="67"/>
      <c r="T104" s="67"/>
      <c r="U104" s="60"/>
      <c r="V104" s="60"/>
    </row>
    <row r="105" spans="1:22">
      <c r="A105" s="125"/>
      <c r="B105" s="102" t="s">
        <v>149</v>
      </c>
      <c r="C105" s="58" t="s">
        <v>159</v>
      </c>
      <c r="D105" s="146">
        <v>1</v>
      </c>
      <c r="E105" s="69">
        <v>1</v>
      </c>
      <c r="F105" s="113">
        <f t="shared" ref="F105:F109" si="96">D105*E105*12</f>
        <v>12</v>
      </c>
      <c r="G105" s="114">
        <f t="shared" si="92"/>
        <v>980</v>
      </c>
      <c r="H105" s="68">
        <f t="shared" si="93"/>
        <v>11760</v>
      </c>
      <c r="I105" s="47">
        <f t="shared" si="94"/>
        <v>9466.4414528134821</v>
      </c>
      <c r="J105" s="67">
        <f>(References!$C$49*I105)</f>
        <v>69.389015849122856</v>
      </c>
      <c r="K105" s="67">
        <f>J105/References!$G$52</f>
        <v>71.431970196749901</v>
      </c>
      <c r="L105" s="67">
        <f t="shared" si="95"/>
        <v>5.9526641830624918</v>
      </c>
      <c r="M105" s="148">
        <v>164.58296419388674</v>
      </c>
      <c r="N105" s="67">
        <f t="shared" si="83"/>
        <v>170.53562837694923</v>
      </c>
      <c r="O105" s="67"/>
      <c r="P105" s="67"/>
      <c r="Q105" s="67"/>
      <c r="R105" s="67"/>
      <c r="S105" s="67"/>
      <c r="T105" s="67"/>
      <c r="U105" s="60"/>
      <c r="V105" s="60"/>
    </row>
    <row r="106" spans="1:22">
      <c r="A106" s="125"/>
      <c r="B106" s="43" t="s">
        <v>143</v>
      </c>
      <c r="C106" s="58" t="s">
        <v>129</v>
      </c>
      <c r="D106" s="146">
        <v>1</v>
      </c>
      <c r="E106" s="69">
        <v>1</v>
      </c>
      <c r="F106" s="113">
        <f t="shared" si="96"/>
        <v>12</v>
      </c>
      <c r="G106" s="114">
        <f>+References!B26</f>
        <v>29</v>
      </c>
      <c r="H106" s="68">
        <f t="shared" ref="H106:H109" si="97">G106*F106</f>
        <v>348</v>
      </c>
      <c r="I106" s="47">
        <f t="shared" ref="I106:I109" si="98">$D$124*H106</f>
        <v>280.12938993019486</v>
      </c>
      <c r="J106" s="67">
        <f>(References!$C$49*I106)</f>
        <v>2.0533484281883294</v>
      </c>
      <c r="K106" s="67">
        <f>J106/References!$G$52</f>
        <v>2.113803199699742</v>
      </c>
      <c r="L106" s="67">
        <f t="shared" ref="L106:L109" si="99">K106/F106</f>
        <v>0.17615026664164515</v>
      </c>
      <c r="M106" s="148">
        <v>4.5396773332804923</v>
      </c>
      <c r="N106" s="67">
        <f t="shared" si="83"/>
        <v>4.7158275999221377</v>
      </c>
      <c r="O106" s="67"/>
      <c r="P106" s="67"/>
      <c r="Q106" s="67"/>
      <c r="R106" s="67"/>
      <c r="S106" s="67"/>
      <c r="T106" s="67"/>
      <c r="U106" s="60"/>
      <c r="V106" s="60"/>
    </row>
    <row r="107" spans="1:22">
      <c r="A107" s="125"/>
      <c r="B107" s="43" t="s">
        <v>143</v>
      </c>
      <c r="C107" s="58" t="s">
        <v>297</v>
      </c>
      <c r="D107" s="146">
        <v>1</v>
      </c>
      <c r="E107" s="69">
        <v>1</v>
      </c>
      <c r="F107" s="113">
        <f t="shared" si="96"/>
        <v>12</v>
      </c>
      <c r="G107" s="114">
        <f>+References!B21</f>
        <v>47</v>
      </c>
      <c r="H107" s="68">
        <f t="shared" si="97"/>
        <v>564</v>
      </c>
      <c r="I107" s="47">
        <f t="shared" si="98"/>
        <v>454.00280436962618</v>
      </c>
      <c r="J107" s="67">
        <f>(References!$C$49*I107)</f>
        <v>3.3278405560293614</v>
      </c>
      <c r="K107" s="67">
        <f>J107/References!$G$52</f>
        <v>3.4258189788237194</v>
      </c>
      <c r="L107" s="67">
        <f t="shared" si="99"/>
        <v>0.28548491490197664</v>
      </c>
      <c r="M107" s="148">
        <v>7.4094368622923463</v>
      </c>
      <c r="N107" s="67">
        <f t="shared" si="83"/>
        <v>7.694921777194323</v>
      </c>
      <c r="O107" s="67"/>
      <c r="P107" s="67"/>
      <c r="Q107" s="67"/>
      <c r="R107" s="67"/>
      <c r="S107" s="67"/>
      <c r="T107" s="67"/>
      <c r="U107" s="60"/>
      <c r="V107" s="60"/>
    </row>
    <row r="108" spans="1:22">
      <c r="A108" s="125"/>
      <c r="B108" s="43" t="s">
        <v>143</v>
      </c>
      <c r="C108" s="58" t="s">
        <v>130</v>
      </c>
      <c r="D108" s="146">
        <v>1</v>
      </c>
      <c r="E108" s="69">
        <v>1</v>
      </c>
      <c r="F108" s="113">
        <f t="shared" si="96"/>
        <v>12</v>
      </c>
      <c r="G108" s="114">
        <f>+References!B22</f>
        <v>68</v>
      </c>
      <c r="H108" s="68">
        <f t="shared" si="97"/>
        <v>816</v>
      </c>
      <c r="I108" s="47">
        <f t="shared" si="98"/>
        <v>656.85512121562942</v>
      </c>
      <c r="J108" s="67">
        <f>(References!$C$49*I108)</f>
        <v>4.8147480385105661</v>
      </c>
      <c r="K108" s="67">
        <f>J108/References!$G$52</f>
        <v>4.9565040544683612</v>
      </c>
      <c r="L108" s="67">
        <f t="shared" si="99"/>
        <v>0.41304200453903012</v>
      </c>
      <c r="M108" s="148">
        <v>11.059936169707635</v>
      </c>
      <c r="N108" s="67">
        <f t="shared" si="83"/>
        <v>11.472978174246665</v>
      </c>
      <c r="O108" s="67"/>
      <c r="P108" s="67"/>
      <c r="Q108" s="67"/>
      <c r="R108" s="67"/>
      <c r="S108" s="67"/>
      <c r="T108" s="67"/>
      <c r="U108" s="60"/>
      <c r="V108" s="60"/>
    </row>
    <row r="109" spans="1:22">
      <c r="A109" s="125"/>
      <c r="B109" s="43" t="s">
        <v>143</v>
      </c>
      <c r="C109" s="58" t="s">
        <v>131</v>
      </c>
      <c r="D109" s="146">
        <v>1</v>
      </c>
      <c r="E109" s="69">
        <v>1</v>
      </c>
      <c r="F109" s="113">
        <f t="shared" si="96"/>
        <v>12</v>
      </c>
      <c r="G109" s="114">
        <f>+References!B28</f>
        <v>250</v>
      </c>
      <c r="H109" s="68">
        <f t="shared" si="97"/>
        <v>3000</v>
      </c>
      <c r="I109" s="47">
        <f t="shared" si="98"/>
        <v>2414.9085338809905</v>
      </c>
      <c r="J109" s="67">
        <f>(References!$C$49*I109)</f>
        <v>17.701279553347668</v>
      </c>
      <c r="K109" s="67">
        <f>J109/References!$G$52</f>
        <v>18.222441376721914</v>
      </c>
      <c r="L109" s="67">
        <f t="shared" si="99"/>
        <v>1.5185367813934929</v>
      </c>
      <c r="M109" s="148">
        <v>33.064685936355858</v>
      </c>
      <c r="N109" s="67">
        <f t="shared" si="83"/>
        <v>34.583222717749351</v>
      </c>
      <c r="O109" s="67"/>
      <c r="P109" s="67"/>
      <c r="Q109" s="67"/>
      <c r="R109" s="67"/>
      <c r="S109" s="67"/>
      <c r="T109" s="67"/>
      <c r="U109" s="60"/>
      <c r="V109" s="60"/>
    </row>
    <row r="110" spans="1:22">
      <c r="A110" s="125"/>
      <c r="B110" s="43" t="s">
        <v>143</v>
      </c>
      <c r="C110" s="58" t="s">
        <v>160</v>
      </c>
      <c r="D110" s="146">
        <v>1</v>
      </c>
      <c r="E110" s="69">
        <v>1</v>
      </c>
      <c r="F110" s="113">
        <f t="shared" ref="F110:F112" si="100">D110*E110*12</f>
        <v>12</v>
      </c>
      <c r="G110" s="114">
        <f>+References!B27</f>
        <v>175</v>
      </c>
      <c r="H110" s="68">
        <f t="shared" ref="H110:H112" si="101">G110*F110</f>
        <v>2100</v>
      </c>
      <c r="I110" s="47">
        <f>$D$124*H110</f>
        <v>1690.4359737166933</v>
      </c>
      <c r="J110" s="67">
        <f>(References!$C$49*I110)</f>
        <v>12.390895687343367</v>
      </c>
      <c r="K110" s="67">
        <f>J110/References!$G$52</f>
        <v>12.755708963705338</v>
      </c>
      <c r="L110" s="67">
        <f t="shared" ref="L110:L112" si="102">K110/F110</f>
        <v>1.0629757469754448</v>
      </c>
      <c r="M110" s="148">
        <v>25.428760785147166</v>
      </c>
      <c r="N110" s="67">
        <f t="shared" ref="N110:N112" si="103">L110+M110</f>
        <v>26.491736532122609</v>
      </c>
      <c r="O110" s="67"/>
      <c r="P110" s="67"/>
      <c r="Q110" s="67"/>
      <c r="R110" s="67"/>
      <c r="S110" s="67"/>
      <c r="T110" s="67"/>
      <c r="U110" s="60"/>
      <c r="V110" s="60"/>
    </row>
    <row r="111" spans="1:22">
      <c r="A111" s="125"/>
      <c r="B111" s="43" t="s">
        <v>143</v>
      </c>
      <c r="C111" s="58" t="s">
        <v>161</v>
      </c>
      <c r="D111" s="146">
        <v>1</v>
      </c>
      <c r="E111" s="69">
        <v>1</v>
      </c>
      <c r="F111" s="113">
        <f t="shared" si="100"/>
        <v>12</v>
      </c>
      <c r="G111" s="114">
        <f>+References!B28</f>
        <v>250</v>
      </c>
      <c r="H111" s="68">
        <f t="shared" si="101"/>
        <v>3000</v>
      </c>
      <c r="I111" s="47">
        <f>$D$124*H111</f>
        <v>2414.9085338809905</v>
      </c>
      <c r="J111" s="67">
        <f>(References!$C$49*I111)</f>
        <v>17.701279553347668</v>
      </c>
      <c r="K111" s="67">
        <f>J111/References!$G$52</f>
        <v>18.222441376721914</v>
      </c>
      <c r="L111" s="67">
        <f t="shared" si="102"/>
        <v>1.5185367813934929</v>
      </c>
      <c r="M111" s="148">
        <v>33.064685936355858</v>
      </c>
      <c r="N111" s="67">
        <f t="shared" si="103"/>
        <v>34.583222717749351</v>
      </c>
      <c r="O111" s="67"/>
      <c r="P111" s="67"/>
      <c r="Q111" s="67"/>
      <c r="R111" s="67"/>
      <c r="S111" s="67"/>
      <c r="T111" s="67"/>
      <c r="U111" s="60"/>
      <c r="V111" s="60"/>
    </row>
    <row r="112" spans="1:22">
      <c r="A112" s="125"/>
      <c r="B112" s="43" t="s">
        <v>143</v>
      </c>
      <c r="C112" s="58" t="s">
        <v>162</v>
      </c>
      <c r="D112" s="146">
        <v>1</v>
      </c>
      <c r="E112" s="69">
        <v>1</v>
      </c>
      <c r="F112" s="113">
        <f t="shared" si="100"/>
        <v>12</v>
      </c>
      <c r="G112" s="114">
        <f>+References!B29</f>
        <v>324</v>
      </c>
      <c r="H112" s="68">
        <f t="shared" si="101"/>
        <v>3888</v>
      </c>
      <c r="I112" s="47">
        <f>$D$124*H112</f>
        <v>3129.7214599097633</v>
      </c>
      <c r="J112" s="67">
        <f>(References!$C$49*I112)</f>
        <v>22.940858301138576</v>
      </c>
      <c r="K112" s="67">
        <f>J112/References!$G$52</f>
        <v>23.6162840242316</v>
      </c>
      <c r="L112" s="67">
        <f t="shared" si="102"/>
        <v>1.9680236686859667</v>
      </c>
      <c r="M112" s="148">
        <v>48.138456332404303</v>
      </c>
      <c r="N112" s="67">
        <f t="shared" si="103"/>
        <v>50.106480001090269</v>
      </c>
      <c r="O112" s="67"/>
      <c r="P112" s="67"/>
      <c r="Q112" s="67"/>
      <c r="R112" s="67"/>
      <c r="S112" s="67"/>
      <c r="T112" s="67"/>
      <c r="U112" s="60"/>
      <c r="V112" s="60"/>
    </row>
    <row r="113" spans="1:22">
      <c r="A113" s="125"/>
      <c r="B113" s="43" t="s">
        <v>167</v>
      </c>
      <c r="C113" s="60" t="s">
        <v>168</v>
      </c>
      <c r="D113" s="146">
        <v>1</v>
      </c>
      <c r="E113" s="69">
        <v>1</v>
      </c>
      <c r="F113" s="113">
        <f t="shared" ref="F113:F114" si="104">D113*E113*12</f>
        <v>12</v>
      </c>
      <c r="G113" s="114">
        <f>+References!B42</f>
        <v>125</v>
      </c>
      <c r="H113" s="68">
        <f t="shared" ref="H113:H114" si="105">G113*F113</f>
        <v>1500</v>
      </c>
      <c r="I113" s="47">
        <f t="shared" ref="I113:I114" si="106">$D$124*H113</f>
        <v>1207.4542669404952</v>
      </c>
      <c r="J113" s="67">
        <f>(References!$C$49*I113)</f>
        <v>8.8506397766738338</v>
      </c>
      <c r="K113" s="67">
        <f>J113/References!$G$52</f>
        <v>9.111220688360957</v>
      </c>
      <c r="L113" s="67">
        <f t="shared" ref="L113:L114" si="107">K113/F113</f>
        <v>0.75926839069674645</v>
      </c>
      <c r="M113" s="148">
        <v>17.579999999999998</v>
      </c>
      <c r="N113" s="67">
        <f t="shared" ref="N113:N114" si="108">L113+M113</f>
        <v>18.339268390696745</v>
      </c>
      <c r="O113" s="67"/>
      <c r="P113" s="67"/>
      <c r="Q113" s="67"/>
      <c r="R113" s="67"/>
      <c r="S113" s="67"/>
      <c r="T113" s="67"/>
      <c r="U113" s="60"/>
      <c r="V113" s="60"/>
    </row>
    <row r="114" spans="1:22">
      <c r="A114" s="125"/>
      <c r="B114" s="43" t="s">
        <v>167</v>
      </c>
      <c r="C114" s="60" t="s">
        <v>169</v>
      </c>
      <c r="D114" s="146">
        <v>1</v>
      </c>
      <c r="E114" s="69">
        <v>1</v>
      </c>
      <c r="F114" s="113">
        <f t="shared" si="104"/>
        <v>12</v>
      </c>
      <c r="G114" s="114">
        <f>+References!B42</f>
        <v>125</v>
      </c>
      <c r="H114" s="68">
        <f t="shared" si="105"/>
        <v>1500</v>
      </c>
      <c r="I114" s="47">
        <f t="shared" si="106"/>
        <v>1207.4542669404952</v>
      </c>
      <c r="J114" s="67">
        <f>(References!$C$49*I114)</f>
        <v>8.8506397766738338</v>
      </c>
      <c r="K114" s="67">
        <f>J114/References!$G$52</f>
        <v>9.111220688360957</v>
      </c>
      <c r="L114" s="67">
        <f t="shared" si="107"/>
        <v>0.75926839069674645</v>
      </c>
      <c r="M114" s="148">
        <v>17.579999999999998</v>
      </c>
      <c r="N114" s="67">
        <f t="shared" si="108"/>
        <v>18.339268390696745</v>
      </c>
      <c r="O114" s="67"/>
      <c r="P114" s="67"/>
      <c r="Q114" s="67"/>
      <c r="R114" s="67"/>
      <c r="S114" s="67"/>
      <c r="T114" s="67"/>
      <c r="U114" s="60"/>
      <c r="V114" s="60"/>
    </row>
    <row r="115" spans="1:22">
      <c r="A115" s="129"/>
      <c r="B115" s="130"/>
      <c r="C115" s="131"/>
      <c r="D115" s="132"/>
      <c r="E115" s="133"/>
      <c r="F115" s="134"/>
      <c r="G115" s="135"/>
      <c r="H115" s="136"/>
      <c r="I115" s="137"/>
      <c r="J115" s="138"/>
      <c r="K115" s="138"/>
      <c r="L115" s="138"/>
      <c r="M115" s="139"/>
      <c r="N115" s="138"/>
      <c r="O115" s="67"/>
      <c r="P115" s="67"/>
      <c r="Q115" s="67"/>
      <c r="R115" s="67"/>
      <c r="S115" s="67"/>
      <c r="T115" s="67"/>
      <c r="U115" s="60"/>
      <c r="V115" s="60"/>
    </row>
    <row r="116" spans="1:22">
      <c r="A116" s="63"/>
      <c r="C116" s="78"/>
      <c r="D116" s="39"/>
      <c r="E116" s="31"/>
      <c r="F116" s="57"/>
      <c r="G116" s="99"/>
      <c r="H116" s="57"/>
      <c r="J116" s="67"/>
      <c r="K116" s="80"/>
      <c r="L116" s="80"/>
      <c r="M116" s="80"/>
      <c r="N116" s="80"/>
      <c r="O116" s="60"/>
      <c r="P116" s="85"/>
      <c r="Q116" s="60"/>
      <c r="R116" s="60"/>
      <c r="S116" s="60"/>
      <c r="T116" s="110">
        <f>References!B55</f>
        <v>340127.95664337679</v>
      </c>
    </row>
    <row r="117" spans="1:22">
      <c r="A117" s="63"/>
      <c r="C117" s="66"/>
      <c r="P117" s="61"/>
      <c r="T117" s="44">
        <f>T116-T50</f>
        <v>0</v>
      </c>
    </row>
    <row r="118" spans="1:22">
      <c r="A118" s="63"/>
      <c r="C118" s="66"/>
      <c r="P118" s="61"/>
    </row>
    <row r="119" spans="1:22">
      <c r="A119" s="63"/>
      <c r="C119" s="279" t="s">
        <v>90</v>
      </c>
      <c r="D119" s="279"/>
      <c r="E119" s="77"/>
      <c r="F119" s="77"/>
      <c r="H119" s="140"/>
    </row>
    <row r="120" spans="1:22">
      <c r="A120" s="63"/>
      <c r="D120" s="55" t="s">
        <v>17</v>
      </c>
      <c r="E120" s="38"/>
      <c r="F120" s="38"/>
      <c r="H120" s="140"/>
      <c r="J120" s="42"/>
      <c r="O120" s="59"/>
    </row>
    <row r="121" spans="1:22">
      <c r="A121" s="63"/>
      <c r="C121" s="58" t="s">
        <v>33</v>
      </c>
      <c r="D121" s="150">
        <f>SUM(Disposal!T33,Disposal!T43)</f>
        <v>22537.537318102022</v>
      </c>
      <c r="E121" s="57"/>
      <c r="F121" s="57"/>
      <c r="G121" s="100"/>
      <c r="H121" s="79"/>
      <c r="J121" s="42"/>
      <c r="O121" s="59"/>
    </row>
    <row r="122" spans="1:22">
      <c r="A122" s="63"/>
      <c r="C122" s="58" t="s">
        <v>34</v>
      </c>
      <c r="D122" s="36">
        <f>D121*2000</f>
        <v>45075074.636204042</v>
      </c>
      <c r="E122" s="36"/>
      <c r="F122" s="36"/>
      <c r="H122" s="87"/>
      <c r="J122" s="42"/>
    </row>
    <row r="123" spans="1:22">
      <c r="A123" s="63"/>
      <c r="C123" s="58" t="s">
        <v>5</v>
      </c>
      <c r="D123" s="36">
        <f>F50</f>
        <v>1157592.4834666664</v>
      </c>
      <c r="E123" s="57"/>
      <c r="F123" s="57"/>
      <c r="H123" s="88"/>
      <c r="J123" s="42"/>
      <c r="O123" s="59"/>
    </row>
    <row r="124" spans="1:22">
      <c r="C124" s="43" t="s">
        <v>12</v>
      </c>
      <c r="D124" s="35">
        <f>D122/$H$50</f>
        <v>0.80496951129366345</v>
      </c>
      <c r="E124" s="35"/>
      <c r="F124" s="35"/>
      <c r="H124" s="30"/>
      <c r="J124" s="42"/>
      <c r="M124" s="41"/>
      <c r="N124" s="41"/>
      <c r="O124" s="40"/>
    </row>
    <row r="125" spans="1:22">
      <c r="G125" s="100"/>
      <c r="H125" s="32"/>
      <c r="J125" s="42"/>
      <c r="M125" s="44"/>
      <c r="N125" s="29"/>
      <c r="O125" s="61"/>
    </row>
    <row r="126" spans="1:22">
      <c r="D126" s="34"/>
      <c r="E126" s="33"/>
      <c r="G126" s="100"/>
      <c r="H126" s="32"/>
      <c r="J126" s="42"/>
      <c r="M126" s="44"/>
      <c r="N126" s="29"/>
      <c r="O126" s="61"/>
    </row>
    <row r="127" spans="1:22">
      <c r="D127" s="34"/>
      <c r="E127" s="33"/>
      <c r="G127" s="100"/>
      <c r="H127" s="32"/>
      <c r="J127" s="42"/>
      <c r="M127" s="44"/>
      <c r="N127" s="29"/>
      <c r="O127" s="61"/>
    </row>
    <row r="128" spans="1:22">
      <c r="D128" s="58"/>
      <c r="I128" s="58"/>
    </row>
    <row r="129" spans="4:9">
      <c r="D129" s="58"/>
      <c r="E129" s="42"/>
      <c r="I129" s="58"/>
    </row>
    <row r="130" spans="4:9">
      <c r="D130" s="58"/>
      <c r="I130" s="58"/>
    </row>
    <row r="131" spans="4:9">
      <c r="D131" s="58"/>
      <c r="I131" s="58"/>
    </row>
    <row r="132" spans="4:9">
      <c r="D132" s="58"/>
    </row>
  </sheetData>
  <mergeCells count="4">
    <mergeCell ref="C119:D119"/>
    <mergeCell ref="A39:A43"/>
    <mergeCell ref="A2:A9"/>
    <mergeCell ref="A15:A21"/>
  </mergeCells>
  <pageMargins left="0.2" right="0.22" top="0.63" bottom="0.34" header="0.19" footer="0.17"/>
  <pageSetup paperSize="5" scale="34" fitToHeight="0" orientation="landscape" r:id="rId1"/>
  <headerFooter>
    <oddHeader>&amp;C&amp;12
Disposal Fee Staff Calculations</oddHeader>
    <oddFooter>&amp;L&amp;F - &amp;A&amp;C&amp;D&amp;R&amp;P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F681F-E952-4F57-BDF4-10A0A02E3262}">
  <dimension ref="A1:AB152"/>
  <sheetViews>
    <sheetView topLeftCell="A40" zoomScaleNormal="100" workbookViewId="0">
      <pane xSplit="1" topLeftCell="B1" activePane="topRight" state="frozen"/>
      <selection pane="topRight" activeCell="B89" sqref="B89"/>
    </sheetView>
  </sheetViews>
  <sheetFormatPr defaultRowHeight="14.5"/>
  <cols>
    <col min="1" max="1" width="68.54296875" bestFit="1" customWidth="1"/>
    <col min="2" max="2" width="16.26953125" bestFit="1" customWidth="1"/>
    <col min="3" max="3" width="8.81640625" style="166" bestFit="1" customWidth="1"/>
    <col min="4" max="4" width="19.26953125" style="167" bestFit="1" customWidth="1"/>
    <col min="5" max="5" width="10.7265625" style="167" bestFit="1" customWidth="1"/>
    <col min="6" max="6" width="18.81640625" style="167" customWidth="1"/>
    <col min="7" max="7" width="11.1796875" bestFit="1" customWidth="1"/>
    <col min="8" max="8" width="26.81640625" customWidth="1"/>
    <col min="257" max="257" width="68.54296875" bestFit="1" customWidth="1"/>
    <col min="258" max="258" width="12.54296875" bestFit="1" customWidth="1"/>
    <col min="259" max="259" width="8.81640625" bestFit="1" customWidth="1"/>
    <col min="260" max="260" width="19.26953125" bestFit="1" customWidth="1"/>
    <col min="261" max="261" width="10.7265625" bestFit="1" customWidth="1"/>
    <col min="262" max="262" width="18.81640625" customWidth="1"/>
    <col min="263" max="263" width="11.1796875" bestFit="1" customWidth="1"/>
    <col min="264" max="264" width="26.81640625" customWidth="1"/>
    <col min="513" max="513" width="68.54296875" bestFit="1" customWidth="1"/>
    <col min="514" max="514" width="12.54296875" bestFit="1" customWidth="1"/>
    <col min="515" max="515" width="8.81640625" bestFit="1" customWidth="1"/>
    <col min="516" max="516" width="19.26953125" bestFit="1" customWidth="1"/>
    <col min="517" max="517" width="10.7265625" bestFit="1" customWidth="1"/>
    <col min="518" max="518" width="18.81640625" customWidth="1"/>
    <col min="519" max="519" width="11.1796875" bestFit="1" customWidth="1"/>
    <col min="520" max="520" width="26.81640625" customWidth="1"/>
    <col min="769" max="769" width="68.54296875" bestFit="1" customWidth="1"/>
    <col min="770" max="770" width="12.54296875" bestFit="1" customWidth="1"/>
    <col min="771" max="771" width="8.81640625" bestFit="1" customWidth="1"/>
    <col min="772" max="772" width="19.26953125" bestFit="1" customWidth="1"/>
    <col min="773" max="773" width="10.7265625" bestFit="1" customWidth="1"/>
    <col min="774" max="774" width="18.81640625" customWidth="1"/>
    <col min="775" max="775" width="11.1796875" bestFit="1" customWidth="1"/>
    <col min="776" max="776" width="26.81640625" customWidth="1"/>
    <col min="1025" max="1025" width="68.54296875" bestFit="1" customWidth="1"/>
    <col min="1026" max="1026" width="12.54296875" bestFit="1" customWidth="1"/>
    <col min="1027" max="1027" width="8.81640625" bestFit="1" customWidth="1"/>
    <col min="1028" max="1028" width="19.26953125" bestFit="1" customWidth="1"/>
    <col min="1029" max="1029" width="10.7265625" bestFit="1" customWidth="1"/>
    <col min="1030" max="1030" width="18.81640625" customWidth="1"/>
    <col min="1031" max="1031" width="11.1796875" bestFit="1" customWidth="1"/>
    <col min="1032" max="1032" width="26.81640625" customWidth="1"/>
    <col min="1281" max="1281" width="68.54296875" bestFit="1" customWidth="1"/>
    <col min="1282" max="1282" width="12.54296875" bestFit="1" customWidth="1"/>
    <col min="1283" max="1283" width="8.81640625" bestFit="1" customWidth="1"/>
    <col min="1284" max="1284" width="19.26953125" bestFit="1" customWidth="1"/>
    <col min="1285" max="1285" width="10.7265625" bestFit="1" customWidth="1"/>
    <col min="1286" max="1286" width="18.81640625" customWidth="1"/>
    <col min="1287" max="1287" width="11.1796875" bestFit="1" customWidth="1"/>
    <col min="1288" max="1288" width="26.81640625" customWidth="1"/>
    <col min="1537" max="1537" width="68.54296875" bestFit="1" customWidth="1"/>
    <col min="1538" max="1538" width="12.54296875" bestFit="1" customWidth="1"/>
    <col min="1539" max="1539" width="8.81640625" bestFit="1" customWidth="1"/>
    <col min="1540" max="1540" width="19.26953125" bestFit="1" customWidth="1"/>
    <col min="1541" max="1541" width="10.7265625" bestFit="1" customWidth="1"/>
    <col min="1542" max="1542" width="18.81640625" customWidth="1"/>
    <col min="1543" max="1543" width="11.1796875" bestFit="1" customWidth="1"/>
    <col min="1544" max="1544" width="26.81640625" customWidth="1"/>
    <col min="1793" max="1793" width="68.54296875" bestFit="1" customWidth="1"/>
    <col min="1794" max="1794" width="12.54296875" bestFit="1" customWidth="1"/>
    <col min="1795" max="1795" width="8.81640625" bestFit="1" customWidth="1"/>
    <col min="1796" max="1796" width="19.26953125" bestFit="1" customWidth="1"/>
    <col min="1797" max="1797" width="10.7265625" bestFit="1" customWidth="1"/>
    <col min="1798" max="1798" width="18.81640625" customWidth="1"/>
    <col min="1799" max="1799" width="11.1796875" bestFit="1" customWidth="1"/>
    <col min="1800" max="1800" width="26.81640625" customWidth="1"/>
    <col min="2049" max="2049" width="68.54296875" bestFit="1" customWidth="1"/>
    <col min="2050" max="2050" width="12.54296875" bestFit="1" customWidth="1"/>
    <col min="2051" max="2051" width="8.81640625" bestFit="1" customWidth="1"/>
    <col min="2052" max="2052" width="19.26953125" bestFit="1" customWidth="1"/>
    <col min="2053" max="2053" width="10.7265625" bestFit="1" customWidth="1"/>
    <col min="2054" max="2054" width="18.81640625" customWidth="1"/>
    <col min="2055" max="2055" width="11.1796875" bestFit="1" customWidth="1"/>
    <col min="2056" max="2056" width="26.81640625" customWidth="1"/>
    <col min="2305" max="2305" width="68.54296875" bestFit="1" customWidth="1"/>
    <col min="2306" max="2306" width="12.54296875" bestFit="1" customWidth="1"/>
    <col min="2307" max="2307" width="8.81640625" bestFit="1" customWidth="1"/>
    <col min="2308" max="2308" width="19.26953125" bestFit="1" customWidth="1"/>
    <col min="2309" max="2309" width="10.7265625" bestFit="1" customWidth="1"/>
    <col min="2310" max="2310" width="18.81640625" customWidth="1"/>
    <col min="2311" max="2311" width="11.1796875" bestFit="1" customWidth="1"/>
    <col min="2312" max="2312" width="26.81640625" customWidth="1"/>
    <col min="2561" max="2561" width="68.54296875" bestFit="1" customWidth="1"/>
    <col min="2562" max="2562" width="12.54296875" bestFit="1" customWidth="1"/>
    <col min="2563" max="2563" width="8.81640625" bestFit="1" customWidth="1"/>
    <col min="2564" max="2564" width="19.26953125" bestFit="1" customWidth="1"/>
    <col min="2565" max="2565" width="10.7265625" bestFit="1" customWidth="1"/>
    <col min="2566" max="2566" width="18.81640625" customWidth="1"/>
    <col min="2567" max="2567" width="11.1796875" bestFit="1" customWidth="1"/>
    <col min="2568" max="2568" width="26.81640625" customWidth="1"/>
    <col min="2817" max="2817" width="68.54296875" bestFit="1" customWidth="1"/>
    <col min="2818" max="2818" width="12.54296875" bestFit="1" customWidth="1"/>
    <col min="2819" max="2819" width="8.81640625" bestFit="1" customWidth="1"/>
    <col min="2820" max="2820" width="19.26953125" bestFit="1" customWidth="1"/>
    <col min="2821" max="2821" width="10.7265625" bestFit="1" customWidth="1"/>
    <col min="2822" max="2822" width="18.81640625" customWidth="1"/>
    <col min="2823" max="2823" width="11.1796875" bestFit="1" customWidth="1"/>
    <col min="2824" max="2824" width="26.81640625" customWidth="1"/>
    <col min="3073" max="3073" width="68.54296875" bestFit="1" customWidth="1"/>
    <col min="3074" max="3074" width="12.54296875" bestFit="1" customWidth="1"/>
    <col min="3075" max="3075" width="8.81640625" bestFit="1" customWidth="1"/>
    <col min="3076" max="3076" width="19.26953125" bestFit="1" customWidth="1"/>
    <col min="3077" max="3077" width="10.7265625" bestFit="1" customWidth="1"/>
    <col min="3078" max="3078" width="18.81640625" customWidth="1"/>
    <col min="3079" max="3079" width="11.1796875" bestFit="1" customWidth="1"/>
    <col min="3080" max="3080" width="26.81640625" customWidth="1"/>
    <col min="3329" max="3329" width="68.54296875" bestFit="1" customWidth="1"/>
    <col min="3330" max="3330" width="12.54296875" bestFit="1" customWidth="1"/>
    <col min="3331" max="3331" width="8.81640625" bestFit="1" customWidth="1"/>
    <col min="3332" max="3332" width="19.26953125" bestFit="1" customWidth="1"/>
    <col min="3333" max="3333" width="10.7265625" bestFit="1" customWidth="1"/>
    <col min="3334" max="3334" width="18.81640625" customWidth="1"/>
    <col min="3335" max="3335" width="11.1796875" bestFit="1" customWidth="1"/>
    <col min="3336" max="3336" width="26.81640625" customWidth="1"/>
    <col min="3585" max="3585" width="68.54296875" bestFit="1" customWidth="1"/>
    <col min="3586" max="3586" width="12.54296875" bestFit="1" customWidth="1"/>
    <col min="3587" max="3587" width="8.81640625" bestFit="1" customWidth="1"/>
    <col min="3588" max="3588" width="19.26953125" bestFit="1" customWidth="1"/>
    <col min="3589" max="3589" width="10.7265625" bestFit="1" customWidth="1"/>
    <col min="3590" max="3590" width="18.81640625" customWidth="1"/>
    <col min="3591" max="3591" width="11.1796875" bestFit="1" customWidth="1"/>
    <col min="3592" max="3592" width="26.81640625" customWidth="1"/>
    <col min="3841" max="3841" width="68.54296875" bestFit="1" customWidth="1"/>
    <col min="3842" max="3842" width="12.54296875" bestFit="1" customWidth="1"/>
    <col min="3843" max="3843" width="8.81640625" bestFit="1" customWidth="1"/>
    <col min="3844" max="3844" width="19.26953125" bestFit="1" customWidth="1"/>
    <col min="3845" max="3845" width="10.7265625" bestFit="1" customWidth="1"/>
    <col min="3846" max="3846" width="18.81640625" customWidth="1"/>
    <col min="3847" max="3847" width="11.1796875" bestFit="1" customWidth="1"/>
    <col min="3848" max="3848" width="26.81640625" customWidth="1"/>
    <col min="4097" max="4097" width="68.54296875" bestFit="1" customWidth="1"/>
    <col min="4098" max="4098" width="12.54296875" bestFit="1" customWidth="1"/>
    <col min="4099" max="4099" width="8.81640625" bestFit="1" customWidth="1"/>
    <col min="4100" max="4100" width="19.26953125" bestFit="1" customWidth="1"/>
    <col min="4101" max="4101" width="10.7265625" bestFit="1" customWidth="1"/>
    <col min="4102" max="4102" width="18.81640625" customWidth="1"/>
    <col min="4103" max="4103" width="11.1796875" bestFit="1" customWidth="1"/>
    <col min="4104" max="4104" width="26.81640625" customWidth="1"/>
    <col min="4353" max="4353" width="68.54296875" bestFit="1" customWidth="1"/>
    <col min="4354" max="4354" width="12.54296875" bestFit="1" customWidth="1"/>
    <col min="4355" max="4355" width="8.81640625" bestFit="1" customWidth="1"/>
    <col min="4356" max="4356" width="19.26953125" bestFit="1" customWidth="1"/>
    <col min="4357" max="4357" width="10.7265625" bestFit="1" customWidth="1"/>
    <col min="4358" max="4358" width="18.81640625" customWidth="1"/>
    <col min="4359" max="4359" width="11.1796875" bestFit="1" customWidth="1"/>
    <col min="4360" max="4360" width="26.81640625" customWidth="1"/>
    <col min="4609" max="4609" width="68.54296875" bestFit="1" customWidth="1"/>
    <col min="4610" max="4610" width="12.54296875" bestFit="1" customWidth="1"/>
    <col min="4611" max="4611" width="8.81640625" bestFit="1" customWidth="1"/>
    <col min="4612" max="4612" width="19.26953125" bestFit="1" customWidth="1"/>
    <col min="4613" max="4613" width="10.7265625" bestFit="1" customWidth="1"/>
    <col min="4614" max="4614" width="18.81640625" customWidth="1"/>
    <col min="4615" max="4615" width="11.1796875" bestFit="1" customWidth="1"/>
    <col min="4616" max="4616" width="26.81640625" customWidth="1"/>
    <col min="4865" max="4865" width="68.54296875" bestFit="1" customWidth="1"/>
    <col min="4866" max="4866" width="12.54296875" bestFit="1" customWidth="1"/>
    <col min="4867" max="4867" width="8.81640625" bestFit="1" customWidth="1"/>
    <col min="4868" max="4868" width="19.26953125" bestFit="1" customWidth="1"/>
    <col min="4869" max="4869" width="10.7265625" bestFit="1" customWidth="1"/>
    <col min="4870" max="4870" width="18.81640625" customWidth="1"/>
    <col min="4871" max="4871" width="11.1796875" bestFit="1" customWidth="1"/>
    <col min="4872" max="4872" width="26.81640625" customWidth="1"/>
    <col min="5121" max="5121" width="68.54296875" bestFit="1" customWidth="1"/>
    <col min="5122" max="5122" width="12.54296875" bestFit="1" customWidth="1"/>
    <col min="5123" max="5123" width="8.81640625" bestFit="1" customWidth="1"/>
    <col min="5124" max="5124" width="19.26953125" bestFit="1" customWidth="1"/>
    <col min="5125" max="5125" width="10.7265625" bestFit="1" customWidth="1"/>
    <col min="5126" max="5126" width="18.81640625" customWidth="1"/>
    <col min="5127" max="5127" width="11.1796875" bestFit="1" customWidth="1"/>
    <col min="5128" max="5128" width="26.81640625" customWidth="1"/>
    <col min="5377" max="5377" width="68.54296875" bestFit="1" customWidth="1"/>
    <col min="5378" max="5378" width="12.54296875" bestFit="1" customWidth="1"/>
    <col min="5379" max="5379" width="8.81640625" bestFit="1" customWidth="1"/>
    <col min="5380" max="5380" width="19.26953125" bestFit="1" customWidth="1"/>
    <col min="5381" max="5381" width="10.7265625" bestFit="1" customWidth="1"/>
    <col min="5382" max="5382" width="18.81640625" customWidth="1"/>
    <col min="5383" max="5383" width="11.1796875" bestFit="1" customWidth="1"/>
    <col min="5384" max="5384" width="26.81640625" customWidth="1"/>
    <col min="5633" max="5633" width="68.54296875" bestFit="1" customWidth="1"/>
    <col min="5634" max="5634" width="12.54296875" bestFit="1" customWidth="1"/>
    <col min="5635" max="5635" width="8.81640625" bestFit="1" customWidth="1"/>
    <col min="5636" max="5636" width="19.26953125" bestFit="1" customWidth="1"/>
    <col min="5637" max="5637" width="10.7265625" bestFit="1" customWidth="1"/>
    <col min="5638" max="5638" width="18.81640625" customWidth="1"/>
    <col min="5639" max="5639" width="11.1796875" bestFit="1" customWidth="1"/>
    <col min="5640" max="5640" width="26.81640625" customWidth="1"/>
    <col min="5889" max="5889" width="68.54296875" bestFit="1" customWidth="1"/>
    <col min="5890" max="5890" width="12.54296875" bestFit="1" customWidth="1"/>
    <col min="5891" max="5891" width="8.81640625" bestFit="1" customWidth="1"/>
    <col min="5892" max="5892" width="19.26953125" bestFit="1" customWidth="1"/>
    <col min="5893" max="5893" width="10.7265625" bestFit="1" customWidth="1"/>
    <col min="5894" max="5894" width="18.81640625" customWidth="1"/>
    <col min="5895" max="5895" width="11.1796875" bestFit="1" customWidth="1"/>
    <col min="5896" max="5896" width="26.81640625" customWidth="1"/>
    <col min="6145" max="6145" width="68.54296875" bestFit="1" customWidth="1"/>
    <col min="6146" max="6146" width="12.54296875" bestFit="1" customWidth="1"/>
    <col min="6147" max="6147" width="8.81640625" bestFit="1" customWidth="1"/>
    <col min="6148" max="6148" width="19.26953125" bestFit="1" customWidth="1"/>
    <col min="6149" max="6149" width="10.7265625" bestFit="1" customWidth="1"/>
    <col min="6150" max="6150" width="18.81640625" customWidth="1"/>
    <col min="6151" max="6151" width="11.1796875" bestFit="1" customWidth="1"/>
    <col min="6152" max="6152" width="26.81640625" customWidth="1"/>
    <col min="6401" max="6401" width="68.54296875" bestFit="1" customWidth="1"/>
    <col min="6402" max="6402" width="12.54296875" bestFit="1" customWidth="1"/>
    <col min="6403" max="6403" width="8.81640625" bestFit="1" customWidth="1"/>
    <col min="6404" max="6404" width="19.26953125" bestFit="1" customWidth="1"/>
    <col min="6405" max="6405" width="10.7265625" bestFit="1" customWidth="1"/>
    <col min="6406" max="6406" width="18.81640625" customWidth="1"/>
    <col min="6407" max="6407" width="11.1796875" bestFit="1" customWidth="1"/>
    <col min="6408" max="6408" width="26.81640625" customWidth="1"/>
    <col min="6657" max="6657" width="68.54296875" bestFit="1" customWidth="1"/>
    <col min="6658" max="6658" width="12.54296875" bestFit="1" customWidth="1"/>
    <col min="6659" max="6659" width="8.81640625" bestFit="1" customWidth="1"/>
    <col min="6660" max="6660" width="19.26953125" bestFit="1" customWidth="1"/>
    <col min="6661" max="6661" width="10.7265625" bestFit="1" customWidth="1"/>
    <col min="6662" max="6662" width="18.81640625" customWidth="1"/>
    <col min="6663" max="6663" width="11.1796875" bestFit="1" customWidth="1"/>
    <col min="6664" max="6664" width="26.81640625" customWidth="1"/>
    <col min="6913" max="6913" width="68.54296875" bestFit="1" customWidth="1"/>
    <col min="6914" max="6914" width="12.54296875" bestFit="1" customWidth="1"/>
    <col min="6915" max="6915" width="8.81640625" bestFit="1" customWidth="1"/>
    <col min="6916" max="6916" width="19.26953125" bestFit="1" customWidth="1"/>
    <col min="6917" max="6917" width="10.7265625" bestFit="1" customWidth="1"/>
    <col min="6918" max="6918" width="18.81640625" customWidth="1"/>
    <col min="6919" max="6919" width="11.1796875" bestFit="1" customWidth="1"/>
    <col min="6920" max="6920" width="26.81640625" customWidth="1"/>
    <col min="7169" max="7169" width="68.54296875" bestFit="1" customWidth="1"/>
    <col min="7170" max="7170" width="12.54296875" bestFit="1" customWidth="1"/>
    <col min="7171" max="7171" width="8.81640625" bestFit="1" customWidth="1"/>
    <col min="7172" max="7172" width="19.26953125" bestFit="1" customWidth="1"/>
    <col min="7173" max="7173" width="10.7265625" bestFit="1" customWidth="1"/>
    <col min="7174" max="7174" width="18.81640625" customWidth="1"/>
    <col min="7175" max="7175" width="11.1796875" bestFit="1" customWidth="1"/>
    <col min="7176" max="7176" width="26.81640625" customWidth="1"/>
    <col min="7425" max="7425" width="68.54296875" bestFit="1" customWidth="1"/>
    <col min="7426" max="7426" width="12.54296875" bestFit="1" customWidth="1"/>
    <col min="7427" max="7427" width="8.81640625" bestFit="1" customWidth="1"/>
    <col min="7428" max="7428" width="19.26953125" bestFit="1" customWidth="1"/>
    <col min="7429" max="7429" width="10.7265625" bestFit="1" customWidth="1"/>
    <col min="7430" max="7430" width="18.81640625" customWidth="1"/>
    <col min="7431" max="7431" width="11.1796875" bestFit="1" customWidth="1"/>
    <col min="7432" max="7432" width="26.81640625" customWidth="1"/>
    <col min="7681" max="7681" width="68.54296875" bestFit="1" customWidth="1"/>
    <col min="7682" max="7682" width="12.54296875" bestFit="1" customWidth="1"/>
    <col min="7683" max="7683" width="8.81640625" bestFit="1" customWidth="1"/>
    <col min="7684" max="7684" width="19.26953125" bestFit="1" customWidth="1"/>
    <col min="7685" max="7685" width="10.7265625" bestFit="1" customWidth="1"/>
    <col min="7686" max="7686" width="18.81640625" customWidth="1"/>
    <col min="7687" max="7687" width="11.1796875" bestFit="1" customWidth="1"/>
    <col min="7688" max="7688" width="26.81640625" customWidth="1"/>
    <col min="7937" max="7937" width="68.54296875" bestFit="1" customWidth="1"/>
    <col min="7938" max="7938" width="12.54296875" bestFit="1" customWidth="1"/>
    <col min="7939" max="7939" width="8.81640625" bestFit="1" customWidth="1"/>
    <col min="7940" max="7940" width="19.26953125" bestFit="1" customWidth="1"/>
    <col min="7941" max="7941" width="10.7265625" bestFit="1" customWidth="1"/>
    <col min="7942" max="7942" width="18.81640625" customWidth="1"/>
    <col min="7943" max="7943" width="11.1796875" bestFit="1" customWidth="1"/>
    <col min="7944" max="7944" width="26.81640625" customWidth="1"/>
    <col min="8193" max="8193" width="68.54296875" bestFit="1" customWidth="1"/>
    <col min="8194" max="8194" width="12.54296875" bestFit="1" customWidth="1"/>
    <col min="8195" max="8195" width="8.81640625" bestFit="1" customWidth="1"/>
    <col min="8196" max="8196" width="19.26953125" bestFit="1" customWidth="1"/>
    <col min="8197" max="8197" width="10.7265625" bestFit="1" customWidth="1"/>
    <col min="8198" max="8198" width="18.81640625" customWidth="1"/>
    <col min="8199" max="8199" width="11.1796875" bestFit="1" customWidth="1"/>
    <col min="8200" max="8200" width="26.81640625" customWidth="1"/>
    <col min="8449" max="8449" width="68.54296875" bestFit="1" customWidth="1"/>
    <col min="8450" max="8450" width="12.54296875" bestFit="1" customWidth="1"/>
    <col min="8451" max="8451" width="8.81640625" bestFit="1" customWidth="1"/>
    <col min="8452" max="8452" width="19.26953125" bestFit="1" customWidth="1"/>
    <col min="8453" max="8453" width="10.7265625" bestFit="1" customWidth="1"/>
    <col min="8454" max="8454" width="18.81640625" customWidth="1"/>
    <col min="8455" max="8455" width="11.1796875" bestFit="1" customWidth="1"/>
    <col min="8456" max="8456" width="26.81640625" customWidth="1"/>
    <col min="8705" max="8705" width="68.54296875" bestFit="1" customWidth="1"/>
    <col min="8706" max="8706" width="12.54296875" bestFit="1" customWidth="1"/>
    <col min="8707" max="8707" width="8.81640625" bestFit="1" customWidth="1"/>
    <col min="8708" max="8708" width="19.26953125" bestFit="1" customWidth="1"/>
    <col min="8709" max="8709" width="10.7265625" bestFit="1" customWidth="1"/>
    <col min="8710" max="8710" width="18.81640625" customWidth="1"/>
    <col min="8711" max="8711" width="11.1796875" bestFit="1" customWidth="1"/>
    <col min="8712" max="8712" width="26.81640625" customWidth="1"/>
    <col min="8961" max="8961" width="68.54296875" bestFit="1" customWidth="1"/>
    <col min="8962" max="8962" width="12.54296875" bestFit="1" customWidth="1"/>
    <col min="8963" max="8963" width="8.81640625" bestFit="1" customWidth="1"/>
    <col min="8964" max="8964" width="19.26953125" bestFit="1" customWidth="1"/>
    <col min="8965" max="8965" width="10.7265625" bestFit="1" customWidth="1"/>
    <col min="8966" max="8966" width="18.81640625" customWidth="1"/>
    <col min="8967" max="8967" width="11.1796875" bestFit="1" customWidth="1"/>
    <col min="8968" max="8968" width="26.81640625" customWidth="1"/>
    <col min="9217" max="9217" width="68.54296875" bestFit="1" customWidth="1"/>
    <col min="9218" max="9218" width="12.54296875" bestFit="1" customWidth="1"/>
    <col min="9219" max="9219" width="8.81640625" bestFit="1" customWidth="1"/>
    <col min="9220" max="9220" width="19.26953125" bestFit="1" customWidth="1"/>
    <col min="9221" max="9221" width="10.7265625" bestFit="1" customWidth="1"/>
    <col min="9222" max="9222" width="18.81640625" customWidth="1"/>
    <col min="9223" max="9223" width="11.1796875" bestFit="1" customWidth="1"/>
    <col min="9224" max="9224" width="26.81640625" customWidth="1"/>
    <col min="9473" max="9473" width="68.54296875" bestFit="1" customWidth="1"/>
    <col min="9474" max="9474" width="12.54296875" bestFit="1" customWidth="1"/>
    <col min="9475" max="9475" width="8.81640625" bestFit="1" customWidth="1"/>
    <col min="9476" max="9476" width="19.26953125" bestFit="1" customWidth="1"/>
    <col min="9477" max="9477" width="10.7265625" bestFit="1" customWidth="1"/>
    <col min="9478" max="9478" width="18.81640625" customWidth="1"/>
    <col min="9479" max="9479" width="11.1796875" bestFit="1" customWidth="1"/>
    <col min="9480" max="9480" width="26.81640625" customWidth="1"/>
    <col min="9729" max="9729" width="68.54296875" bestFit="1" customWidth="1"/>
    <col min="9730" max="9730" width="12.54296875" bestFit="1" customWidth="1"/>
    <col min="9731" max="9731" width="8.81640625" bestFit="1" customWidth="1"/>
    <col min="9732" max="9732" width="19.26953125" bestFit="1" customWidth="1"/>
    <col min="9733" max="9733" width="10.7265625" bestFit="1" customWidth="1"/>
    <col min="9734" max="9734" width="18.81640625" customWidth="1"/>
    <col min="9735" max="9735" width="11.1796875" bestFit="1" customWidth="1"/>
    <col min="9736" max="9736" width="26.81640625" customWidth="1"/>
    <col min="9985" max="9985" width="68.54296875" bestFit="1" customWidth="1"/>
    <col min="9986" max="9986" width="12.54296875" bestFit="1" customWidth="1"/>
    <col min="9987" max="9987" width="8.81640625" bestFit="1" customWidth="1"/>
    <col min="9988" max="9988" width="19.26953125" bestFit="1" customWidth="1"/>
    <col min="9989" max="9989" width="10.7265625" bestFit="1" customWidth="1"/>
    <col min="9990" max="9990" width="18.81640625" customWidth="1"/>
    <col min="9991" max="9991" width="11.1796875" bestFit="1" customWidth="1"/>
    <col min="9992" max="9992" width="26.81640625" customWidth="1"/>
    <col min="10241" max="10241" width="68.54296875" bestFit="1" customWidth="1"/>
    <col min="10242" max="10242" width="12.54296875" bestFit="1" customWidth="1"/>
    <col min="10243" max="10243" width="8.81640625" bestFit="1" customWidth="1"/>
    <col min="10244" max="10244" width="19.26953125" bestFit="1" customWidth="1"/>
    <col min="10245" max="10245" width="10.7265625" bestFit="1" customWidth="1"/>
    <col min="10246" max="10246" width="18.81640625" customWidth="1"/>
    <col min="10247" max="10247" width="11.1796875" bestFit="1" customWidth="1"/>
    <col min="10248" max="10248" width="26.81640625" customWidth="1"/>
    <col min="10497" max="10497" width="68.54296875" bestFit="1" customWidth="1"/>
    <col min="10498" max="10498" width="12.54296875" bestFit="1" customWidth="1"/>
    <col min="10499" max="10499" width="8.81640625" bestFit="1" customWidth="1"/>
    <col min="10500" max="10500" width="19.26953125" bestFit="1" customWidth="1"/>
    <col min="10501" max="10501" width="10.7265625" bestFit="1" customWidth="1"/>
    <col min="10502" max="10502" width="18.81640625" customWidth="1"/>
    <col min="10503" max="10503" width="11.1796875" bestFit="1" customWidth="1"/>
    <col min="10504" max="10504" width="26.81640625" customWidth="1"/>
    <col min="10753" max="10753" width="68.54296875" bestFit="1" customWidth="1"/>
    <col min="10754" max="10754" width="12.54296875" bestFit="1" customWidth="1"/>
    <col min="10755" max="10755" width="8.81640625" bestFit="1" customWidth="1"/>
    <col min="10756" max="10756" width="19.26953125" bestFit="1" customWidth="1"/>
    <col min="10757" max="10757" width="10.7265625" bestFit="1" customWidth="1"/>
    <col min="10758" max="10758" width="18.81640625" customWidth="1"/>
    <col min="10759" max="10759" width="11.1796875" bestFit="1" customWidth="1"/>
    <col min="10760" max="10760" width="26.81640625" customWidth="1"/>
    <col min="11009" max="11009" width="68.54296875" bestFit="1" customWidth="1"/>
    <col min="11010" max="11010" width="12.54296875" bestFit="1" customWidth="1"/>
    <col min="11011" max="11011" width="8.81640625" bestFit="1" customWidth="1"/>
    <col min="11012" max="11012" width="19.26953125" bestFit="1" customWidth="1"/>
    <col min="11013" max="11013" width="10.7265625" bestFit="1" customWidth="1"/>
    <col min="11014" max="11014" width="18.81640625" customWidth="1"/>
    <col min="11015" max="11015" width="11.1796875" bestFit="1" customWidth="1"/>
    <col min="11016" max="11016" width="26.81640625" customWidth="1"/>
    <col min="11265" max="11265" width="68.54296875" bestFit="1" customWidth="1"/>
    <col min="11266" max="11266" width="12.54296875" bestFit="1" customWidth="1"/>
    <col min="11267" max="11267" width="8.81640625" bestFit="1" customWidth="1"/>
    <col min="11268" max="11268" width="19.26953125" bestFit="1" customWidth="1"/>
    <col min="11269" max="11269" width="10.7265625" bestFit="1" customWidth="1"/>
    <col min="11270" max="11270" width="18.81640625" customWidth="1"/>
    <col min="11271" max="11271" width="11.1796875" bestFit="1" customWidth="1"/>
    <col min="11272" max="11272" width="26.81640625" customWidth="1"/>
    <col min="11521" max="11521" width="68.54296875" bestFit="1" customWidth="1"/>
    <col min="11522" max="11522" width="12.54296875" bestFit="1" customWidth="1"/>
    <col min="11523" max="11523" width="8.81640625" bestFit="1" customWidth="1"/>
    <col min="11524" max="11524" width="19.26953125" bestFit="1" customWidth="1"/>
    <col min="11525" max="11525" width="10.7265625" bestFit="1" customWidth="1"/>
    <col min="11526" max="11526" width="18.81640625" customWidth="1"/>
    <col min="11527" max="11527" width="11.1796875" bestFit="1" customWidth="1"/>
    <col min="11528" max="11528" width="26.81640625" customWidth="1"/>
    <col min="11777" max="11777" width="68.54296875" bestFit="1" customWidth="1"/>
    <col min="11778" max="11778" width="12.54296875" bestFit="1" customWidth="1"/>
    <col min="11779" max="11779" width="8.81640625" bestFit="1" customWidth="1"/>
    <col min="11780" max="11780" width="19.26953125" bestFit="1" customWidth="1"/>
    <col min="11781" max="11781" width="10.7265625" bestFit="1" customWidth="1"/>
    <col min="11782" max="11782" width="18.81640625" customWidth="1"/>
    <col min="11783" max="11783" width="11.1796875" bestFit="1" customWidth="1"/>
    <col min="11784" max="11784" width="26.81640625" customWidth="1"/>
    <col min="12033" max="12033" width="68.54296875" bestFit="1" customWidth="1"/>
    <col min="12034" max="12034" width="12.54296875" bestFit="1" customWidth="1"/>
    <col min="12035" max="12035" width="8.81640625" bestFit="1" customWidth="1"/>
    <col min="12036" max="12036" width="19.26953125" bestFit="1" customWidth="1"/>
    <col min="12037" max="12037" width="10.7265625" bestFit="1" customWidth="1"/>
    <col min="12038" max="12038" width="18.81640625" customWidth="1"/>
    <col min="12039" max="12039" width="11.1796875" bestFit="1" customWidth="1"/>
    <col min="12040" max="12040" width="26.81640625" customWidth="1"/>
    <col min="12289" max="12289" width="68.54296875" bestFit="1" customWidth="1"/>
    <col min="12290" max="12290" width="12.54296875" bestFit="1" customWidth="1"/>
    <col min="12291" max="12291" width="8.81640625" bestFit="1" customWidth="1"/>
    <col min="12292" max="12292" width="19.26953125" bestFit="1" customWidth="1"/>
    <col min="12293" max="12293" width="10.7265625" bestFit="1" customWidth="1"/>
    <col min="12294" max="12294" width="18.81640625" customWidth="1"/>
    <col min="12295" max="12295" width="11.1796875" bestFit="1" customWidth="1"/>
    <col min="12296" max="12296" width="26.81640625" customWidth="1"/>
    <col min="12545" max="12545" width="68.54296875" bestFit="1" customWidth="1"/>
    <col min="12546" max="12546" width="12.54296875" bestFit="1" customWidth="1"/>
    <col min="12547" max="12547" width="8.81640625" bestFit="1" customWidth="1"/>
    <col min="12548" max="12548" width="19.26953125" bestFit="1" customWidth="1"/>
    <col min="12549" max="12549" width="10.7265625" bestFit="1" customWidth="1"/>
    <col min="12550" max="12550" width="18.81640625" customWidth="1"/>
    <col min="12551" max="12551" width="11.1796875" bestFit="1" customWidth="1"/>
    <col min="12552" max="12552" width="26.81640625" customWidth="1"/>
    <col min="12801" max="12801" width="68.54296875" bestFit="1" customWidth="1"/>
    <col min="12802" max="12802" width="12.54296875" bestFit="1" customWidth="1"/>
    <col min="12803" max="12803" width="8.81640625" bestFit="1" customWidth="1"/>
    <col min="12804" max="12804" width="19.26953125" bestFit="1" customWidth="1"/>
    <col min="12805" max="12805" width="10.7265625" bestFit="1" customWidth="1"/>
    <col min="12806" max="12806" width="18.81640625" customWidth="1"/>
    <col min="12807" max="12807" width="11.1796875" bestFit="1" customWidth="1"/>
    <col min="12808" max="12808" width="26.81640625" customWidth="1"/>
    <col min="13057" max="13057" width="68.54296875" bestFit="1" customWidth="1"/>
    <col min="13058" max="13058" width="12.54296875" bestFit="1" customWidth="1"/>
    <col min="13059" max="13059" width="8.81640625" bestFit="1" customWidth="1"/>
    <col min="13060" max="13060" width="19.26953125" bestFit="1" customWidth="1"/>
    <col min="13061" max="13061" width="10.7265625" bestFit="1" customWidth="1"/>
    <col min="13062" max="13062" width="18.81640625" customWidth="1"/>
    <col min="13063" max="13063" width="11.1796875" bestFit="1" customWidth="1"/>
    <col min="13064" max="13064" width="26.81640625" customWidth="1"/>
    <col min="13313" max="13313" width="68.54296875" bestFit="1" customWidth="1"/>
    <col min="13314" max="13314" width="12.54296875" bestFit="1" customWidth="1"/>
    <col min="13315" max="13315" width="8.81640625" bestFit="1" customWidth="1"/>
    <col min="13316" max="13316" width="19.26953125" bestFit="1" customWidth="1"/>
    <col min="13317" max="13317" width="10.7265625" bestFit="1" customWidth="1"/>
    <col min="13318" max="13318" width="18.81640625" customWidth="1"/>
    <col min="13319" max="13319" width="11.1796875" bestFit="1" customWidth="1"/>
    <col min="13320" max="13320" width="26.81640625" customWidth="1"/>
    <col min="13569" max="13569" width="68.54296875" bestFit="1" customWidth="1"/>
    <col min="13570" max="13570" width="12.54296875" bestFit="1" customWidth="1"/>
    <col min="13571" max="13571" width="8.81640625" bestFit="1" customWidth="1"/>
    <col min="13572" max="13572" width="19.26953125" bestFit="1" customWidth="1"/>
    <col min="13573" max="13573" width="10.7265625" bestFit="1" customWidth="1"/>
    <col min="13574" max="13574" width="18.81640625" customWidth="1"/>
    <col min="13575" max="13575" width="11.1796875" bestFit="1" customWidth="1"/>
    <col min="13576" max="13576" width="26.81640625" customWidth="1"/>
    <col min="13825" max="13825" width="68.54296875" bestFit="1" customWidth="1"/>
    <col min="13826" max="13826" width="12.54296875" bestFit="1" customWidth="1"/>
    <col min="13827" max="13827" width="8.81640625" bestFit="1" customWidth="1"/>
    <col min="13828" max="13828" width="19.26953125" bestFit="1" customWidth="1"/>
    <col min="13829" max="13829" width="10.7265625" bestFit="1" customWidth="1"/>
    <col min="13830" max="13830" width="18.81640625" customWidth="1"/>
    <col min="13831" max="13831" width="11.1796875" bestFit="1" customWidth="1"/>
    <col min="13832" max="13832" width="26.81640625" customWidth="1"/>
    <col min="14081" max="14081" width="68.54296875" bestFit="1" customWidth="1"/>
    <col min="14082" max="14082" width="12.54296875" bestFit="1" customWidth="1"/>
    <col min="14083" max="14083" width="8.81640625" bestFit="1" customWidth="1"/>
    <col min="14084" max="14084" width="19.26953125" bestFit="1" customWidth="1"/>
    <col min="14085" max="14085" width="10.7265625" bestFit="1" customWidth="1"/>
    <col min="14086" max="14086" width="18.81640625" customWidth="1"/>
    <col min="14087" max="14087" width="11.1796875" bestFit="1" customWidth="1"/>
    <col min="14088" max="14088" width="26.81640625" customWidth="1"/>
    <col min="14337" max="14337" width="68.54296875" bestFit="1" customWidth="1"/>
    <col min="14338" max="14338" width="12.54296875" bestFit="1" customWidth="1"/>
    <col min="14339" max="14339" width="8.81640625" bestFit="1" customWidth="1"/>
    <col min="14340" max="14340" width="19.26953125" bestFit="1" customWidth="1"/>
    <col min="14341" max="14341" width="10.7265625" bestFit="1" customWidth="1"/>
    <col min="14342" max="14342" width="18.81640625" customWidth="1"/>
    <col min="14343" max="14343" width="11.1796875" bestFit="1" customWidth="1"/>
    <col min="14344" max="14344" width="26.81640625" customWidth="1"/>
    <col min="14593" max="14593" width="68.54296875" bestFit="1" customWidth="1"/>
    <col min="14594" max="14594" width="12.54296875" bestFit="1" customWidth="1"/>
    <col min="14595" max="14595" width="8.81640625" bestFit="1" customWidth="1"/>
    <col min="14596" max="14596" width="19.26953125" bestFit="1" customWidth="1"/>
    <col min="14597" max="14597" width="10.7265625" bestFit="1" customWidth="1"/>
    <col min="14598" max="14598" width="18.81640625" customWidth="1"/>
    <col min="14599" max="14599" width="11.1796875" bestFit="1" customWidth="1"/>
    <col min="14600" max="14600" width="26.81640625" customWidth="1"/>
    <col min="14849" max="14849" width="68.54296875" bestFit="1" customWidth="1"/>
    <col min="14850" max="14850" width="12.54296875" bestFit="1" customWidth="1"/>
    <col min="14851" max="14851" width="8.81640625" bestFit="1" customWidth="1"/>
    <col min="14852" max="14852" width="19.26953125" bestFit="1" customWidth="1"/>
    <col min="14853" max="14853" width="10.7265625" bestFit="1" customWidth="1"/>
    <col min="14854" max="14854" width="18.81640625" customWidth="1"/>
    <col min="14855" max="14855" width="11.1796875" bestFit="1" customWidth="1"/>
    <col min="14856" max="14856" width="26.81640625" customWidth="1"/>
    <col min="15105" max="15105" width="68.54296875" bestFit="1" customWidth="1"/>
    <col min="15106" max="15106" width="12.54296875" bestFit="1" customWidth="1"/>
    <col min="15107" max="15107" width="8.81640625" bestFit="1" customWidth="1"/>
    <col min="15108" max="15108" width="19.26953125" bestFit="1" customWidth="1"/>
    <col min="15109" max="15109" width="10.7265625" bestFit="1" customWidth="1"/>
    <col min="15110" max="15110" width="18.81640625" customWidth="1"/>
    <col min="15111" max="15111" width="11.1796875" bestFit="1" customWidth="1"/>
    <col min="15112" max="15112" width="26.81640625" customWidth="1"/>
    <col min="15361" max="15361" width="68.54296875" bestFit="1" customWidth="1"/>
    <col min="15362" max="15362" width="12.54296875" bestFit="1" customWidth="1"/>
    <col min="15363" max="15363" width="8.81640625" bestFit="1" customWidth="1"/>
    <col min="15364" max="15364" width="19.26953125" bestFit="1" customWidth="1"/>
    <col min="15365" max="15365" width="10.7265625" bestFit="1" customWidth="1"/>
    <col min="15366" max="15366" width="18.81640625" customWidth="1"/>
    <col min="15367" max="15367" width="11.1796875" bestFit="1" customWidth="1"/>
    <col min="15368" max="15368" width="26.81640625" customWidth="1"/>
    <col min="15617" max="15617" width="68.54296875" bestFit="1" customWidth="1"/>
    <col min="15618" max="15618" width="12.54296875" bestFit="1" customWidth="1"/>
    <col min="15619" max="15619" width="8.81640625" bestFit="1" customWidth="1"/>
    <col min="15620" max="15620" width="19.26953125" bestFit="1" customWidth="1"/>
    <col min="15621" max="15621" width="10.7265625" bestFit="1" customWidth="1"/>
    <col min="15622" max="15622" width="18.81640625" customWidth="1"/>
    <col min="15623" max="15623" width="11.1796875" bestFit="1" customWidth="1"/>
    <col min="15624" max="15624" width="26.81640625" customWidth="1"/>
    <col min="15873" max="15873" width="68.54296875" bestFit="1" customWidth="1"/>
    <col min="15874" max="15874" width="12.54296875" bestFit="1" customWidth="1"/>
    <col min="15875" max="15875" width="8.81640625" bestFit="1" customWidth="1"/>
    <col min="15876" max="15876" width="19.26953125" bestFit="1" customWidth="1"/>
    <col min="15877" max="15877" width="10.7265625" bestFit="1" customWidth="1"/>
    <col min="15878" max="15878" width="18.81640625" customWidth="1"/>
    <col min="15879" max="15879" width="11.1796875" bestFit="1" customWidth="1"/>
    <col min="15880" max="15880" width="26.81640625" customWidth="1"/>
    <col min="16129" max="16129" width="68.54296875" bestFit="1" customWidth="1"/>
    <col min="16130" max="16130" width="12.54296875" bestFit="1" customWidth="1"/>
    <col min="16131" max="16131" width="8.81640625" bestFit="1" customWidth="1"/>
    <col min="16132" max="16132" width="19.26953125" bestFit="1" customWidth="1"/>
    <col min="16133" max="16133" width="10.7265625" bestFit="1" customWidth="1"/>
    <col min="16134" max="16134" width="18.81640625" customWidth="1"/>
    <col min="16135" max="16135" width="11.1796875" bestFit="1" customWidth="1"/>
    <col min="16136" max="16136" width="26.81640625" customWidth="1"/>
  </cols>
  <sheetData>
    <row r="1" spans="1:16">
      <c r="A1" s="165" t="s">
        <v>302</v>
      </c>
    </row>
    <row r="2" spans="1:16">
      <c r="A2" s="168" t="s">
        <v>301</v>
      </c>
      <c r="B2" s="169"/>
      <c r="C2" s="170"/>
      <c r="D2" s="171"/>
      <c r="E2" s="171"/>
      <c r="F2" s="171"/>
      <c r="G2" s="172"/>
      <c r="H2" s="172"/>
      <c r="I2" s="172"/>
      <c r="J2" s="172"/>
      <c r="K2" s="172"/>
      <c r="L2" s="172"/>
    </row>
    <row r="3" spans="1:16">
      <c r="A3" s="173" t="s">
        <v>170</v>
      </c>
      <c r="B3" s="172"/>
      <c r="C3" s="174"/>
      <c r="D3" s="175"/>
      <c r="E3" s="175" t="s">
        <v>171</v>
      </c>
      <c r="F3" s="171"/>
      <c r="G3" s="172"/>
      <c r="H3" s="172"/>
      <c r="I3" s="172"/>
      <c r="J3" s="176"/>
      <c r="K3" s="172"/>
      <c r="L3" s="172"/>
    </row>
    <row r="4" spans="1:16">
      <c r="A4" s="172"/>
      <c r="B4" s="172"/>
      <c r="C4" s="174" t="s">
        <v>172</v>
      </c>
      <c r="D4" s="175" t="s">
        <v>173</v>
      </c>
      <c r="E4" s="175" t="s">
        <v>174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1:16">
      <c r="A5" s="172"/>
      <c r="B5" s="172"/>
      <c r="C5" s="174" t="s">
        <v>175</v>
      </c>
      <c r="D5" s="175" t="s">
        <v>10</v>
      </c>
      <c r="E5" s="177">
        <v>44562</v>
      </c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</row>
    <row r="6" spans="1:16">
      <c r="A6" s="168"/>
      <c r="B6" s="168"/>
      <c r="C6" s="178"/>
      <c r="D6" s="171"/>
      <c r="E6" s="171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7" spans="1:16">
      <c r="A7" s="168" t="s">
        <v>147</v>
      </c>
      <c r="B7" s="168"/>
      <c r="C7" s="178"/>
      <c r="D7" s="171"/>
      <c r="E7" s="171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</row>
    <row r="8" spans="1:16">
      <c r="A8" s="179" t="s">
        <v>272</v>
      </c>
      <c r="B8" s="172"/>
      <c r="C8" s="178">
        <f>'Staff Calcs '!M2</f>
        <v>11.72</v>
      </c>
      <c r="D8" s="171">
        <f>'Staff Calcs '!L2</f>
        <v>0.52642608421641079</v>
      </c>
      <c r="E8" s="171">
        <f>C8+D8</f>
        <v>12.246426084216411</v>
      </c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</row>
    <row r="9" spans="1:16">
      <c r="A9" s="179" t="s">
        <v>176</v>
      </c>
      <c r="B9" s="172"/>
      <c r="C9" s="178">
        <f>'Staff Calcs '!M3</f>
        <v>18.18</v>
      </c>
      <c r="D9" s="171">
        <f>'Staff Calcs '!L3</f>
        <v>0.89492434316789826</v>
      </c>
      <c r="E9" s="171">
        <f t="shared" ref="E9:E77" si="0">C9+D9</f>
        <v>19.074924343167897</v>
      </c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</row>
    <row r="10" spans="1:16">
      <c r="A10" s="179" t="s">
        <v>177</v>
      </c>
      <c r="B10" s="172"/>
      <c r="C10" s="178">
        <f>'Staff Calcs '!M4</f>
        <v>29.45</v>
      </c>
      <c r="D10" s="171">
        <f>'Staff Calcs '!L4</f>
        <v>1.3423865147518474</v>
      </c>
      <c r="E10" s="171">
        <f t="shared" si="0"/>
        <v>30.792386514751847</v>
      </c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</row>
    <row r="11" spans="1:16">
      <c r="A11" s="179" t="s">
        <v>178</v>
      </c>
      <c r="B11" s="172"/>
      <c r="C11" s="178">
        <f>'Staff Calcs '!M5</f>
        <v>42.52</v>
      </c>
      <c r="D11" s="171">
        <f>'Staff Calcs '!L5</f>
        <v>2.0267404242331812</v>
      </c>
      <c r="E11" s="171">
        <f t="shared" si="0"/>
        <v>44.546740424233185</v>
      </c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</row>
    <row r="12" spans="1:16">
      <c r="A12" s="179" t="s">
        <v>179</v>
      </c>
      <c r="B12" s="172"/>
      <c r="C12" s="178">
        <f>'Staff Calcs '!M6</f>
        <v>56.49</v>
      </c>
      <c r="D12" s="171">
        <f>'Staff Calcs '!L6</f>
        <v>2.5531665084495923</v>
      </c>
      <c r="E12" s="171">
        <f t="shared" ref="E12" si="1">C12+D12</f>
        <v>59.043166508449595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</row>
    <row r="13" spans="1:16">
      <c r="A13" s="180" t="s">
        <v>116</v>
      </c>
      <c r="B13" s="181"/>
      <c r="C13" s="182">
        <f>+'Staff Calcs '!M53</f>
        <v>65.930000000000007</v>
      </c>
      <c r="D13" s="182">
        <f>+'Staff Calcs '!L53</f>
        <v>0.71067521369215469</v>
      </c>
      <c r="E13" s="182">
        <f t="shared" si="0"/>
        <v>66.640675213692163</v>
      </c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</row>
    <row r="14" spans="1:16">
      <c r="A14" s="179" t="s">
        <v>180</v>
      </c>
      <c r="B14" s="172"/>
      <c r="C14" s="178">
        <f>'Staff Calcs '!M7</f>
        <v>17.5</v>
      </c>
      <c r="D14" s="171">
        <f>'Staff Calcs '!L7</f>
        <v>0.89492434316789837</v>
      </c>
      <c r="E14" s="171">
        <f t="shared" si="0"/>
        <v>18.394924343167897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</row>
    <row r="15" spans="1:16">
      <c r="A15" s="179" t="s">
        <v>181</v>
      </c>
      <c r="B15" s="172"/>
      <c r="C15" s="178">
        <f>'Staff Calcs '!M8</f>
        <v>26.59</v>
      </c>
      <c r="D15" s="171">
        <f>'Staff Calcs '!L8</f>
        <v>1.2371012979085654</v>
      </c>
      <c r="E15" s="171">
        <f t="shared" ref="E15:E17" si="2">C15+D15</f>
        <v>27.827101297908566</v>
      </c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</row>
    <row r="16" spans="1:16">
      <c r="A16" s="179" t="s">
        <v>182</v>
      </c>
      <c r="B16" s="172"/>
      <c r="C16" s="178">
        <f>'Staff Calcs '!M9</f>
        <v>36.049999999999997</v>
      </c>
      <c r="D16" s="171">
        <f>'Staff Calcs '!L9</f>
        <v>1.7898486863357967</v>
      </c>
      <c r="E16" s="171">
        <f t="shared" si="2"/>
        <v>37.839848686335792</v>
      </c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</row>
    <row r="17" spans="1:28">
      <c r="A17" s="179" t="s">
        <v>96</v>
      </c>
      <c r="B17" s="172"/>
      <c r="C17" s="178">
        <f>'Staff Calcs '!M10</f>
        <v>7.87</v>
      </c>
      <c r="D17" s="171">
        <f>'Staff Calcs '!L10</f>
        <v>0.206521002269515</v>
      </c>
      <c r="E17" s="171">
        <f t="shared" si="2"/>
        <v>8.0765210022695157</v>
      </c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</row>
    <row r="18" spans="1:28">
      <c r="A18" s="172"/>
      <c r="B18" s="172"/>
      <c r="C18" s="178"/>
      <c r="D18" s="171"/>
      <c r="E18" s="171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28">
      <c r="A19" s="168" t="s">
        <v>148</v>
      </c>
      <c r="B19" s="168"/>
      <c r="C19" s="178"/>
      <c r="D19" s="171"/>
      <c r="E19" s="171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</row>
    <row r="20" spans="1:28">
      <c r="A20" s="180" t="s">
        <v>124</v>
      </c>
      <c r="B20" s="181" t="s">
        <v>183</v>
      </c>
      <c r="C20" s="182">
        <f>'Staff Calcs '!M54</f>
        <v>3.27</v>
      </c>
      <c r="D20" s="182">
        <f>'Staff Calcs '!L54</f>
        <v>0.20652100226951506</v>
      </c>
      <c r="E20" s="182">
        <f t="shared" si="0"/>
        <v>3.4765210022695152</v>
      </c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</row>
    <row r="21" spans="1:28">
      <c r="A21" s="172"/>
      <c r="B21" s="172"/>
      <c r="C21" s="178"/>
      <c r="D21" s="171"/>
      <c r="E21" s="171"/>
      <c r="F21" s="178"/>
      <c r="G21" s="178"/>
      <c r="H21" s="178">
        <v>3.6565210022695154</v>
      </c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</row>
    <row r="22" spans="1:28">
      <c r="A22" s="168" t="s">
        <v>149</v>
      </c>
      <c r="B22" s="172"/>
      <c r="C22" s="178"/>
      <c r="D22" s="171"/>
      <c r="E22" s="171"/>
      <c r="F22" s="178"/>
      <c r="G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</row>
    <row r="23" spans="1:28">
      <c r="A23" s="183" t="s">
        <v>125</v>
      </c>
      <c r="B23" s="181" t="s">
        <v>183</v>
      </c>
      <c r="C23" s="182">
        <f>+'Staff Calcs '!M67</f>
        <v>4.8379180970862832</v>
      </c>
      <c r="D23" s="182">
        <f>'Staff Calcs '!L67</f>
        <v>0.12148294251147944</v>
      </c>
      <c r="E23" s="182">
        <f t="shared" si="0"/>
        <v>4.959401039597763</v>
      </c>
      <c r="F23" s="178"/>
      <c r="G23" s="178"/>
      <c r="H23" s="178">
        <v>4.959401039597763</v>
      </c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</row>
    <row r="24" spans="1:28">
      <c r="A24" s="183" t="s">
        <v>123</v>
      </c>
      <c r="B24" s="181" t="s">
        <v>183</v>
      </c>
      <c r="C24" s="182">
        <f>+'Staff Calcs '!M66</f>
        <v>3.45</v>
      </c>
      <c r="D24" s="182">
        <f>'Staff Calcs '!L66</f>
        <v>0.20652100226951506</v>
      </c>
      <c r="E24" s="182">
        <f t="shared" si="0"/>
        <v>3.6565210022695154</v>
      </c>
      <c r="F24" s="178"/>
      <c r="G24" s="178"/>
      <c r="H24" s="178">
        <v>3.6565210022695154</v>
      </c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</row>
    <row r="25" spans="1:28">
      <c r="A25" s="183" t="s">
        <v>107</v>
      </c>
      <c r="B25" s="181" t="s">
        <v>183</v>
      </c>
      <c r="C25" s="182">
        <f>+'Staff Calcs '!M68</f>
        <v>4.9131810733075874</v>
      </c>
      <c r="D25" s="182">
        <f>'Staff Calcs '!L68</f>
        <v>0.20652100226951506</v>
      </c>
      <c r="E25" s="182">
        <f t="shared" si="0"/>
        <v>5.1197020755771021</v>
      </c>
      <c r="F25" s="178"/>
      <c r="G25" s="178"/>
      <c r="H25" s="178">
        <v>5.1197020755771021</v>
      </c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</row>
    <row r="26" spans="1:28">
      <c r="A26" s="273" t="s">
        <v>126</v>
      </c>
      <c r="B26" s="274" t="s">
        <v>183</v>
      </c>
      <c r="C26" s="178">
        <f>+'Staff Calcs '!M39</f>
        <v>8.0109316338828851</v>
      </c>
      <c r="D26" s="178">
        <f>'Staff Calcs '!L39</f>
        <v>0.28548491490197664</v>
      </c>
      <c r="E26" s="178">
        <f t="shared" si="0"/>
        <v>8.2964165487848618</v>
      </c>
      <c r="F26" s="178"/>
      <c r="G26" s="178"/>
      <c r="H26" s="178">
        <v>12.308953958491141</v>
      </c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</row>
    <row r="27" spans="1:28">
      <c r="A27" s="184" t="s">
        <v>108</v>
      </c>
      <c r="B27" s="172" t="s">
        <v>183</v>
      </c>
      <c r="C27" s="178">
        <f>'Staff Calcs '!M40</f>
        <v>11.895911953952112</v>
      </c>
      <c r="D27" s="178">
        <f>'Staff Calcs '!L40</f>
        <v>0.41304200453902995</v>
      </c>
      <c r="E27" s="171">
        <f>C27+D27</f>
        <v>12.308953958491141</v>
      </c>
      <c r="F27" s="178"/>
      <c r="G27" s="178"/>
      <c r="H27" s="178">
        <v>26.756802024687936</v>
      </c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</row>
    <row r="28" spans="1:28">
      <c r="A28" s="183" t="s">
        <v>109</v>
      </c>
      <c r="B28" s="181" t="s">
        <v>183</v>
      </c>
      <c r="C28" s="182">
        <f>+'Staff Calcs '!M69</f>
        <v>25.693826277712489</v>
      </c>
      <c r="D28" s="182">
        <f>'Staff Calcs '!L69</f>
        <v>1.0629757469754448</v>
      </c>
      <c r="E28" s="182">
        <f t="shared" si="0"/>
        <v>26.756802024687936</v>
      </c>
      <c r="F28" s="178"/>
      <c r="G28" s="178"/>
      <c r="H28" s="178">
        <v>36.454472268967017</v>
      </c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</row>
    <row r="29" spans="1:28">
      <c r="A29" s="184" t="s">
        <v>110</v>
      </c>
      <c r="B29" s="172" t="s">
        <v>183</v>
      </c>
      <c r="C29" s="178">
        <f>'Staff Calcs '!M41</f>
        <v>34.935935487573524</v>
      </c>
      <c r="D29" s="178">
        <f>'Staff Calcs '!L41</f>
        <v>1.5185367813934925</v>
      </c>
      <c r="E29" s="171">
        <f t="shared" si="0"/>
        <v>36.454472268967017</v>
      </c>
      <c r="F29" s="178"/>
      <c r="G29" s="178"/>
      <c r="H29" s="178">
        <v>50.126869654364526</v>
      </c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</row>
    <row r="30" spans="1:28">
      <c r="A30" s="184" t="s">
        <v>111</v>
      </c>
      <c r="B30" s="172" t="s">
        <v>183</v>
      </c>
      <c r="C30" s="178">
        <f>'Staff Calcs '!M42</f>
        <v>48.15884598567856</v>
      </c>
      <c r="D30" s="178">
        <f>'Staff Calcs '!L42</f>
        <v>1.9680236686859665</v>
      </c>
      <c r="E30" s="171">
        <f t="shared" si="0"/>
        <v>50.126869654364526</v>
      </c>
      <c r="F30" s="178"/>
      <c r="G30" s="178"/>
      <c r="H30" s="178">
        <v>71.702647795906628</v>
      </c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</row>
    <row r="31" spans="1:28">
      <c r="A31" s="184" t="s">
        <v>112</v>
      </c>
      <c r="B31" s="172" t="s">
        <v>183</v>
      </c>
      <c r="C31" s="178">
        <f>'Staff Calcs '!M43</f>
        <v>68.829576205510136</v>
      </c>
      <c r="D31" s="178">
        <f>'Staff Calcs '!L43</f>
        <v>2.8730715903964881</v>
      </c>
      <c r="E31" s="171">
        <f t="shared" si="0"/>
        <v>71.702647795906628</v>
      </c>
      <c r="F31" s="178"/>
      <c r="G31" s="178"/>
      <c r="H31" s="178">
        <v>90.290239333154872</v>
      </c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</row>
    <row r="32" spans="1:28">
      <c r="A32" s="184" t="s">
        <v>113</v>
      </c>
      <c r="B32" s="172" t="s">
        <v>183</v>
      </c>
      <c r="C32" s="178">
        <f>'Staff Calcs '!M44</f>
        <v>86.566787145178026</v>
      </c>
      <c r="D32" s="178">
        <f>'Staff Calcs '!L44</f>
        <v>3.7234521879768434</v>
      </c>
      <c r="E32" s="171">
        <f t="shared" si="0"/>
        <v>90.290239333154872</v>
      </c>
      <c r="F32" s="178"/>
      <c r="G32" s="178"/>
      <c r="H32" s="178">
        <v>133.33228340030567</v>
      </c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1:28">
      <c r="A33" s="184" t="s">
        <v>114</v>
      </c>
      <c r="B33" s="172" t="s">
        <v>183</v>
      </c>
      <c r="C33" s="178">
        <f>'Staff Calcs '!M45</f>
        <v>128.22999981482354</v>
      </c>
      <c r="D33" s="178">
        <f>'Staff Calcs '!L45</f>
        <v>5.1022835854821365</v>
      </c>
      <c r="E33" s="171">
        <f t="shared" si="0"/>
        <v>133.33228340030567</v>
      </c>
      <c r="F33" s="178"/>
      <c r="G33" s="178"/>
      <c r="H33" s="178">
        <v>167.64029761200493</v>
      </c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</row>
    <row r="34" spans="1:28">
      <c r="A34" s="184" t="s">
        <v>115</v>
      </c>
      <c r="B34" s="172" t="s">
        <v>183</v>
      </c>
      <c r="C34" s="178">
        <f>'Staff Calcs '!M46</f>
        <v>161.68763342894243</v>
      </c>
      <c r="D34" s="178">
        <f>'Staff Calcs '!L46</f>
        <v>5.9526641830624918</v>
      </c>
      <c r="E34" s="171">
        <f t="shared" si="0"/>
        <v>167.64029761200493</v>
      </c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</row>
    <row r="35" spans="1:28">
      <c r="A35" s="172"/>
      <c r="B35" s="172"/>
      <c r="C35" s="178"/>
      <c r="D35" s="171"/>
      <c r="E35" s="171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</row>
    <row r="36" spans="1:28">
      <c r="A36" s="183" t="s">
        <v>127</v>
      </c>
      <c r="B36" s="181" t="s">
        <v>183</v>
      </c>
      <c r="C36" s="182">
        <f>'Staff Calcs '!M55</f>
        <v>9.9455262422872934</v>
      </c>
      <c r="D36" s="182">
        <f>'Staff Calcs '!L55</f>
        <v>0.12148294251147944</v>
      </c>
      <c r="E36" s="182">
        <f t="shared" si="0"/>
        <v>10.067009184798772</v>
      </c>
      <c r="F36" s="178"/>
      <c r="G36" s="178"/>
      <c r="H36" s="178">
        <v>10.067009184798772</v>
      </c>
      <c r="I36" s="178"/>
      <c r="J36" s="178">
        <v>9.9455262422872934</v>
      </c>
      <c r="K36" s="178"/>
      <c r="L36" s="178"/>
      <c r="M36" s="178"/>
      <c r="N36" s="178"/>
      <c r="O36" s="178"/>
      <c r="P36" s="178"/>
    </row>
    <row r="37" spans="1:28">
      <c r="A37" s="183" t="s">
        <v>129</v>
      </c>
      <c r="B37" s="181" t="s">
        <v>183</v>
      </c>
      <c r="C37" s="182">
        <f>'Staff Calcs '!M56</f>
        <v>10.020789218508597</v>
      </c>
      <c r="D37" s="182">
        <f>'Staff Calcs '!L56</f>
        <v>0.20652100226951506</v>
      </c>
      <c r="E37" s="182">
        <f t="shared" si="0"/>
        <v>10.227310220778111</v>
      </c>
      <c r="F37" s="178"/>
      <c r="G37" s="178"/>
      <c r="H37" s="178">
        <v>10.227310220778111</v>
      </c>
      <c r="I37" s="178"/>
      <c r="J37" s="178">
        <v>10.020789218508597</v>
      </c>
      <c r="K37" s="178"/>
      <c r="L37" s="178"/>
      <c r="M37" s="178"/>
      <c r="N37" s="178"/>
      <c r="O37" s="178"/>
      <c r="P37" s="178"/>
    </row>
    <row r="38" spans="1:28">
      <c r="A38" s="183" t="s">
        <v>128</v>
      </c>
      <c r="B38" s="181" t="s">
        <v>183</v>
      </c>
      <c r="C38" s="182">
        <f>'Staff Calcs '!M57</f>
        <v>11.711653703160263</v>
      </c>
      <c r="D38" s="182">
        <f>'Staff Calcs '!L57</f>
        <v>0.28548491490197664</v>
      </c>
      <c r="E38" s="182">
        <f t="shared" si="0"/>
        <v>11.997138618062239</v>
      </c>
      <c r="F38" s="178"/>
      <c r="G38" s="178"/>
      <c r="H38" s="178">
        <v>11.997138618062239</v>
      </c>
      <c r="I38" s="178"/>
      <c r="J38" s="178">
        <v>11.711653703160263</v>
      </c>
      <c r="K38" s="178"/>
      <c r="L38" s="178"/>
      <c r="M38" s="178"/>
      <c r="N38" s="178"/>
      <c r="O38" s="178"/>
      <c r="P38" s="178"/>
    </row>
    <row r="39" spans="1:28">
      <c r="A39" s="183" t="s">
        <v>130</v>
      </c>
      <c r="B39" s="181" t="s">
        <v>183</v>
      </c>
      <c r="C39" s="182">
        <f>'Staff Calcs '!M58</f>
        <v>14.628125492702351</v>
      </c>
      <c r="D39" s="182">
        <f>'Staff Calcs '!L58</f>
        <v>0.41304200453903012</v>
      </c>
      <c r="E39" s="182">
        <f t="shared" si="0"/>
        <v>15.04116749724138</v>
      </c>
      <c r="F39" s="178"/>
      <c r="G39" s="178"/>
      <c r="H39" s="178">
        <v>15.04116749724138</v>
      </c>
      <c r="I39" s="178"/>
      <c r="J39" s="178">
        <v>14.628125492702351</v>
      </c>
      <c r="K39" s="178"/>
      <c r="L39" s="178"/>
      <c r="M39" s="178"/>
      <c r="N39" s="178"/>
      <c r="O39" s="178"/>
      <c r="P39" s="178"/>
    </row>
    <row r="40" spans="1:28">
      <c r="A40" s="183" t="s">
        <v>117</v>
      </c>
      <c r="B40" s="181" t="s">
        <v>183</v>
      </c>
      <c r="C40" s="182">
        <f>'Staff Calcs '!M59</f>
        <v>27.335193366290056</v>
      </c>
      <c r="D40" s="182">
        <f>'Staff Calcs '!L59</f>
        <v>1.0629757469754448</v>
      </c>
      <c r="E40" s="182">
        <f t="shared" si="0"/>
        <v>28.398169113265503</v>
      </c>
      <c r="F40" s="178"/>
      <c r="G40" s="178"/>
      <c r="H40" s="178">
        <v>28.398169113265503</v>
      </c>
      <c r="I40" s="178"/>
      <c r="J40" s="178">
        <v>27.335193366290056</v>
      </c>
      <c r="K40" s="178"/>
      <c r="L40" s="178"/>
      <c r="M40" s="178"/>
      <c r="N40" s="178"/>
      <c r="O40" s="178"/>
      <c r="P40" s="178"/>
    </row>
    <row r="41" spans="1:28">
      <c r="A41" s="183" t="s">
        <v>131</v>
      </c>
      <c r="B41" s="181" t="s">
        <v>183</v>
      </c>
      <c r="C41" s="182">
        <f>'Staff Calcs '!M60</f>
        <v>36.974900814999074</v>
      </c>
      <c r="D41" s="182">
        <f>'Staff Calcs '!L60</f>
        <v>1.5185367813934929</v>
      </c>
      <c r="E41" s="182">
        <f t="shared" si="0"/>
        <v>38.493437596392567</v>
      </c>
      <c r="F41" s="178"/>
      <c r="G41" s="178"/>
      <c r="H41" s="178">
        <v>38.493437596392567</v>
      </c>
      <c r="I41" s="178"/>
      <c r="J41" s="178">
        <v>36.974900814999074</v>
      </c>
      <c r="K41" s="178"/>
      <c r="L41" s="178"/>
      <c r="M41" s="178"/>
      <c r="N41" s="178"/>
      <c r="O41" s="178"/>
      <c r="P41" s="178"/>
    </row>
    <row r="42" spans="1:28">
      <c r="A42" s="183" t="s">
        <v>118</v>
      </c>
      <c r="B42" s="181" t="s">
        <v>183</v>
      </c>
      <c r="C42" s="182">
        <f>'Staff Calcs '!M61</f>
        <v>51.941126668052959</v>
      </c>
      <c r="D42" s="182">
        <f>'Staff Calcs '!L61</f>
        <v>1.9680236686859667</v>
      </c>
      <c r="E42" s="182">
        <f t="shared" si="0"/>
        <v>53.909150336738925</v>
      </c>
      <c r="F42" s="178"/>
      <c r="G42" s="178"/>
      <c r="H42" s="178">
        <v>53.909150336738925</v>
      </c>
      <c r="I42" s="178"/>
      <c r="J42" s="178">
        <v>51.941126668052959</v>
      </c>
      <c r="K42" s="178"/>
      <c r="L42" s="178"/>
      <c r="M42" s="178"/>
      <c r="N42" s="178"/>
      <c r="O42" s="178"/>
      <c r="P42" s="178"/>
    </row>
    <row r="43" spans="1:28">
      <c r="A43" s="183" t="s">
        <v>119</v>
      </c>
      <c r="B43" s="181" t="s">
        <v>183</v>
      </c>
      <c r="C43" s="182">
        <f>'Staff Calcs '!M62</f>
        <v>72.479324141601879</v>
      </c>
      <c r="D43" s="182">
        <f>'Staff Calcs '!L62</f>
        <v>2.8730715903964881</v>
      </c>
      <c r="E43" s="182">
        <f t="shared" si="0"/>
        <v>75.352395731998371</v>
      </c>
      <c r="F43" s="178"/>
      <c r="G43" s="178"/>
      <c r="H43" s="178">
        <v>75.352395731998371</v>
      </c>
      <c r="I43" s="178"/>
      <c r="J43" s="178">
        <v>72.479324141601879</v>
      </c>
      <c r="K43" s="178"/>
      <c r="L43" s="178"/>
      <c r="M43" s="178"/>
      <c r="N43" s="178"/>
      <c r="O43" s="178"/>
      <c r="P43" s="178"/>
    </row>
    <row r="44" spans="1:28">
      <c r="A44" s="183" t="s">
        <v>120</v>
      </c>
      <c r="B44" s="181" t="s">
        <v>183</v>
      </c>
      <c r="C44" s="182">
        <f>'Staff Calcs '!M63</f>
        <v>90.043223028438589</v>
      </c>
      <c r="D44" s="182">
        <f>'Staff Calcs '!L63</f>
        <v>3.7234521879768443</v>
      </c>
      <c r="E44" s="182">
        <f t="shared" si="0"/>
        <v>93.766675216415436</v>
      </c>
      <c r="F44" s="178"/>
      <c r="G44" s="178"/>
      <c r="H44" s="178">
        <v>93.766675216415436</v>
      </c>
      <c r="I44" s="178"/>
      <c r="J44" s="178">
        <v>90.043223028438589</v>
      </c>
      <c r="K44" s="178"/>
      <c r="L44" s="178"/>
      <c r="M44" s="178"/>
      <c r="N44" s="178"/>
      <c r="O44" s="178"/>
      <c r="P44" s="178"/>
    </row>
    <row r="45" spans="1:28">
      <c r="A45" s="183" t="s">
        <v>121</v>
      </c>
      <c r="B45" s="181" t="s">
        <v>183</v>
      </c>
      <c r="C45" s="182">
        <f>'Staff Calcs '!M64</f>
        <v>134.59157163639128</v>
      </c>
      <c r="D45" s="182">
        <f>'Staff Calcs '!L64</f>
        <v>5.1022835854821356</v>
      </c>
      <c r="E45" s="182">
        <f t="shared" si="0"/>
        <v>139.69385522187341</v>
      </c>
      <c r="F45" s="178"/>
      <c r="G45" s="178"/>
      <c r="H45" s="178">
        <v>139.69385522187341</v>
      </c>
      <c r="I45" s="178"/>
      <c r="J45" s="178">
        <v>134.59157163639128</v>
      </c>
      <c r="K45" s="178"/>
      <c r="L45" s="178"/>
      <c r="M45" s="178"/>
      <c r="N45" s="178"/>
      <c r="O45" s="178"/>
      <c r="P45" s="178"/>
    </row>
    <row r="46" spans="1:28">
      <c r="A46" s="183" t="s">
        <v>122</v>
      </c>
      <c r="B46" s="181" t="s">
        <v>183</v>
      </c>
      <c r="C46" s="182">
        <f>'Staff Calcs '!M65</f>
        <v>164.58296419388674</v>
      </c>
      <c r="D46" s="182">
        <f>'Staff Calcs '!L65</f>
        <v>5.9526641830624918</v>
      </c>
      <c r="E46" s="182">
        <f t="shared" si="0"/>
        <v>170.53562837694923</v>
      </c>
      <c r="F46" s="178"/>
      <c r="G46" s="178"/>
      <c r="H46" s="178">
        <v>170.53562837694923</v>
      </c>
      <c r="I46" s="178"/>
      <c r="J46" s="178">
        <v>164.58296419388674</v>
      </c>
      <c r="K46" s="178"/>
      <c r="L46" s="178"/>
      <c r="M46" s="178"/>
      <c r="N46" s="178"/>
      <c r="O46" s="178"/>
      <c r="P46" s="178"/>
    </row>
    <row r="47" spans="1:28">
      <c r="A47" s="184"/>
      <c r="B47" s="172"/>
      <c r="C47" s="178"/>
      <c r="D47" s="178"/>
      <c r="E47" s="178">
        <f t="shared" si="0"/>
        <v>0</v>
      </c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</row>
    <row r="48" spans="1:28">
      <c r="A48" s="183" t="s">
        <v>184</v>
      </c>
      <c r="B48" s="181" t="s">
        <v>183</v>
      </c>
      <c r="C48" s="182">
        <f>'Staff Calcs '!M99</f>
        <v>27.335193366290056</v>
      </c>
      <c r="D48" s="182">
        <f>'Staff Calcs '!L99</f>
        <v>1.0629757469754448</v>
      </c>
      <c r="E48" s="182">
        <f t="shared" si="0"/>
        <v>28.398169113265503</v>
      </c>
      <c r="F48" s="178"/>
      <c r="G48" s="178"/>
      <c r="H48" s="178">
        <v>28.398169113265503</v>
      </c>
      <c r="I48" s="178"/>
      <c r="J48" s="178">
        <v>27.335193366290056</v>
      </c>
      <c r="K48" s="178"/>
      <c r="L48" s="178"/>
      <c r="M48" s="178"/>
      <c r="N48" s="178"/>
      <c r="O48" s="178"/>
      <c r="P48" s="178"/>
    </row>
    <row r="49" spans="1:16">
      <c r="A49" s="183" t="s">
        <v>185</v>
      </c>
      <c r="B49" s="181" t="s">
        <v>183</v>
      </c>
      <c r="C49" s="182">
        <f>'Staff Calcs '!M100</f>
        <v>36.974900814999074</v>
      </c>
      <c r="D49" s="182">
        <f>'Staff Calcs '!L100</f>
        <v>1.5185367813934929</v>
      </c>
      <c r="E49" s="182">
        <f t="shared" si="0"/>
        <v>38.493437596392567</v>
      </c>
      <c r="F49" s="178"/>
      <c r="G49" s="178"/>
      <c r="H49" s="178">
        <v>38.493437596392567</v>
      </c>
      <c r="I49" s="178"/>
      <c r="J49" s="178">
        <v>36.974900814999074</v>
      </c>
      <c r="K49" s="178"/>
      <c r="L49" s="178"/>
      <c r="M49" s="178"/>
      <c r="N49" s="178"/>
      <c r="O49" s="178"/>
      <c r="P49" s="178"/>
    </row>
    <row r="50" spans="1:16">
      <c r="A50" s="183" t="s">
        <v>186</v>
      </c>
      <c r="B50" s="181" t="s">
        <v>183</v>
      </c>
      <c r="C50" s="182">
        <f>'Staff Calcs '!M101</f>
        <v>51.941126668052959</v>
      </c>
      <c r="D50" s="182">
        <f>'Staff Calcs '!L101</f>
        <v>1.9680236686859667</v>
      </c>
      <c r="E50" s="182">
        <f t="shared" si="0"/>
        <v>53.909150336738925</v>
      </c>
      <c r="F50" s="178"/>
      <c r="G50" s="178"/>
      <c r="H50" s="178">
        <v>53.909150336738925</v>
      </c>
      <c r="I50" s="178"/>
      <c r="J50" s="178">
        <v>51.941126668052959</v>
      </c>
      <c r="K50" s="178"/>
      <c r="L50" s="178"/>
      <c r="M50" s="178"/>
      <c r="N50" s="178"/>
      <c r="O50" s="178"/>
      <c r="P50" s="178"/>
    </row>
    <row r="51" spans="1:16">
      <c r="A51" s="183" t="s">
        <v>187</v>
      </c>
      <c r="B51" s="181" t="s">
        <v>183</v>
      </c>
      <c r="C51" s="182">
        <f>'Staff Calcs '!M102</f>
        <v>72.479324141601879</v>
      </c>
      <c r="D51" s="182">
        <f>'Staff Calcs '!L102</f>
        <v>2.8730715903964881</v>
      </c>
      <c r="E51" s="182">
        <f t="shared" si="0"/>
        <v>75.352395731998371</v>
      </c>
      <c r="F51" s="178"/>
      <c r="G51" s="178"/>
      <c r="H51" s="178">
        <v>75.352395731998371</v>
      </c>
      <c r="I51" s="178"/>
      <c r="J51" s="178">
        <v>72.479324141601879</v>
      </c>
      <c r="K51" s="178"/>
      <c r="L51" s="178"/>
      <c r="M51" s="178"/>
      <c r="N51" s="178"/>
      <c r="O51" s="178"/>
      <c r="P51" s="178"/>
    </row>
    <row r="52" spans="1:16">
      <c r="A52" s="183" t="s">
        <v>188</v>
      </c>
      <c r="B52" s="181" t="s">
        <v>183</v>
      </c>
      <c r="C52" s="182">
        <f>'Staff Calcs '!M103</f>
        <v>90.043223028438589</v>
      </c>
      <c r="D52" s="182">
        <f>'Staff Calcs '!L103</f>
        <v>3.7234521879768443</v>
      </c>
      <c r="E52" s="182">
        <f t="shared" si="0"/>
        <v>93.766675216415436</v>
      </c>
      <c r="F52" s="178"/>
      <c r="G52" s="178"/>
      <c r="H52" s="178">
        <v>93.766675216415436</v>
      </c>
      <c r="I52" s="178"/>
      <c r="J52" s="178">
        <v>90.043223028438589</v>
      </c>
      <c r="K52" s="178"/>
      <c r="L52" s="178"/>
      <c r="M52" s="178"/>
      <c r="N52" s="178"/>
      <c r="O52" s="178"/>
      <c r="P52" s="178"/>
    </row>
    <row r="53" spans="1:16">
      <c r="A53" s="183" t="s">
        <v>189</v>
      </c>
      <c r="B53" s="181" t="s">
        <v>183</v>
      </c>
      <c r="C53" s="182">
        <f>'Staff Calcs '!M104</f>
        <v>134.59157163639128</v>
      </c>
      <c r="D53" s="182">
        <f>'Staff Calcs '!L104</f>
        <v>5.1022835854821356</v>
      </c>
      <c r="E53" s="182">
        <f t="shared" si="0"/>
        <v>139.69385522187341</v>
      </c>
      <c r="F53" s="178"/>
      <c r="G53" s="178"/>
      <c r="H53" s="178">
        <v>139.69385522187341</v>
      </c>
      <c r="I53" s="178"/>
      <c r="J53" s="178">
        <v>134.59157163639128</v>
      </c>
      <c r="K53" s="178"/>
      <c r="L53" s="178"/>
      <c r="M53" s="178"/>
      <c r="N53" s="178"/>
      <c r="O53" s="178"/>
      <c r="P53" s="178"/>
    </row>
    <row r="54" spans="1:16">
      <c r="A54" s="183" t="s">
        <v>190</v>
      </c>
      <c r="B54" s="181" t="s">
        <v>183</v>
      </c>
      <c r="C54" s="182">
        <f>'Staff Calcs '!M105</f>
        <v>164.58296419388674</v>
      </c>
      <c r="D54" s="182">
        <f>'Staff Calcs '!L105</f>
        <v>5.9526641830624918</v>
      </c>
      <c r="E54" s="182">
        <f t="shared" si="0"/>
        <v>170.53562837694923</v>
      </c>
      <c r="F54" s="178"/>
      <c r="G54" s="178"/>
      <c r="H54" s="178">
        <v>170.53562837694923</v>
      </c>
      <c r="I54" s="178"/>
      <c r="J54" s="178">
        <v>164.58296419388674</v>
      </c>
      <c r="K54" s="178"/>
      <c r="L54" s="178"/>
      <c r="M54" s="178"/>
      <c r="N54" s="178"/>
      <c r="O54" s="178"/>
      <c r="P54" s="178"/>
    </row>
    <row r="55" spans="1:16">
      <c r="A55" s="172"/>
      <c r="B55" s="172"/>
      <c r="C55" s="178"/>
      <c r="D55" s="171"/>
      <c r="E55" s="171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</row>
    <row r="56" spans="1:16">
      <c r="A56" s="168" t="s">
        <v>141</v>
      </c>
      <c r="B56" s="172"/>
      <c r="C56" s="178"/>
      <c r="D56" s="171"/>
      <c r="E56" s="171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</row>
    <row r="57" spans="1:16">
      <c r="A57" s="181" t="s">
        <v>132</v>
      </c>
      <c r="B57" s="181" t="s">
        <v>183</v>
      </c>
      <c r="C57" s="182">
        <f>'Staff Calcs '!M70</f>
        <v>137.96829966718153</v>
      </c>
      <c r="D57" s="182">
        <f>'Staff Calcs '!L70</f>
        <v>2.9277389145266546</v>
      </c>
      <c r="E57" s="182">
        <f t="shared" ref="E57:E58" si="3">C57+D57</f>
        <v>140.89603858170818</v>
      </c>
      <c r="F57" s="178"/>
      <c r="G57" s="178"/>
      <c r="H57" s="178">
        <v>140.89603858170818</v>
      </c>
      <c r="I57" s="178"/>
      <c r="J57" s="178">
        <v>137.96829966718153</v>
      </c>
      <c r="K57" s="178"/>
      <c r="L57" s="178"/>
      <c r="M57" s="178"/>
      <c r="N57" s="178"/>
      <c r="O57" s="178"/>
      <c r="P57" s="178"/>
    </row>
    <row r="58" spans="1:16">
      <c r="A58" s="181" t="s">
        <v>133</v>
      </c>
      <c r="B58" s="181" t="s">
        <v>183</v>
      </c>
      <c r="C58" s="182">
        <f>'Staff Calcs '!M71</f>
        <v>197.1207312800868</v>
      </c>
      <c r="D58" s="182">
        <f>'Staff Calcs '!L71</f>
        <v>5.4181392360119824</v>
      </c>
      <c r="E58" s="182">
        <f t="shared" si="3"/>
        <v>202.5388705160988</v>
      </c>
      <c r="F58" s="178"/>
      <c r="G58" s="178"/>
      <c r="H58" s="178">
        <v>202.5388705160988</v>
      </c>
      <c r="I58" s="178"/>
      <c r="J58" s="178">
        <v>197.1207312800868</v>
      </c>
      <c r="K58" s="178"/>
      <c r="L58" s="178"/>
      <c r="M58" s="178"/>
      <c r="N58" s="178"/>
      <c r="O58" s="178"/>
      <c r="P58" s="178"/>
    </row>
    <row r="59" spans="1:16">
      <c r="A59" s="181" t="s">
        <v>134</v>
      </c>
      <c r="B59" s="181" t="s">
        <v>183</v>
      </c>
      <c r="C59" s="182">
        <f>'Staff Calcs '!M47</f>
        <v>247.30653435208379</v>
      </c>
      <c r="D59" s="182">
        <f>'Staff Calcs '!L47</f>
        <v>7.9024654103717369</v>
      </c>
      <c r="E59" s="182">
        <f t="shared" si="0"/>
        <v>255.20899976245553</v>
      </c>
      <c r="F59" s="178"/>
      <c r="G59" s="178"/>
      <c r="H59" s="178">
        <v>255.20899976245553</v>
      </c>
      <c r="I59" s="178"/>
      <c r="J59" s="178">
        <v>247.30653435208379</v>
      </c>
      <c r="K59" s="178"/>
      <c r="L59" s="178"/>
      <c r="M59" s="178"/>
      <c r="N59" s="178"/>
      <c r="O59" s="178"/>
      <c r="P59" s="178"/>
    </row>
    <row r="60" spans="1:16">
      <c r="A60" s="181" t="s">
        <v>135</v>
      </c>
      <c r="B60" s="181" t="s">
        <v>183</v>
      </c>
      <c r="C60" s="182">
        <f>'Staff Calcs '!M72</f>
        <v>294.38642580108871</v>
      </c>
      <c r="D60" s="182">
        <f>'Staff Calcs '!L72</f>
        <v>10.241012053717716</v>
      </c>
      <c r="E60" s="182">
        <f t="shared" si="0"/>
        <v>304.62743785480643</v>
      </c>
      <c r="F60" s="178"/>
      <c r="G60" s="178"/>
      <c r="H60" s="178">
        <v>304.62743785480643</v>
      </c>
      <c r="I60" s="178"/>
      <c r="J60" s="178">
        <v>294.38642580108871</v>
      </c>
      <c r="K60" s="178"/>
      <c r="L60" s="178"/>
      <c r="M60" s="178"/>
      <c r="N60" s="178"/>
      <c r="O60" s="178"/>
      <c r="P60" s="178"/>
    </row>
    <row r="61" spans="1:16">
      <c r="A61" s="181" t="s">
        <v>136</v>
      </c>
      <c r="B61" s="181" t="s">
        <v>183</v>
      </c>
      <c r="C61" s="182">
        <f>'Staff Calcs '!M73</f>
        <v>341.7702966236663</v>
      </c>
      <c r="D61" s="182">
        <f>'Staff Calcs '!L73</f>
        <v>12.427705018924344</v>
      </c>
      <c r="E61" s="182">
        <f t="shared" si="0"/>
        <v>354.19800164259067</v>
      </c>
      <c r="F61" s="178"/>
      <c r="G61" s="178"/>
      <c r="H61" s="178">
        <v>354.19800164259067</v>
      </c>
      <c r="I61" s="178"/>
      <c r="J61" s="178">
        <v>341.7702966236663</v>
      </c>
      <c r="K61" s="178"/>
      <c r="L61" s="178"/>
      <c r="M61" s="178"/>
      <c r="N61" s="178"/>
      <c r="O61" s="178"/>
      <c r="P61" s="178"/>
    </row>
    <row r="62" spans="1:16">
      <c r="A62" s="181" t="s">
        <v>137</v>
      </c>
      <c r="B62" s="181" t="s">
        <v>183</v>
      </c>
      <c r="C62" s="182">
        <f>'Staff Calcs '!M74</f>
        <v>428.57121440407013</v>
      </c>
      <c r="D62" s="182">
        <f>'Staff Calcs '!L74</f>
        <v>14.031279860075875</v>
      </c>
      <c r="E62" s="182">
        <f t="shared" si="0"/>
        <v>442.602494264146</v>
      </c>
      <c r="F62" s="178"/>
      <c r="G62" s="178"/>
      <c r="H62" s="178">
        <v>442.602494264146</v>
      </c>
      <c r="I62" s="178"/>
      <c r="J62" s="178">
        <v>428.57121440407013</v>
      </c>
      <c r="K62" s="178"/>
      <c r="L62" s="178"/>
      <c r="M62" s="178"/>
      <c r="N62" s="178"/>
      <c r="O62" s="178"/>
      <c r="P62" s="178"/>
    </row>
    <row r="63" spans="1:16">
      <c r="A63" s="181"/>
      <c r="B63" s="181"/>
      <c r="C63" s="182"/>
      <c r="D63" s="182"/>
      <c r="E63" s="182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</row>
    <row r="64" spans="1:16">
      <c r="A64" s="181" t="s">
        <v>196</v>
      </c>
      <c r="B64" s="181" t="s">
        <v>183</v>
      </c>
      <c r="C64" s="182">
        <f>C57</f>
        <v>137.96829966718153</v>
      </c>
      <c r="D64" s="182">
        <f>D57</f>
        <v>2.9277389145266546</v>
      </c>
      <c r="E64" s="182">
        <f t="shared" ref="E64:E65" si="4">C64+D64</f>
        <v>140.89603858170818</v>
      </c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</row>
    <row r="65" spans="1:16">
      <c r="A65" s="181" t="s">
        <v>197</v>
      </c>
      <c r="B65" s="181" t="s">
        <v>183</v>
      </c>
      <c r="C65" s="182">
        <f t="shared" ref="C65:D69" si="5">C58</f>
        <v>197.1207312800868</v>
      </c>
      <c r="D65" s="182">
        <f t="shared" si="5"/>
        <v>5.4181392360119824</v>
      </c>
      <c r="E65" s="182">
        <f t="shared" si="4"/>
        <v>202.5388705160988</v>
      </c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</row>
    <row r="66" spans="1:16">
      <c r="A66" s="181" t="s">
        <v>191</v>
      </c>
      <c r="B66" s="181" t="s">
        <v>183</v>
      </c>
      <c r="C66" s="182">
        <f t="shared" si="5"/>
        <v>247.30653435208379</v>
      </c>
      <c r="D66" s="182">
        <f t="shared" si="5"/>
        <v>7.9024654103717369</v>
      </c>
      <c r="E66" s="182">
        <f t="shared" ref="E66:E69" si="6">C66+D66</f>
        <v>255.20899976245553</v>
      </c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</row>
    <row r="67" spans="1:16">
      <c r="A67" s="181" t="s">
        <v>192</v>
      </c>
      <c r="B67" s="181" t="s">
        <v>183</v>
      </c>
      <c r="C67" s="182">
        <f t="shared" si="5"/>
        <v>294.38642580108871</v>
      </c>
      <c r="D67" s="182">
        <f t="shared" si="5"/>
        <v>10.241012053717716</v>
      </c>
      <c r="E67" s="182">
        <f t="shared" si="6"/>
        <v>304.62743785480643</v>
      </c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</row>
    <row r="68" spans="1:16">
      <c r="A68" s="181" t="s">
        <v>193</v>
      </c>
      <c r="B68" s="181" t="s">
        <v>183</v>
      </c>
      <c r="C68" s="182">
        <f t="shared" si="5"/>
        <v>341.7702966236663</v>
      </c>
      <c r="D68" s="182">
        <f t="shared" si="5"/>
        <v>12.427705018924344</v>
      </c>
      <c r="E68" s="182">
        <f t="shared" si="6"/>
        <v>354.19800164259067</v>
      </c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</row>
    <row r="69" spans="1:16">
      <c r="A69" s="181" t="s">
        <v>194</v>
      </c>
      <c r="B69" s="181" t="s">
        <v>183</v>
      </c>
      <c r="C69" s="182">
        <f t="shared" si="5"/>
        <v>428.57121440407013</v>
      </c>
      <c r="D69" s="182">
        <f t="shared" si="5"/>
        <v>14.031279860075875</v>
      </c>
      <c r="E69" s="182">
        <f t="shared" si="6"/>
        <v>442.602494264146</v>
      </c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</row>
    <row r="70" spans="1:16">
      <c r="A70" s="172"/>
      <c r="B70" s="172"/>
      <c r="C70" s="178"/>
      <c r="D70" s="171"/>
      <c r="E70" s="171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</row>
    <row r="71" spans="1:16">
      <c r="A71" s="168" t="s">
        <v>142</v>
      </c>
      <c r="B71" s="172"/>
      <c r="C71" s="178"/>
      <c r="D71" s="171"/>
      <c r="E71" s="171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</row>
    <row r="72" spans="1:16">
      <c r="A72" s="181" t="s">
        <v>132</v>
      </c>
      <c r="B72" s="181" t="s">
        <v>183</v>
      </c>
      <c r="C72" s="182">
        <f>'Staff Calcs '!M75</f>
        <v>152.82045129054515</v>
      </c>
      <c r="D72" s="182">
        <f>'Staff Calcs '!L75</f>
        <v>2.9277389145266546</v>
      </c>
      <c r="E72" s="182">
        <f t="shared" si="0"/>
        <v>155.74819020507181</v>
      </c>
      <c r="F72" s="178"/>
      <c r="G72" s="178"/>
      <c r="H72" s="178">
        <v>155.74819020507181</v>
      </c>
      <c r="I72" s="178"/>
      <c r="J72" s="178"/>
      <c r="K72" s="178"/>
      <c r="L72" s="178"/>
      <c r="M72" s="178"/>
      <c r="N72" s="178"/>
      <c r="O72" s="178"/>
      <c r="P72" s="178"/>
    </row>
    <row r="73" spans="1:16">
      <c r="A73" s="181" t="s">
        <v>133</v>
      </c>
      <c r="B73" s="181" t="s">
        <v>183</v>
      </c>
      <c r="C73" s="182">
        <f>'Staff Calcs '!M76</f>
        <v>235.61263841065968</v>
      </c>
      <c r="D73" s="182">
        <f>'Staff Calcs '!L76</f>
        <v>5.4181392360119824</v>
      </c>
      <c r="E73" s="182">
        <f t="shared" si="0"/>
        <v>241.03077764667168</v>
      </c>
      <c r="F73" s="178"/>
      <c r="G73" s="178"/>
      <c r="H73" s="178">
        <v>241.03077764667168</v>
      </c>
      <c r="I73" s="178"/>
      <c r="J73" s="178"/>
      <c r="K73" s="178"/>
      <c r="L73" s="178"/>
      <c r="M73" s="178"/>
      <c r="N73" s="178"/>
      <c r="O73" s="178"/>
      <c r="P73" s="178"/>
    </row>
    <row r="74" spans="1:16">
      <c r="A74" s="181" t="s">
        <v>134</v>
      </c>
      <c r="B74" s="181" t="s">
        <v>183</v>
      </c>
      <c r="C74" s="182">
        <f>'Staff Calcs '!M77</f>
        <v>301.52219261969066</v>
      </c>
      <c r="D74" s="182">
        <f>'Staff Calcs '!L77</f>
        <v>7.902465410371736</v>
      </c>
      <c r="E74" s="182">
        <f t="shared" si="0"/>
        <v>309.4246580300624</v>
      </c>
      <c r="F74" s="178"/>
      <c r="G74" s="178"/>
      <c r="H74" s="178">
        <v>309.4246580300624</v>
      </c>
      <c r="I74" s="178"/>
      <c r="J74" s="178"/>
      <c r="K74" s="178"/>
      <c r="L74" s="178"/>
      <c r="M74" s="178"/>
      <c r="N74" s="178"/>
      <c r="O74" s="178"/>
      <c r="P74" s="178"/>
    </row>
    <row r="75" spans="1:16">
      <c r="A75" s="181" t="s">
        <v>135</v>
      </c>
      <c r="B75" s="181" t="s">
        <v>183</v>
      </c>
      <c r="C75" s="182">
        <f>'Staff Calcs '!M78</f>
        <v>367.11570720297067</v>
      </c>
      <c r="D75" s="182">
        <f>'Staff Calcs '!L78</f>
        <v>10.241012053717716</v>
      </c>
      <c r="E75" s="182">
        <f t="shared" si="0"/>
        <v>377.35671925668839</v>
      </c>
      <c r="F75" s="178"/>
      <c r="G75" s="178"/>
      <c r="H75" s="178">
        <v>377.35671925668839</v>
      </c>
      <c r="I75" s="178"/>
      <c r="J75" s="178"/>
      <c r="K75" s="178"/>
      <c r="L75" s="178"/>
      <c r="M75" s="178"/>
      <c r="N75" s="178"/>
      <c r="O75" s="178"/>
      <c r="P75" s="178"/>
    </row>
    <row r="76" spans="1:16">
      <c r="A76" s="181" t="s">
        <v>136</v>
      </c>
      <c r="B76" s="181" t="s">
        <v>183</v>
      </c>
      <c r="C76" s="182">
        <f>'Staff Calcs '!M79</f>
        <v>432.35240285395116</v>
      </c>
      <c r="D76" s="182">
        <f>'Staff Calcs '!L79</f>
        <v>12.427705018924344</v>
      </c>
      <c r="E76" s="182">
        <f t="shared" si="0"/>
        <v>444.78010787287553</v>
      </c>
      <c r="F76" s="178"/>
      <c r="G76" s="178"/>
      <c r="H76" s="178">
        <v>444.78010787287553</v>
      </c>
      <c r="I76" s="178"/>
      <c r="J76" s="178"/>
      <c r="K76" s="178"/>
      <c r="L76" s="178"/>
      <c r="M76" s="178"/>
      <c r="N76" s="178"/>
      <c r="O76" s="178"/>
      <c r="P76" s="178"/>
    </row>
    <row r="77" spans="1:16">
      <c r="A77" s="181" t="s">
        <v>137</v>
      </c>
      <c r="B77" s="181" t="s">
        <v>183</v>
      </c>
      <c r="C77" s="182">
        <f>'Staff Calcs '!M80</f>
        <v>496.21279690891953</v>
      </c>
      <c r="D77" s="182">
        <f>'Staff Calcs '!L80</f>
        <v>14.031279860075875</v>
      </c>
      <c r="E77" s="182">
        <f t="shared" si="0"/>
        <v>510.2440767689954</v>
      </c>
      <c r="F77" s="178"/>
      <c r="G77" s="178"/>
      <c r="H77" s="178">
        <v>510.2440767689954</v>
      </c>
      <c r="I77" s="178"/>
      <c r="J77" s="178"/>
      <c r="K77" s="178"/>
      <c r="L77" s="178"/>
      <c r="M77" s="178"/>
      <c r="N77" s="178"/>
      <c r="O77" s="178"/>
      <c r="P77" s="178"/>
    </row>
    <row r="78" spans="1:16">
      <c r="A78" s="172"/>
      <c r="B78" s="172"/>
      <c r="C78" s="178"/>
      <c r="D78" s="171"/>
      <c r="E78" s="171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</row>
    <row r="79" spans="1:16">
      <c r="A79" s="185" t="s">
        <v>167</v>
      </c>
      <c r="B79" s="172"/>
      <c r="C79" s="178"/>
      <c r="D79" s="171"/>
      <c r="E79" s="171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</row>
    <row r="80" spans="1:16">
      <c r="A80" s="181" t="s">
        <v>168</v>
      </c>
      <c r="B80" s="181"/>
      <c r="C80" s="182">
        <f>'Staff Calcs '!M113</f>
        <v>17.579999999999998</v>
      </c>
      <c r="D80" s="182">
        <f>'Staff Calcs '!L113</f>
        <v>0.75926839069674645</v>
      </c>
      <c r="E80" s="182">
        <f t="shared" ref="E80:E81" si="7">C80+D80</f>
        <v>18.339268390696745</v>
      </c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</row>
    <row r="81" spans="1:23">
      <c r="A81" s="181" t="s">
        <v>195</v>
      </c>
      <c r="B81" s="181"/>
      <c r="C81" s="182">
        <f>'Staff Calcs '!M114</f>
        <v>17.579999999999998</v>
      </c>
      <c r="D81" s="182">
        <f>'Staff Calcs '!L114</f>
        <v>0.75926839069674645</v>
      </c>
      <c r="E81" s="182">
        <f t="shared" si="7"/>
        <v>18.339268390696745</v>
      </c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</row>
    <row r="82" spans="1:23">
      <c r="A82" s="172"/>
      <c r="B82" s="172"/>
      <c r="C82" s="178"/>
      <c r="D82" s="171"/>
      <c r="E82" s="171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</row>
    <row r="83" spans="1:23">
      <c r="A83" s="172"/>
      <c r="B83" s="172"/>
      <c r="C83" s="178"/>
      <c r="D83" s="171"/>
      <c r="E83" s="171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</row>
    <row r="84" spans="1:23">
      <c r="A84" s="168" t="s">
        <v>143</v>
      </c>
      <c r="B84" s="172"/>
      <c r="C84" s="178"/>
      <c r="D84" s="171"/>
      <c r="E84" s="171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</row>
    <row r="85" spans="1:23">
      <c r="A85" s="184" t="s">
        <v>107</v>
      </c>
      <c r="B85" s="172" t="s">
        <v>183</v>
      </c>
      <c r="C85" s="178">
        <f>'Staff Calcs '!M15</f>
        <v>4.5396773332804923</v>
      </c>
      <c r="D85" s="178">
        <f>'Staff Calcs '!L15</f>
        <v>0.17615026664164513</v>
      </c>
      <c r="E85" s="171">
        <f t="shared" ref="E85:E152" si="8">C85+D85</f>
        <v>4.7158275999221377</v>
      </c>
      <c r="F85" s="178"/>
      <c r="G85" s="178"/>
      <c r="H85" s="178">
        <v>4.7158275999221377</v>
      </c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</row>
    <row r="86" spans="1:23">
      <c r="A86" s="184" t="s">
        <v>126</v>
      </c>
      <c r="B86" s="172" t="s">
        <v>183</v>
      </c>
      <c r="C86" s="178">
        <f>+'Staff Calcs '!M16</f>
        <v>7.4094368622923463</v>
      </c>
      <c r="D86" s="178">
        <f>'Staff Calcs '!L16</f>
        <v>0.28548491490197664</v>
      </c>
      <c r="E86" s="171">
        <f t="shared" si="8"/>
        <v>7.694921777194323</v>
      </c>
      <c r="F86" s="178"/>
      <c r="G86" s="178"/>
      <c r="H86" s="178">
        <v>7.694921777194323</v>
      </c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</row>
    <row r="87" spans="1:23">
      <c r="A87" s="184" t="s">
        <v>108</v>
      </c>
      <c r="B87" s="172" t="s">
        <v>183</v>
      </c>
      <c r="C87" s="178">
        <f>'Staff Calcs '!M17</f>
        <v>11.059936169707635</v>
      </c>
      <c r="D87" s="178">
        <f>'Staff Calcs '!L17</f>
        <v>0.41304200453903001</v>
      </c>
      <c r="E87" s="171">
        <f t="shared" si="8"/>
        <v>11.472978174246665</v>
      </c>
      <c r="F87" s="178"/>
      <c r="G87" s="178"/>
      <c r="H87" s="178">
        <v>11.472978174246665</v>
      </c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</row>
    <row r="88" spans="1:23">
      <c r="A88" s="184" t="s">
        <v>109</v>
      </c>
      <c r="B88" s="172" t="s">
        <v>183</v>
      </c>
      <c r="C88" s="178">
        <f>'Staff Calcs '!M18</f>
        <v>23.807783349843852</v>
      </c>
      <c r="D88" s="178">
        <f>'Staff Calcs '!L18</f>
        <v>1.0629757469754451</v>
      </c>
      <c r="E88" s="171">
        <f t="shared" si="8"/>
        <v>24.870759096819299</v>
      </c>
      <c r="F88" s="178"/>
      <c r="G88" s="178"/>
      <c r="H88" s="178">
        <v>24.870759096819299</v>
      </c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</row>
    <row r="89" spans="1:23">
      <c r="A89" s="184" t="s">
        <v>110</v>
      </c>
      <c r="B89" s="172" t="s">
        <v>183</v>
      </c>
      <c r="C89" s="178">
        <f>'Staff Calcs '!M19</f>
        <v>32.101773682452006</v>
      </c>
      <c r="D89" s="178">
        <f>'Staff Calcs '!L19</f>
        <v>1.5185367813934927</v>
      </c>
      <c r="E89" s="171">
        <f t="shared" si="8"/>
        <v>33.620310463845499</v>
      </c>
      <c r="F89" s="178"/>
      <c r="G89" s="178"/>
      <c r="H89" s="178">
        <v>33.620310463845499</v>
      </c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</row>
    <row r="90" spans="1:23">
      <c r="A90" s="184" t="s">
        <v>111</v>
      </c>
      <c r="B90" s="172" t="s">
        <v>183</v>
      </c>
      <c r="C90" s="178">
        <f>'Staff Calcs '!M20</f>
        <v>44.356175650029904</v>
      </c>
      <c r="D90" s="178">
        <f>'Staff Calcs '!L20</f>
        <v>1.9680236686859667</v>
      </c>
      <c r="E90" s="171">
        <f t="shared" si="8"/>
        <v>46.32419931871587</v>
      </c>
      <c r="F90" s="178"/>
      <c r="G90" s="178"/>
      <c r="H90" s="178">
        <v>46.32419931871587</v>
      </c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</row>
    <row r="91" spans="1:23">
      <c r="A91" s="184" t="s">
        <v>112</v>
      </c>
      <c r="B91" s="172" t="s">
        <v>183</v>
      </c>
      <c r="C91" s="178">
        <f>'Staff Calcs '!M21</f>
        <v>63.1204732887186</v>
      </c>
      <c r="D91" s="178">
        <f>'Staff Calcs '!L21</f>
        <v>2.8730715903964881</v>
      </c>
      <c r="E91" s="171">
        <f t="shared" si="8"/>
        <v>65.993544879115092</v>
      </c>
      <c r="F91" s="178"/>
      <c r="G91" s="178"/>
      <c r="H91" s="178">
        <v>65.993544879115092</v>
      </c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</row>
    <row r="92" spans="1:23">
      <c r="A92" s="184" t="s">
        <v>113</v>
      </c>
      <c r="B92" s="172" t="s">
        <v>183</v>
      </c>
      <c r="C92" s="178">
        <f>'Staff Calcs '!M22</f>
        <v>78.971641300517845</v>
      </c>
      <c r="D92" s="178">
        <f>'Staff Calcs '!L22</f>
        <v>3.7234521879768443</v>
      </c>
      <c r="E92" s="171">
        <f t="shared" si="8"/>
        <v>82.695093488494692</v>
      </c>
      <c r="F92" s="178"/>
      <c r="G92" s="178"/>
      <c r="H92" s="178">
        <v>82.695093488494692</v>
      </c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</row>
    <row r="93" spans="1:23">
      <c r="A93" s="184" t="s">
        <v>114</v>
      </c>
      <c r="B93" s="172" t="s">
        <v>183</v>
      </c>
      <c r="C93" s="178">
        <f>'Staff Calcs '!M23</f>
        <v>116.82198880787757</v>
      </c>
      <c r="D93" s="178">
        <f>'Staff Calcs '!L23</f>
        <v>5.1022835854821356</v>
      </c>
      <c r="E93" s="171">
        <f t="shared" si="8"/>
        <v>121.92427239335971</v>
      </c>
      <c r="F93" s="178"/>
      <c r="G93" s="178"/>
      <c r="H93" s="178">
        <v>121.92427239335971</v>
      </c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</row>
    <row r="94" spans="1:23">
      <c r="A94" s="184" t="s">
        <v>115</v>
      </c>
      <c r="B94" s="172" t="s">
        <v>183</v>
      </c>
      <c r="C94" s="178">
        <f>'Staff Calcs '!M24</f>
        <v>146.49734173962207</v>
      </c>
      <c r="D94" s="178">
        <f>'Staff Calcs '!L24</f>
        <v>5.9526641830624927</v>
      </c>
      <c r="E94" s="171">
        <f t="shared" si="8"/>
        <v>152.45000592268457</v>
      </c>
      <c r="F94" s="178"/>
      <c r="G94" s="178"/>
      <c r="H94" s="178">
        <v>152.45000592268457</v>
      </c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</row>
    <row r="95" spans="1:23">
      <c r="A95" s="184"/>
      <c r="B95" s="172"/>
      <c r="C95" s="178"/>
      <c r="D95" s="171"/>
      <c r="E95" s="171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</row>
    <row r="96" spans="1:23">
      <c r="A96" s="183" t="s">
        <v>138</v>
      </c>
      <c r="B96" s="181" t="s">
        <v>183</v>
      </c>
      <c r="C96" s="182">
        <f>+'Staff Calcs '!M84</f>
        <v>9.6646956519971177</v>
      </c>
      <c r="D96" s="182">
        <f>+'Staff Calcs '!L84</f>
        <v>0.17615026664164515</v>
      </c>
      <c r="E96" s="182">
        <f t="shared" si="8"/>
        <v>9.8408459186387631</v>
      </c>
      <c r="F96" s="178"/>
      <c r="G96" s="178"/>
      <c r="H96" s="178">
        <v>9.8408459186387631</v>
      </c>
      <c r="I96" s="178"/>
      <c r="J96" s="178"/>
      <c r="K96" s="178"/>
      <c r="L96" s="178"/>
      <c r="M96" s="178"/>
      <c r="N96" s="178"/>
      <c r="O96" s="178"/>
      <c r="P96" s="178"/>
    </row>
    <row r="97" spans="1:16">
      <c r="A97" s="183" t="s">
        <v>128</v>
      </c>
      <c r="B97" s="181" t="s">
        <v>183</v>
      </c>
      <c r="C97" s="182">
        <f>+'Staff Calcs '!M85</f>
        <v>11.112361034469259</v>
      </c>
      <c r="D97" s="182">
        <f>+'Staff Calcs '!L85</f>
        <v>0.28548491490197664</v>
      </c>
      <c r="E97" s="182">
        <f t="shared" si="8"/>
        <v>11.397845949371236</v>
      </c>
      <c r="F97" s="178"/>
      <c r="G97" s="178"/>
      <c r="H97" s="178">
        <v>11.397845949371236</v>
      </c>
      <c r="I97" s="178"/>
      <c r="J97" s="178"/>
      <c r="K97" s="178"/>
      <c r="L97" s="178"/>
      <c r="M97" s="178"/>
      <c r="N97" s="178"/>
      <c r="O97" s="178"/>
      <c r="P97" s="178"/>
    </row>
    <row r="98" spans="1:16">
      <c r="A98" s="183" t="s">
        <v>139</v>
      </c>
      <c r="B98" s="181" t="s">
        <v>183</v>
      </c>
      <c r="C98" s="182">
        <f>+'Staff Calcs '!M86</f>
        <v>13.732431480211094</v>
      </c>
      <c r="D98" s="182">
        <f>+'Staff Calcs '!L86</f>
        <v>0.41304200453903012</v>
      </c>
      <c r="E98" s="182">
        <f t="shared" si="8"/>
        <v>14.145473484750124</v>
      </c>
      <c r="F98" s="178"/>
      <c r="G98" s="178"/>
      <c r="H98" s="178">
        <v>14.145473484750124</v>
      </c>
      <c r="I98" s="178"/>
      <c r="J98" s="178"/>
      <c r="K98" s="178"/>
      <c r="L98" s="178"/>
      <c r="M98" s="178"/>
      <c r="N98" s="178"/>
      <c r="O98" s="178"/>
      <c r="P98" s="178"/>
    </row>
    <row r="99" spans="1:16">
      <c r="A99" s="184" t="s">
        <v>117</v>
      </c>
      <c r="B99" s="172" t="s">
        <v>183</v>
      </c>
      <c r="C99" s="178">
        <f>'Staff Calcs '!M25</f>
        <v>25.428760785147166</v>
      </c>
      <c r="D99" s="178">
        <f>'Staff Calcs '!L25</f>
        <v>1.0629757469754448</v>
      </c>
      <c r="E99" s="171">
        <f t="shared" si="8"/>
        <v>26.491736532122609</v>
      </c>
      <c r="F99" s="178"/>
      <c r="G99" s="178"/>
      <c r="H99" s="178">
        <v>26.491736532122609</v>
      </c>
      <c r="I99" s="178"/>
      <c r="J99" s="178"/>
      <c r="K99" s="178"/>
      <c r="L99" s="178"/>
      <c r="M99" s="178"/>
      <c r="N99" s="178"/>
      <c r="O99" s="178"/>
      <c r="P99" s="178"/>
    </row>
    <row r="100" spans="1:16">
      <c r="A100" s="183" t="s">
        <v>131</v>
      </c>
      <c r="B100" s="181" t="s">
        <v>183</v>
      </c>
      <c r="C100" s="182">
        <f>+'Staff Calcs '!M109</f>
        <v>33.064685936355858</v>
      </c>
      <c r="D100" s="182">
        <f>'Staff Calcs '!L109</f>
        <v>1.5185367813934929</v>
      </c>
      <c r="E100" s="182">
        <f t="shared" si="8"/>
        <v>34.583222717749351</v>
      </c>
      <c r="F100" s="178"/>
      <c r="G100" s="178"/>
      <c r="H100" s="178">
        <v>34.583222717749351</v>
      </c>
      <c r="I100" s="178"/>
      <c r="J100" s="178"/>
      <c r="K100" s="178"/>
      <c r="L100" s="178"/>
      <c r="M100" s="178"/>
      <c r="N100" s="178"/>
      <c r="O100" s="178"/>
      <c r="P100" s="178"/>
    </row>
    <row r="101" spans="1:16">
      <c r="A101" s="184" t="s">
        <v>118</v>
      </c>
      <c r="B101" s="172" t="s">
        <v>183</v>
      </c>
      <c r="C101" s="178">
        <f>'Staff Calcs '!M26</f>
        <v>48.138456332404303</v>
      </c>
      <c r="D101" s="178">
        <f>'Staff Calcs '!L26</f>
        <v>1.9680236686859667</v>
      </c>
      <c r="E101" s="171">
        <f t="shared" si="8"/>
        <v>50.106480001090269</v>
      </c>
      <c r="F101" s="178"/>
      <c r="G101" s="178"/>
      <c r="H101" s="178">
        <v>50.106480001090269</v>
      </c>
      <c r="I101" s="178"/>
      <c r="J101" s="178"/>
      <c r="K101" s="178"/>
      <c r="L101" s="178"/>
      <c r="M101" s="178"/>
      <c r="N101" s="178"/>
      <c r="O101" s="178"/>
      <c r="P101" s="178"/>
    </row>
    <row r="102" spans="1:16">
      <c r="A102" s="184" t="s">
        <v>119</v>
      </c>
      <c r="B102" s="172" t="s">
        <v>183</v>
      </c>
      <c r="C102" s="178">
        <f>'Staff Calcs '!M27</f>
        <v>66.790610878084593</v>
      </c>
      <c r="D102" s="178">
        <f>'Staff Calcs '!L27</f>
        <v>2.8730715903964885</v>
      </c>
      <c r="E102" s="171">
        <f t="shared" si="8"/>
        <v>69.663682468481085</v>
      </c>
      <c r="F102" s="178"/>
      <c r="G102" s="178"/>
      <c r="H102" s="178">
        <v>69.663682468481085</v>
      </c>
      <c r="I102" s="178"/>
      <c r="J102" s="178"/>
      <c r="K102" s="178"/>
      <c r="L102" s="178"/>
      <c r="M102" s="178"/>
      <c r="N102" s="178"/>
      <c r="O102" s="178"/>
      <c r="P102" s="178"/>
    </row>
    <row r="103" spans="1:16">
      <c r="A103" s="184" t="s">
        <v>120</v>
      </c>
      <c r="B103" s="172" t="s">
        <v>183</v>
      </c>
      <c r="C103" s="178">
        <f>'Staff Calcs '!M28</f>
        <v>82.437882357141277</v>
      </c>
      <c r="D103" s="178">
        <f>'Staff Calcs '!L28</f>
        <v>3.7234521879768447</v>
      </c>
      <c r="E103" s="171">
        <f t="shared" si="8"/>
        <v>86.161334545118123</v>
      </c>
      <c r="F103" s="178"/>
      <c r="G103" s="178"/>
      <c r="H103" s="178">
        <v>86.161334545118123</v>
      </c>
      <c r="I103" s="178"/>
      <c r="J103" s="178"/>
      <c r="K103" s="178"/>
      <c r="L103" s="178"/>
      <c r="M103" s="178"/>
      <c r="N103" s="178"/>
      <c r="O103" s="178"/>
      <c r="P103" s="178"/>
    </row>
    <row r="104" spans="1:16">
      <c r="A104" s="184" t="s">
        <v>121</v>
      </c>
      <c r="B104" s="172" t="s">
        <v>183</v>
      </c>
      <c r="C104" s="178">
        <f>'Staff Calcs '!M29</f>
        <v>123.19375545608243</v>
      </c>
      <c r="D104" s="178">
        <f>'Staff Calcs '!L29</f>
        <v>5.1022835854821356</v>
      </c>
      <c r="E104" s="171">
        <f t="shared" si="8"/>
        <v>128.29603904156457</v>
      </c>
      <c r="F104" s="178"/>
      <c r="G104" s="178"/>
      <c r="H104" s="178">
        <v>128.29603904156457</v>
      </c>
      <c r="I104" s="178"/>
      <c r="J104" s="178"/>
      <c r="K104" s="178"/>
      <c r="L104" s="178"/>
      <c r="M104" s="178"/>
      <c r="N104" s="178"/>
      <c r="O104" s="178"/>
      <c r="P104" s="178"/>
    </row>
    <row r="105" spans="1:16">
      <c r="A105" s="184" t="s">
        <v>122</v>
      </c>
      <c r="B105" s="172" t="s">
        <v>183</v>
      </c>
      <c r="C105" s="178">
        <f>'Staff Calcs '!M30</f>
        <v>149.37228285129208</v>
      </c>
      <c r="D105" s="178">
        <f>'Staff Calcs '!L30</f>
        <v>5.9526641830624918</v>
      </c>
      <c r="E105" s="171">
        <f t="shared" si="8"/>
        <v>155.32494703435458</v>
      </c>
      <c r="F105" s="178"/>
      <c r="G105" s="178"/>
      <c r="H105" s="178">
        <v>155.32494703435458</v>
      </c>
      <c r="I105" s="178"/>
      <c r="J105" s="178"/>
      <c r="K105" s="178"/>
      <c r="L105" s="178"/>
      <c r="M105" s="178"/>
      <c r="N105" s="178"/>
      <c r="O105" s="178"/>
      <c r="P105" s="178"/>
    </row>
    <row r="106" spans="1:16">
      <c r="A106" s="172"/>
      <c r="B106" s="172"/>
      <c r="C106" s="178"/>
      <c r="D106" s="178"/>
      <c r="E106" s="171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</row>
    <row r="107" spans="1:16">
      <c r="A107" s="183" t="s">
        <v>153</v>
      </c>
      <c r="B107" s="181" t="s">
        <v>183</v>
      </c>
      <c r="C107" s="182">
        <f>+'Staff Calcs '!M110</f>
        <v>25.428760785147166</v>
      </c>
      <c r="D107" s="182">
        <f>'Staff Calcs '!L110</f>
        <v>1.0629757469754448</v>
      </c>
      <c r="E107" s="182">
        <f t="shared" ref="E107:E113" si="9">C107+D107</f>
        <v>26.491736532122609</v>
      </c>
      <c r="F107" s="178"/>
      <c r="G107" s="178"/>
      <c r="H107" s="178">
        <v>26.491736532122609</v>
      </c>
      <c r="I107" s="178"/>
      <c r="J107" s="178"/>
      <c r="K107" s="178"/>
      <c r="L107" s="178"/>
      <c r="M107" s="178"/>
      <c r="N107" s="178"/>
      <c r="O107" s="178"/>
      <c r="P107" s="178"/>
    </row>
    <row r="108" spans="1:16">
      <c r="A108" s="183" t="s">
        <v>154</v>
      </c>
      <c r="B108" s="181" t="s">
        <v>183</v>
      </c>
      <c r="C108" s="182">
        <f>+'Staff Calcs '!M111</f>
        <v>33.064685936355858</v>
      </c>
      <c r="D108" s="182">
        <f>'Staff Calcs '!L111</f>
        <v>1.5185367813934929</v>
      </c>
      <c r="E108" s="182">
        <f t="shared" si="9"/>
        <v>34.583222717749351</v>
      </c>
      <c r="F108" s="178"/>
      <c r="G108" s="178"/>
      <c r="H108" s="178">
        <v>34.583222717749351</v>
      </c>
      <c r="I108" s="178"/>
      <c r="J108" s="178"/>
      <c r="K108" s="178"/>
      <c r="L108" s="178"/>
      <c r="M108" s="178"/>
      <c r="N108" s="178"/>
      <c r="O108" s="178"/>
      <c r="P108" s="178"/>
    </row>
    <row r="109" spans="1:16">
      <c r="A109" s="183" t="s">
        <v>155</v>
      </c>
      <c r="B109" s="181" t="s">
        <v>183</v>
      </c>
      <c r="C109" s="182">
        <f>+'Staff Calcs '!M112</f>
        <v>48.138456332404303</v>
      </c>
      <c r="D109" s="182">
        <f>'Staff Calcs '!L112</f>
        <v>1.9680236686859667</v>
      </c>
      <c r="E109" s="182">
        <f t="shared" si="9"/>
        <v>50.106480001090269</v>
      </c>
      <c r="F109" s="178"/>
      <c r="G109" s="178"/>
      <c r="H109" s="178">
        <v>50.106480001090269</v>
      </c>
      <c r="I109" s="178"/>
      <c r="J109" s="178"/>
      <c r="K109" s="178"/>
      <c r="L109" s="178"/>
      <c r="M109" s="178"/>
      <c r="N109" s="178"/>
      <c r="O109" s="178"/>
      <c r="P109" s="178"/>
    </row>
    <row r="110" spans="1:16">
      <c r="A110" s="273" t="s">
        <v>156</v>
      </c>
      <c r="B110" s="274" t="s">
        <v>183</v>
      </c>
      <c r="C110" s="178">
        <f>+'Staff Calcs '!M31</f>
        <v>66.790610878084593</v>
      </c>
      <c r="D110" s="178">
        <f>'Staff Calcs '!L31</f>
        <v>1.0629757469754448</v>
      </c>
      <c r="E110" s="178">
        <f t="shared" si="9"/>
        <v>67.853586625060032</v>
      </c>
      <c r="F110" s="178"/>
      <c r="G110" s="178"/>
      <c r="H110" s="178">
        <v>67.853586625060032</v>
      </c>
      <c r="I110" s="178"/>
      <c r="J110" s="178"/>
      <c r="K110" s="178"/>
      <c r="L110" s="178"/>
      <c r="M110" s="178"/>
      <c r="N110" s="178"/>
      <c r="O110" s="178"/>
      <c r="P110" s="178"/>
    </row>
    <row r="111" spans="1:16">
      <c r="A111" s="273" t="s">
        <v>157</v>
      </c>
      <c r="B111" s="274" t="s">
        <v>183</v>
      </c>
      <c r="C111" s="178">
        <f>+'Staff Calcs '!M32</f>
        <v>82.437882357141277</v>
      </c>
      <c r="D111" s="178">
        <f>'Staff Calcs '!L32</f>
        <v>1.5185367813934929</v>
      </c>
      <c r="E111" s="178">
        <f t="shared" si="9"/>
        <v>83.95641913853477</v>
      </c>
      <c r="F111" s="178"/>
      <c r="G111" s="178"/>
      <c r="H111" s="178">
        <v>83.95641913853477</v>
      </c>
      <c r="I111" s="178"/>
      <c r="J111" s="178"/>
      <c r="K111" s="178"/>
      <c r="L111" s="178"/>
      <c r="M111" s="178"/>
      <c r="N111" s="178"/>
      <c r="O111" s="178"/>
      <c r="P111" s="178"/>
    </row>
    <row r="112" spans="1:16">
      <c r="A112" s="273" t="s">
        <v>158</v>
      </c>
      <c r="B112" s="274" t="s">
        <v>183</v>
      </c>
      <c r="C112" s="178">
        <f>+'Staff Calcs '!M33</f>
        <v>123.19375545608243</v>
      </c>
      <c r="D112" s="178">
        <f>'Staff Calcs '!L33</f>
        <v>1.9680236686859667</v>
      </c>
      <c r="E112" s="178">
        <f t="shared" si="9"/>
        <v>125.1617791247684</v>
      </c>
      <c r="F112" s="178"/>
      <c r="G112" s="178"/>
      <c r="H112" s="178">
        <v>125.1617791247684</v>
      </c>
      <c r="I112" s="178"/>
      <c r="J112" s="178"/>
      <c r="K112" s="178"/>
      <c r="L112" s="178"/>
      <c r="M112" s="178"/>
      <c r="N112" s="178"/>
      <c r="O112" s="178"/>
      <c r="P112" s="178"/>
    </row>
    <row r="113" spans="1:20">
      <c r="A113" s="273" t="s">
        <v>159</v>
      </c>
      <c r="B113" s="274" t="s">
        <v>183</v>
      </c>
      <c r="C113" s="178">
        <f>+'Staff Calcs '!M34</f>
        <v>149.37228285129208</v>
      </c>
      <c r="D113" s="178">
        <f>'Staff Calcs '!L34</f>
        <v>2.8730715903964881</v>
      </c>
      <c r="E113" s="178">
        <f t="shared" si="9"/>
        <v>152.24535444168856</v>
      </c>
      <c r="F113" s="178"/>
      <c r="G113" s="178"/>
      <c r="H113" s="178">
        <v>152.24535444168856</v>
      </c>
      <c r="I113" s="178"/>
      <c r="J113" s="178"/>
      <c r="K113" s="178"/>
      <c r="L113" s="178"/>
      <c r="M113" s="178"/>
      <c r="N113" s="178"/>
      <c r="O113" s="178"/>
      <c r="P113" s="178"/>
    </row>
    <row r="114" spans="1:20">
      <c r="A114" s="172"/>
      <c r="B114" s="172"/>
      <c r="D114" s="171"/>
      <c r="E114" s="171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</row>
    <row r="115" spans="1:20">
      <c r="A115" s="236" t="s">
        <v>144</v>
      </c>
      <c r="B115" s="172"/>
      <c r="C115" s="178"/>
      <c r="D115" s="171"/>
      <c r="E115" s="171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</row>
    <row r="116" spans="1:20">
      <c r="A116" s="184" t="s">
        <v>107</v>
      </c>
      <c r="B116" s="172" t="s">
        <v>183</v>
      </c>
      <c r="C116" s="178">
        <f>'Staff Calcs '!M35</f>
        <v>4.5396773332804923</v>
      </c>
      <c r="D116" s="178">
        <f>'Staff Calcs '!L35</f>
        <v>0.17615026664164518</v>
      </c>
      <c r="E116" s="171">
        <f t="shared" si="8"/>
        <v>4.7158275999221377</v>
      </c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</row>
    <row r="117" spans="1:20">
      <c r="A117" s="183" t="s">
        <v>126</v>
      </c>
      <c r="B117" s="181" t="s">
        <v>183</v>
      </c>
      <c r="C117" s="182">
        <f>'Staff Calcs '!M82</f>
        <v>7.41</v>
      </c>
      <c r="D117" s="182">
        <f>'Staff Calcs '!L82</f>
        <v>0.28548491490197664</v>
      </c>
      <c r="E117" s="182">
        <f t="shared" si="8"/>
        <v>7.6954849149019768</v>
      </c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</row>
    <row r="118" spans="1:20">
      <c r="A118" s="183" t="s">
        <v>108</v>
      </c>
      <c r="B118" s="181" t="s">
        <v>183</v>
      </c>
      <c r="C118" s="182">
        <f>'Staff Calcs '!M83</f>
        <v>11.06</v>
      </c>
      <c r="D118" s="182">
        <f>'Staff Calcs '!L83</f>
        <v>0.41304200453903012</v>
      </c>
      <c r="E118" s="182">
        <f t="shared" si="8"/>
        <v>11.47304200453903</v>
      </c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8"/>
      <c r="T118" s="178"/>
    </row>
    <row r="119" spans="1:20">
      <c r="A119" s="168"/>
      <c r="B119" s="172"/>
      <c r="C119" s="178"/>
      <c r="D119" s="171"/>
      <c r="E119" s="171">
        <f t="shared" si="8"/>
        <v>0</v>
      </c>
      <c r="F119" s="178"/>
      <c r="G119" s="178"/>
      <c r="H119" s="178">
        <v>9.8408459186387631</v>
      </c>
      <c r="I119" s="178"/>
      <c r="J119" s="178"/>
      <c r="K119" s="178"/>
      <c r="L119" s="178"/>
      <c r="M119" s="178"/>
      <c r="N119" s="178"/>
      <c r="O119" s="178"/>
      <c r="P119" s="178"/>
    </row>
    <row r="120" spans="1:20">
      <c r="A120" s="183" t="s">
        <v>138</v>
      </c>
      <c r="B120" s="181" t="s">
        <v>183</v>
      </c>
      <c r="C120" s="182">
        <f>'Staff Calcs '!M84</f>
        <v>9.6646956519971177</v>
      </c>
      <c r="D120" s="182">
        <f>'Staff Calcs '!L84</f>
        <v>0.17615026664164515</v>
      </c>
      <c r="E120" s="182">
        <f t="shared" si="8"/>
        <v>9.8408459186387631</v>
      </c>
      <c r="F120" s="178"/>
      <c r="G120" s="178"/>
      <c r="H120" s="178">
        <v>11.397845949371236</v>
      </c>
      <c r="I120" s="178"/>
      <c r="J120" s="178"/>
      <c r="K120" s="178"/>
      <c r="L120" s="178"/>
      <c r="M120" s="178"/>
      <c r="N120" s="178"/>
      <c r="O120" s="178"/>
      <c r="P120" s="178"/>
    </row>
    <row r="121" spans="1:20">
      <c r="A121" s="183" t="s">
        <v>128</v>
      </c>
      <c r="B121" s="181" t="s">
        <v>183</v>
      </c>
      <c r="C121" s="182">
        <f>'Staff Calcs '!M85</f>
        <v>11.112361034469259</v>
      </c>
      <c r="D121" s="182">
        <f>'Staff Calcs '!L85</f>
        <v>0.28548491490197664</v>
      </c>
      <c r="E121" s="182">
        <f t="shared" si="8"/>
        <v>11.397845949371236</v>
      </c>
      <c r="F121" s="178"/>
      <c r="G121" s="178"/>
      <c r="H121" s="178">
        <v>14.145473484750124</v>
      </c>
      <c r="I121" s="178"/>
      <c r="J121" s="178"/>
      <c r="K121" s="178"/>
      <c r="L121" s="178"/>
      <c r="M121" s="178"/>
      <c r="N121" s="178"/>
      <c r="O121" s="178"/>
      <c r="P121" s="178"/>
    </row>
    <row r="122" spans="1:20">
      <c r="A122" s="183" t="s">
        <v>139</v>
      </c>
      <c r="B122" s="181" t="s">
        <v>183</v>
      </c>
      <c r="C122" s="182">
        <f>'Staff Calcs '!M86</f>
        <v>13.732431480211094</v>
      </c>
      <c r="D122" s="182">
        <f>'Staff Calcs '!L86</f>
        <v>0.41304200453903012</v>
      </c>
      <c r="E122" s="182">
        <f t="shared" si="8"/>
        <v>14.145473484750124</v>
      </c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</row>
    <row r="123" spans="1:20">
      <c r="A123" s="168"/>
      <c r="B123" s="172"/>
      <c r="C123" s="178"/>
      <c r="D123" s="171"/>
      <c r="E123" s="171"/>
      <c r="F123" s="178"/>
      <c r="G123" s="178"/>
      <c r="H123" s="178"/>
      <c r="I123" s="178"/>
      <c r="J123" s="178"/>
      <c r="K123" s="178"/>
      <c r="L123" s="178"/>
      <c r="M123" s="178"/>
      <c r="N123" s="178"/>
      <c r="O123" s="178"/>
      <c r="P123" s="178"/>
    </row>
    <row r="124" spans="1:20">
      <c r="A124" s="168" t="s">
        <v>146</v>
      </c>
      <c r="B124" s="172"/>
      <c r="C124" s="178"/>
      <c r="D124" s="171"/>
      <c r="E124" s="171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</row>
    <row r="125" spans="1:20">
      <c r="A125" s="181" t="s">
        <v>132</v>
      </c>
      <c r="B125" s="181" t="s">
        <v>183</v>
      </c>
      <c r="C125" s="182">
        <f>'Staff Calcs '!M87</f>
        <v>131.34166235304849</v>
      </c>
      <c r="D125" s="182">
        <f>'Staff Calcs '!L87</f>
        <v>2.9277389145266546</v>
      </c>
      <c r="E125" s="182">
        <f t="shared" ref="E125:E126" si="10">C125+D125</f>
        <v>134.26940126757515</v>
      </c>
      <c r="F125" s="178"/>
      <c r="G125" s="178"/>
      <c r="H125" s="178">
        <v>134.26940126757515</v>
      </c>
      <c r="I125" s="178"/>
      <c r="J125" s="178"/>
      <c r="K125" s="178"/>
      <c r="L125" s="178"/>
      <c r="M125" s="178"/>
      <c r="N125" s="178"/>
      <c r="O125" s="178"/>
      <c r="P125" s="178"/>
    </row>
    <row r="126" spans="1:20">
      <c r="A126" s="181" t="s">
        <v>133</v>
      </c>
      <c r="B126" s="181" t="s">
        <v>183</v>
      </c>
      <c r="C126" s="182">
        <f>'Staff Calcs '!M88</f>
        <v>183.8266773452722</v>
      </c>
      <c r="D126" s="182">
        <f>'Staff Calcs '!L88</f>
        <v>5.4181392360119824</v>
      </c>
      <c r="E126" s="182">
        <f t="shared" si="10"/>
        <v>189.2448165812842</v>
      </c>
      <c r="F126" s="178"/>
      <c r="G126" s="178"/>
      <c r="H126" s="178">
        <v>189.2448165812842</v>
      </c>
      <c r="I126" s="178"/>
      <c r="J126" s="178"/>
      <c r="K126" s="178"/>
      <c r="L126" s="178"/>
      <c r="M126" s="178"/>
      <c r="N126" s="178"/>
      <c r="O126" s="178"/>
      <c r="P126" s="178"/>
    </row>
    <row r="127" spans="1:20">
      <c r="A127" s="181" t="s">
        <v>134</v>
      </c>
      <c r="B127" s="181" t="s">
        <v>183</v>
      </c>
      <c r="C127" s="182">
        <f>'Staff Calcs '!M89</f>
        <v>227.34506379658762</v>
      </c>
      <c r="D127" s="182">
        <f>'Staff Calcs '!L89</f>
        <v>7.902465410371736</v>
      </c>
      <c r="E127" s="182">
        <f t="shared" si="8"/>
        <v>235.24752920695937</v>
      </c>
      <c r="F127" s="178"/>
      <c r="G127" s="178"/>
      <c r="H127" s="178">
        <v>235.24752920695937</v>
      </c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</row>
    <row r="128" spans="1:20">
      <c r="A128" s="181" t="s">
        <v>135</v>
      </c>
      <c r="B128" s="181" t="s">
        <v>183</v>
      </c>
      <c r="C128" s="182">
        <f>'Staff Calcs '!M90</f>
        <v>267.77792827818519</v>
      </c>
      <c r="D128" s="182">
        <f>'Staff Calcs '!L90</f>
        <v>10.241012053717716</v>
      </c>
      <c r="E128" s="182">
        <f t="shared" si="8"/>
        <v>278.01894033190291</v>
      </c>
      <c r="F128" s="178"/>
      <c r="G128" s="178"/>
      <c r="H128" s="178">
        <v>278.01894033190291</v>
      </c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</row>
    <row r="129" spans="1:18">
      <c r="A129" s="181" t="s">
        <v>136</v>
      </c>
      <c r="B129" s="181" t="s">
        <v>183</v>
      </c>
      <c r="C129" s="182">
        <f>'Staff Calcs '!M91</f>
        <v>308.51477213335551</v>
      </c>
      <c r="D129" s="182">
        <f>'Staff Calcs '!L91</f>
        <v>12.427705018924344</v>
      </c>
      <c r="E129" s="182">
        <f t="shared" si="8"/>
        <v>320.94247715227988</v>
      </c>
      <c r="F129" s="178"/>
      <c r="G129" s="178"/>
      <c r="H129" s="178">
        <v>320.94247715227988</v>
      </c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</row>
    <row r="130" spans="1:18">
      <c r="A130" s="181" t="s">
        <v>137</v>
      </c>
      <c r="B130" s="181" t="s">
        <v>183</v>
      </c>
      <c r="C130" s="182">
        <f>'Staff Calcs '!M92</f>
        <v>388.66866294635207</v>
      </c>
      <c r="D130" s="182">
        <f>'Staff Calcs '!L92</f>
        <v>14.031279860075875</v>
      </c>
      <c r="E130" s="182">
        <f t="shared" si="8"/>
        <v>402.69994280642794</v>
      </c>
      <c r="F130" s="178"/>
      <c r="G130" s="178"/>
      <c r="H130" s="178">
        <v>402.69994280642794</v>
      </c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</row>
    <row r="131" spans="1:18">
      <c r="A131" s="168"/>
      <c r="B131" s="172"/>
      <c r="C131" s="178"/>
      <c r="D131" s="171"/>
      <c r="E131" s="171">
        <f t="shared" si="8"/>
        <v>0</v>
      </c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</row>
    <row r="132" spans="1:18">
      <c r="A132" s="181" t="s">
        <v>196</v>
      </c>
      <c r="B132" s="181" t="s">
        <v>183</v>
      </c>
      <c r="C132" s="182">
        <f>C125</f>
        <v>131.34166235304849</v>
      </c>
      <c r="D132" s="182">
        <f>D125</f>
        <v>2.9277389145266546</v>
      </c>
      <c r="E132" s="182">
        <f t="shared" ref="E132:E133" si="11">C132+D132</f>
        <v>134.26940126757515</v>
      </c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</row>
    <row r="133" spans="1:18">
      <c r="A133" s="181" t="s">
        <v>197</v>
      </c>
      <c r="B133" s="181" t="s">
        <v>183</v>
      </c>
      <c r="C133" s="182">
        <f t="shared" ref="C133:D133" si="12">C126</f>
        <v>183.8266773452722</v>
      </c>
      <c r="D133" s="182">
        <f t="shared" si="12"/>
        <v>5.4181392360119824</v>
      </c>
      <c r="E133" s="182">
        <f t="shared" si="11"/>
        <v>189.2448165812842</v>
      </c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</row>
    <row r="134" spans="1:18">
      <c r="A134" s="181" t="s">
        <v>191</v>
      </c>
      <c r="B134" s="181" t="s">
        <v>183</v>
      </c>
      <c r="C134" s="182">
        <f t="shared" ref="C134:D134" si="13">C127</f>
        <v>227.34506379658762</v>
      </c>
      <c r="D134" s="182">
        <f t="shared" si="13"/>
        <v>7.902465410371736</v>
      </c>
      <c r="E134" s="182">
        <f t="shared" si="8"/>
        <v>235.24752920695937</v>
      </c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</row>
    <row r="135" spans="1:18">
      <c r="A135" s="181" t="s">
        <v>192</v>
      </c>
      <c r="B135" s="181" t="s">
        <v>183</v>
      </c>
      <c r="C135" s="182">
        <f t="shared" ref="C135:D135" si="14">C128</f>
        <v>267.77792827818519</v>
      </c>
      <c r="D135" s="182">
        <f t="shared" si="14"/>
        <v>10.241012053717716</v>
      </c>
      <c r="E135" s="182">
        <f t="shared" si="8"/>
        <v>278.01894033190291</v>
      </c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178"/>
    </row>
    <row r="136" spans="1:18">
      <c r="A136" s="181" t="s">
        <v>193</v>
      </c>
      <c r="B136" s="181" t="s">
        <v>183</v>
      </c>
      <c r="C136" s="182">
        <f t="shared" ref="C136:D136" si="15">C129</f>
        <v>308.51477213335551</v>
      </c>
      <c r="D136" s="182">
        <f t="shared" si="15"/>
        <v>12.427705018924344</v>
      </c>
      <c r="E136" s="182">
        <f t="shared" si="8"/>
        <v>320.94247715227988</v>
      </c>
      <c r="F136" s="178"/>
      <c r="G136" s="178"/>
      <c r="H136" s="178"/>
      <c r="I136" s="178"/>
      <c r="J136" s="178"/>
      <c r="K136" s="178"/>
      <c r="L136" s="178"/>
      <c r="M136" s="178"/>
      <c r="N136" s="178"/>
      <c r="O136" s="178"/>
      <c r="P136" s="178"/>
      <c r="Q136" s="178"/>
      <c r="R136" s="178"/>
    </row>
    <row r="137" spans="1:18">
      <c r="A137" s="181" t="s">
        <v>194</v>
      </c>
      <c r="B137" s="181" t="s">
        <v>183</v>
      </c>
      <c r="C137" s="182">
        <f t="shared" ref="C137:D137" si="16">C130</f>
        <v>388.66866294635207</v>
      </c>
      <c r="D137" s="182">
        <f t="shared" si="16"/>
        <v>14.031279860075875</v>
      </c>
      <c r="E137" s="182">
        <f t="shared" si="8"/>
        <v>402.69994280642794</v>
      </c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</row>
    <row r="138" spans="1:18">
      <c r="E138" s="171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</row>
    <row r="139" spans="1:18">
      <c r="A139" s="168" t="s">
        <v>145</v>
      </c>
      <c r="B139" s="172"/>
      <c r="C139" s="178"/>
      <c r="D139" s="171"/>
      <c r="E139" s="171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</row>
    <row r="140" spans="1:18">
      <c r="A140" s="181" t="s">
        <v>132</v>
      </c>
      <c r="B140" s="181" t="s">
        <v>183</v>
      </c>
      <c r="C140" s="182">
        <f>'Staff Calcs '!M93</f>
        <v>143.30867803810492</v>
      </c>
      <c r="D140" s="182">
        <f>'Staff Calcs '!L93</f>
        <v>2.9277389145266546</v>
      </c>
      <c r="E140" s="182">
        <f t="shared" si="8"/>
        <v>146.23641695263157</v>
      </c>
      <c r="F140" s="178"/>
      <c r="G140" s="178"/>
      <c r="H140" s="178">
        <v>146.23641695263157</v>
      </c>
      <c r="I140" s="178"/>
      <c r="J140" s="178"/>
      <c r="K140" s="178"/>
      <c r="L140" s="178"/>
      <c r="M140" s="178"/>
      <c r="N140" s="178"/>
      <c r="O140" s="178"/>
      <c r="P140" s="178"/>
    </row>
    <row r="141" spans="1:18">
      <c r="A141" s="181" t="s">
        <v>133</v>
      </c>
      <c r="B141" s="181" t="s">
        <v>183</v>
      </c>
      <c r="C141" s="182">
        <f>'Staff Calcs '!M94</f>
        <v>216.60948155905353</v>
      </c>
      <c r="D141" s="182">
        <f>'Staff Calcs '!L94</f>
        <v>5.4181392360119824</v>
      </c>
      <c r="E141" s="182">
        <f t="shared" si="8"/>
        <v>222.02762079506553</v>
      </c>
      <c r="F141" s="178"/>
      <c r="G141" s="178"/>
      <c r="H141" s="178">
        <v>222.02762079506553</v>
      </c>
      <c r="I141" s="178"/>
      <c r="J141" s="178"/>
      <c r="K141" s="178"/>
      <c r="L141" s="178"/>
      <c r="M141" s="178"/>
      <c r="N141" s="178"/>
      <c r="O141" s="178"/>
      <c r="P141" s="178"/>
      <c r="Q141" s="178"/>
    </row>
    <row r="142" spans="1:18">
      <c r="A142" s="181" t="s">
        <v>134</v>
      </c>
      <c r="B142" s="181" t="s">
        <v>183</v>
      </c>
      <c r="C142" s="182">
        <f>'Staff Calcs '!M95</f>
        <v>273.02765216891856</v>
      </c>
      <c r="D142" s="182">
        <f>'Staff Calcs '!L95</f>
        <v>7.902465410371736</v>
      </c>
      <c r="E142" s="182">
        <f t="shared" si="8"/>
        <v>280.93011757929031</v>
      </c>
      <c r="F142" s="178"/>
      <c r="G142" s="178"/>
      <c r="H142" s="178">
        <v>280.93011757929031</v>
      </c>
      <c r="I142" s="178"/>
      <c r="J142" s="178"/>
      <c r="K142" s="178"/>
      <c r="L142" s="178"/>
      <c r="M142" s="178"/>
      <c r="N142" s="178"/>
      <c r="O142" s="178"/>
      <c r="P142" s="178"/>
      <c r="Q142" s="178"/>
    </row>
    <row r="143" spans="1:18">
      <c r="A143" s="181" t="s">
        <v>135</v>
      </c>
      <c r="B143" s="181" t="s">
        <v>183</v>
      </c>
      <c r="C143" s="182">
        <f>'Staff Calcs '!M96</f>
        <v>329.10939349975837</v>
      </c>
      <c r="D143" s="182">
        <f>'Staff Calcs '!L96</f>
        <v>10.241012053717716</v>
      </c>
      <c r="E143" s="182">
        <f t="shared" si="8"/>
        <v>339.35040555347609</v>
      </c>
      <c r="F143" s="178"/>
      <c r="G143" s="178"/>
      <c r="H143" s="178">
        <v>339.35040555347609</v>
      </c>
      <c r="I143" s="178"/>
      <c r="J143" s="178"/>
      <c r="K143" s="178"/>
      <c r="L143" s="178"/>
      <c r="M143" s="178"/>
      <c r="N143" s="178"/>
      <c r="O143" s="178"/>
      <c r="P143" s="178"/>
      <c r="Q143" s="178"/>
    </row>
    <row r="144" spans="1:18">
      <c r="A144" s="181" t="s">
        <v>136</v>
      </c>
      <c r="B144" s="181" t="s">
        <v>183</v>
      </c>
      <c r="C144" s="182">
        <f>'Staff Calcs '!M97</f>
        <v>384.83431589829871</v>
      </c>
      <c r="D144" s="182">
        <f>'Staff Calcs '!L97</f>
        <v>12.427705018924344</v>
      </c>
      <c r="E144" s="182">
        <f t="shared" si="8"/>
        <v>397.26202091722308</v>
      </c>
      <c r="F144" s="178"/>
      <c r="G144" s="178"/>
      <c r="H144" s="178">
        <v>397.26202091722308</v>
      </c>
      <c r="I144" s="178"/>
      <c r="J144" s="178"/>
      <c r="K144" s="178"/>
      <c r="L144" s="178"/>
      <c r="M144" s="178"/>
      <c r="N144" s="178"/>
      <c r="O144" s="178"/>
      <c r="P144" s="178"/>
      <c r="Q144" s="178"/>
    </row>
    <row r="145" spans="1:17">
      <c r="A145" s="181" t="s">
        <v>137</v>
      </c>
      <c r="B145" s="181" t="s">
        <v>183</v>
      </c>
      <c r="C145" s="182">
        <f>'Staff Calcs '!M98</f>
        <v>439.20332635410108</v>
      </c>
      <c r="D145" s="182">
        <f>'Staff Calcs '!L98</f>
        <v>14.031279860075875</v>
      </c>
      <c r="E145" s="182">
        <f t="shared" si="8"/>
        <v>453.23460621417695</v>
      </c>
      <c r="F145" s="178"/>
      <c r="G145" s="178"/>
      <c r="H145" s="178">
        <v>453.23460621417695</v>
      </c>
      <c r="I145" s="178"/>
      <c r="J145" s="178"/>
      <c r="K145" s="178"/>
      <c r="L145" s="178"/>
      <c r="M145" s="178"/>
      <c r="N145" s="178"/>
      <c r="O145" s="178"/>
      <c r="P145" s="178"/>
      <c r="Q145" s="178"/>
    </row>
    <row r="146" spans="1:17">
      <c r="E146" s="171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</row>
    <row r="147" spans="1:17">
      <c r="A147" s="181" t="s">
        <v>196</v>
      </c>
      <c r="B147" s="181" t="s">
        <v>183</v>
      </c>
      <c r="C147" s="186">
        <f>C140</f>
        <v>143.30867803810492</v>
      </c>
      <c r="D147" s="186">
        <f>D140</f>
        <v>2.9277389145266546</v>
      </c>
      <c r="E147" s="182">
        <f t="shared" si="8"/>
        <v>146.23641695263157</v>
      </c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</row>
    <row r="148" spans="1:17">
      <c r="A148" s="181" t="s">
        <v>197</v>
      </c>
      <c r="B148" s="181" t="s">
        <v>183</v>
      </c>
      <c r="C148" s="186">
        <f t="shared" ref="C148:D152" si="17">C141</f>
        <v>216.60948155905353</v>
      </c>
      <c r="D148" s="186">
        <f t="shared" si="17"/>
        <v>5.4181392360119824</v>
      </c>
      <c r="E148" s="182">
        <f t="shared" si="8"/>
        <v>222.02762079506553</v>
      </c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</row>
    <row r="149" spans="1:17">
      <c r="A149" s="181" t="s">
        <v>191</v>
      </c>
      <c r="B149" s="181" t="s">
        <v>183</v>
      </c>
      <c r="C149" s="186">
        <f t="shared" si="17"/>
        <v>273.02765216891856</v>
      </c>
      <c r="D149" s="186">
        <f t="shared" si="17"/>
        <v>7.902465410371736</v>
      </c>
      <c r="E149" s="182">
        <f t="shared" si="8"/>
        <v>280.93011757929031</v>
      </c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</row>
    <row r="150" spans="1:17">
      <c r="A150" s="181" t="s">
        <v>192</v>
      </c>
      <c r="B150" s="181" t="s">
        <v>183</v>
      </c>
      <c r="C150" s="186">
        <f t="shared" si="17"/>
        <v>329.10939349975837</v>
      </c>
      <c r="D150" s="186">
        <f t="shared" si="17"/>
        <v>10.241012053717716</v>
      </c>
      <c r="E150" s="182">
        <f t="shared" si="8"/>
        <v>339.35040555347609</v>
      </c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</row>
    <row r="151" spans="1:17">
      <c r="A151" s="181" t="s">
        <v>193</v>
      </c>
      <c r="B151" s="181" t="s">
        <v>183</v>
      </c>
      <c r="C151" s="186">
        <f t="shared" si="17"/>
        <v>384.83431589829871</v>
      </c>
      <c r="D151" s="186">
        <f t="shared" si="17"/>
        <v>12.427705018924344</v>
      </c>
      <c r="E151" s="182">
        <f t="shared" si="8"/>
        <v>397.26202091722308</v>
      </c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</row>
    <row r="152" spans="1:17">
      <c r="A152" s="181" t="s">
        <v>194</v>
      </c>
      <c r="B152" s="181" t="s">
        <v>183</v>
      </c>
      <c r="C152" s="186">
        <f t="shared" si="17"/>
        <v>439.20332635410108</v>
      </c>
      <c r="D152" s="186">
        <f t="shared" si="17"/>
        <v>14.031279860075875</v>
      </c>
      <c r="E152" s="182">
        <f t="shared" si="8"/>
        <v>453.23460621417695</v>
      </c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</row>
  </sheetData>
  <phoneticPr fontId="70" type="noConversion"/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FE67D-21B1-4873-A45D-5C8817D1671A}">
  <dimension ref="A1:Z517"/>
  <sheetViews>
    <sheetView workbookViewId="0">
      <selection activeCell="T33" activeCellId="1" sqref="T43 T33"/>
    </sheetView>
  </sheetViews>
  <sheetFormatPr defaultColWidth="10.453125" defaultRowHeight="14.5" outlineLevelRow="1" outlineLevelCol="1"/>
  <cols>
    <col min="1" max="1" width="8.54296875" style="189" customWidth="1" outlineLevel="1"/>
    <col min="2" max="2" width="6.7265625" style="189" customWidth="1" outlineLevel="1"/>
    <col min="3" max="5" width="6.54296875" style="187" customWidth="1" outlineLevel="1"/>
    <col min="6" max="6" width="31.54296875" style="187" customWidth="1"/>
    <col min="7" max="18" width="13" style="187" customWidth="1"/>
    <col min="19" max="19" width="1.1796875" style="187" customWidth="1"/>
    <col min="20" max="20" width="12.54296875" style="188" bestFit="1" customWidth="1"/>
    <col min="21" max="21" width="2.1796875" style="187" customWidth="1"/>
    <col min="22" max="23" width="15.81640625" style="187" customWidth="1"/>
    <col min="24" max="16384" width="10.453125" style="187"/>
  </cols>
  <sheetData>
    <row r="1" spans="1:22">
      <c r="A1" s="282" t="s">
        <v>198</v>
      </c>
      <c r="B1" s="282"/>
      <c r="C1" s="282"/>
      <c r="D1" s="282"/>
      <c r="E1" s="282"/>
      <c r="F1" s="282"/>
    </row>
    <row r="3" spans="1:22" s="188" customFormat="1">
      <c r="A3" s="238" t="s">
        <v>199</v>
      </c>
      <c r="B3" s="238" t="s">
        <v>200</v>
      </c>
      <c r="C3" s="283" t="s">
        <v>201</v>
      </c>
      <c r="D3" s="283"/>
      <c r="E3" s="238"/>
      <c r="G3" s="190">
        <v>44196</v>
      </c>
      <c r="H3" s="191">
        <f>EOMONTH(G3,1)</f>
        <v>44227</v>
      </c>
      <c r="I3" s="191">
        <f t="shared" ref="I3:R3" si="0">EOMONTH(H3,1)</f>
        <v>44255</v>
      </c>
      <c r="J3" s="191">
        <f t="shared" si="0"/>
        <v>44286</v>
      </c>
      <c r="K3" s="191">
        <f t="shared" si="0"/>
        <v>44316</v>
      </c>
      <c r="L3" s="191">
        <f t="shared" si="0"/>
        <v>44347</v>
      </c>
      <c r="M3" s="191">
        <f t="shared" si="0"/>
        <v>44377</v>
      </c>
      <c r="N3" s="191">
        <f t="shared" si="0"/>
        <v>44408</v>
      </c>
      <c r="O3" s="191">
        <f t="shared" si="0"/>
        <v>44439</v>
      </c>
      <c r="P3" s="191">
        <f t="shared" si="0"/>
        <v>44469</v>
      </c>
      <c r="Q3" s="191">
        <f t="shared" si="0"/>
        <v>44500</v>
      </c>
      <c r="R3" s="191">
        <f t="shared" si="0"/>
        <v>44530</v>
      </c>
      <c r="T3" s="188" t="s">
        <v>202</v>
      </c>
    </row>
    <row r="4" spans="1:22" s="193" customFormat="1">
      <c r="A4" s="192"/>
      <c r="B4" s="192"/>
      <c r="C4" s="192"/>
      <c r="D4" s="192"/>
      <c r="E4" s="192"/>
      <c r="G4" s="193">
        <f>MONTH(G3)</f>
        <v>12</v>
      </c>
      <c r="H4" s="193">
        <f t="shared" ref="H4:R4" si="1">MONTH(H3)</f>
        <v>1</v>
      </c>
      <c r="I4" s="193">
        <f t="shared" si="1"/>
        <v>2</v>
      </c>
      <c r="J4" s="193">
        <f t="shared" si="1"/>
        <v>3</v>
      </c>
      <c r="K4" s="193">
        <f t="shared" si="1"/>
        <v>4</v>
      </c>
      <c r="L4" s="193">
        <f t="shared" si="1"/>
        <v>5</v>
      </c>
      <c r="M4" s="193">
        <f t="shared" si="1"/>
        <v>6</v>
      </c>
      <c r="N4" s="193">
        <f t="shared" si="1"/>
        <v>7</v>
      </c>
      <c r="O4" s="193">
        <f t="shared" si="1"/>
        <v>8</v>
      </c>
      <c r="P4" s="193">
        <f t="shared" si="1"/>
        <v>9</v>
      </c>
      <c r="Q4" s="193">
        <f t="shared" si="1"/>
        <v>10</v>
      </c>
      <c r="R4" s="193">
        <f t="shared" si="1"/>
        <v>11</v>
      </c>
      <c r="T4" s="194"/>
    </row>
    <row r="5" spans="1:22" ht="15" thickBot="1">
      <c r="C5" s="189"/>
      <c r="D5" s="189"/>
      <c r="E5" s="189"/>
      <c r="F5" s="195" t="s">
        <v>203</v>
      </c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5"/>
    </row>
    <row r="6" spans="1:22">
      <c r="C6" s="189"/>
      <c r="D6" s="189"/>
      <c r="E6" s="189"/>
    </row>
    <row r="7" spans="1:22">
      <c r="C7" s="189"/>
      <c r="D7" s="189"/>
      <c r="E7" s="189"/>
      <c r="F7" s="188" t="s">
        <v>204</v>
      </c>
    </row>
    <row r="8" spans="1:22">
      <c r="C8" s="189"/>
      <c r="D8" s="189"/>
      <c r="E8" s="189"/>
      <c r="F8" s="187" t="s">
        <v>205</v>
      </c>
      <c r="G8" s="198">
        <v>2807.1</v>
      </c>
      <c r="H8" s="198">
        <v>2792.84</v>
      </c>
      <c r="I8" s="198">
        <v>2595.25</v>
      </c>
      <c r="J8" s="198">
        <v>3008.57</v>
      </c>
      <c r="K8" s="198">
        <v>2950.19</v>
      </c>
      <c r="L8" s="198">
        <v>2793.24</v>
      </c>
      <c r="M8" s="198">
        <v>2852.81</v>
      </c>
      <c r="N8" s="198">
        <v>2889.59</v>
      </c>
      <c r="O8" s="198">
        <v>2985.67</v>
      </c>
      <c r="P8" s="198">
        <v>3081.33</v>
      </c>
      <c r="Q8" s="198">
        <v>2835.86</v>
      </c>
      <c r="R8" s="198">
        <v>3008.68</v>
      </c>
      <c r="T8" s="199">
        <v>34601.130000000005</v>
      </c>
    </row>
    <row r="9" spans="1:22">
      <c r="C9" s="189"/>
      <c r="D9" s="189"/>
      <c r="E9" s="189"/>
      <c r="F9" s="187" t="s">
        <v>206</v>
      </c>
      <c r="G9" s="198">
        <v>1704.1599999999999</v>
      </c>
      <c r="H9" s="198">
        <v>1636.0000000000002</v>
      </c>
      <c r="I9" s="198">
        <v>1521.88</v>
      </c>
      <c r="J9" s="198">
        <v>1802.51</v>
      </c>
      <c r="K9" s="198">
        <v>1739.44</v>
      </c>
      <c r="L9" s="198">
        <v>1552.73</v>
      </c>
      <c r="M9" s="198">
        <v>1888.0700000000002</v>
      </c>
      <c r="N9" s="198">
        <v>1668.4099999999999</v>
      </c>
      <c r="O9" s="198">
        <v>1708.9099999999999</v>
      </c>
      <c r="P9" s="198">
        <v>1681.5700000000002</v>
      </c>
      <c r="Q9" s="198">
        <v>1589.7500000000002</v>
      </c>
      <c r="R9" s="198">
        <v>1824.0900000000001</v>
      </c>
      <c r="T9" s="200">
        <v>20317.52</v>
      </c>
      <c r="V9" s="187" t="s">
        <v>207</v>
      </c>
    </row>
    <row r="10" spans="1:22">
      <c r="C10" s="189"/>
      <c r="D10" s="189"/>
      <c r="E10" s="189"/>
      <c r="F10" s="187" t="s">
        <v>208</v>
      </c>
      <c r="G10" s="198">
        <v>3398.91</v>
      </c>
      <c r="H10" s="198">
        <v>3190.77</v>
      </c>
      <c r="I10" s="198">
        <v>2993.79</v>
      </c>
      <c r="J10" s="198">
        <v>3600.75</v>
      </c>
      <c r="K10" s="198">
        <v>3427.52</v>
      </c>
      <c r="L10" s="198">
        <v>3418.12</v>
      </c>
      <c r="M10" s="198">
        <v>3660.81</v>
      </c>
      <c r="N10" s="198">
        <v>3500.89</v>
      </c>
      <c r="O10" s="198">
        <v>3483.94</v>
      </c>
      <c r="P10" s="198">
        <v>3498.36</v>
      </c>
      <c r="Q10" s="198">
        <v>3423.33</v>
      </c>
      <c r="R10" s="198">
        <v>3823.4</v>
      </c>
      <c r="T10" s="199">
        <v>41420.590000000004</v>
      </c>
    </row>
    <row r="11" spans="1:22">
      <c r="C11" s="189"/>
      <c r="D11" s="189"/>
      <c r="E11" s="189"/>
      <c r="F11" s="187" t="s">
        <v>209</v>
      </c>
      <c r="G11" s="198">
        <v>705.66</v>
      </c>
      <c r="H11" s="198">
        <v>660.41</v>
      </c>
      <c r="I11" s="198">
        <v>584.5</v>
      </c>
      <c r="J11" s="198">
        <v>670.44</v>
      </c>
      <c r="K11" s="198">
        <v>598.39</v>
      </c>
      <c r="L11" s="198">
        <v>589.87</v>
      </c>
      <c r="M11" s="198">
        <v>667.54</v>
      </c>
      <c r="N11" s="198">
        <v>564.13</v>
      </c>
      <c r="O11" s="198">
        <v>644.4</v>
      </c>
      <c r="P11" s="198">
        <v>652.61</v>
      </c>
      <c r="Q11" s="198">
        <v>618.91999999999996</v>
      </c>
      <c r="R11" s="198">
        <v>734.42</v>
      </c>
      <c r="T11" s="200">
        <v>7691.2899999999991</v>
      </c>
      <c r="V11" s="187" t="s">
        <v>207</v>
      </c>
    </row>
    <row r="12" spans="1:22">
      <c r="C12" s="189"/>
      <c r="D12" s="189"/>
      <c r="E12" s="189"/>
      <c r="F12" s="187" t="s">
        <v>210</v>
      </c>
      <c r="G12" s="198">
        <v>4057.64</v>
      </c>
      <c r="H12" s="198">
        <v>3729.61</v>
      </c>
      <c r="I12" s="198">
        <v>3286.56</v>
      </c>
      <c r="J12" s="198">
        <v>3862.2</v>
      </c>
      <c r="K12" s="198">
        <v>3904.08</v>
      </c>
      <c r="L12" s="198">
        <v>3729.13</v>
      </c>
      <c r="M12" s="198">
        <v>3979.94</v>
      </c>
      <c r="N12" s="198">
        <v>3981.1</v>
      </c>
      <c r="O12" s="198">
        <v>3873.54</v>
      </c>
      <c r="P12" s="198">
        <v>3905.39</v>
      </c>
      <c r="Q12" s="198">
        <v>3308.54</v>
      </c>
      <c r="R12" s="198">
        <v>3768.42</v>
      </c>
      <c r="T12" s="199">
        <v>45386.149999999994</v>
      </c>
    </row>
    <row r="13" spans="1:22">
      <c r="C13" s="189"/>
      <c r="D13" s="189"/>
      <c r="E13" s="189"/>
      <c r="F13" s="187" t="s">
        <v>211</v>
      </c>
      <c r="G13" s="198">
        <v>1925.6200000000001</v>
      </c>
      <c r="H13" s="198">
        <v>1815.21</v>
      </c>
      <c r="I13" s="198">
        <v>1375.18</v>
      </c>
      <c r="J13" s="198">
        <v>1726.5</v>
      </c>
      <c r="K13" s="198">
        <v>1580.69</v>
      </c>
      <c r="L13" s="198">
        <v>1635.56</v>
      </c>
      <c r="M13" s="198">
        <v>1584.87</v>
      </c>
      <c r="N13" s="198">
        <v>1563.69</v>
      </c>
      <c r="O13" s="198">
        <v>1588.65</v>
      </c>
      <c r="P13" s="198">
        <v>1551.84</v>
      </c>
      <c r="Q13" s="198">
        <v>1415.66</v>
      </c>
      <c r="R13" s="198">
        <v>1538.06</v>
      </c>
      <c r="T13" s="200">
        <v>19301.530000000002</v>
      </c>
      <c r="V13" s="187" t="s">
        <v>207</v>
      </c>
    </row>
    <row r="14" spans="1:22">
      <c r="C14" s="189"/>
      <c r="D14" s="189"/>
      <c r="E14" s="189"/>
      <c r="F14" s="201" t="s">
        <v>273</v>
      </c>
      <c r="G14" s="202">
        <v>1781.57</v>
      </c>
      <c r="H14" s="202">
        <v>1262.97</v>
      </c>
      <c r="I14" s="202">
        <v>831.25</v>
      </c>
      <c r="J14" s="202">
        <v>1696.3</v>
      </c>
      <c r="K14" s="202">
        <v>2549.12</v>
      </c>
      <c r="L14" s="202">
        <v>2984.69</v>
      </c>
      <c r="M14" s="202">
        <v>2779.8</v>
      </c>
      <c r="N14" s="202">
        <v>1916.24</v>
      </c>
      <c r="O14" s="202">
        <v>1641.76</v>
      </c>
      <c r="P14" s="202">
        <v>1698.18</v>
      </c>
      <c r="Q14" s="202">
        <v>1725.18</v>
      </c>
      <c r="R14" s="202">
        <v>2611.14</v>
      </c>
      <c r="S14" s="201"/>
      <c r="T14" s="230">
        <v>23478.2</v>
      </c>
    </row>
    <row r="15" spans="1:22">
      <c r="C15" s="189"/>
      <c r="D15" s="189"/>
      <c r="E15" s="189"/>
      <c r="F15" s="187" t="s">
        <v>202</v>
      </c>
      <c r="G15" s="197">
        <v>16380.66</v>
      </c>
      <c r="H15" s="197">
        <v>15087.81</v>
      </c>
      <c r="I15" s="197">
        <v>13188.41</v>
      </c>
      <c r="J15" s="197">
        <v>16367.27</v>
      </c>
      <c r="K15" s="197">
        <v>16749.43</v>
      </c>
      <c r="L15" s="197">
        <v>16703.34</v>
      </c>
      <c r="M15" s="197">
        <v>17413.84</v>
      </c>
      <c r="N15" s="197">
        <v>16084.05</v>
      </c>
      <c r="O15" s="197">
        <v>15926.869999999999</v>
      </c>
      <c r="P15" s="197">
        <v>16069.28</v>
      </c>
      <c r="Q15" s="197">
        <v>14917.240000000002</v>
      </c>
      <c r="R15" s="197">
        <v>17308.21</v>
      </c>
      <c r="T15" s="199">
        <v>192196.41</v>
      </c>
    </row>
    <row r="16" spans="1:22">
      <c r="C16" s="189"/>
      <c r="D16" s="189"/>
      <c r="E16" s="189"/>
    </row>
    <row r="17" spans="1:26">
      <c r="C17" s="189"/>
      <c r="D17" s="189"/>
      <c r="E17" s="189"/>
      <c r="F17" s="188" t="s">
        <v>212</v>
      </c>
      <c r="G17" s="198"/>
      <c r="H17" s="198"/>
      <c r="U17" s="203"/>
      <c r="V17" s="203"/>
      <c r="W17" s="203"/>
      <c r="X17" s="203"/>
      <c r="Y17" s="203"/>
      <c r="Z17" s="203"/>
    </row>
    <row r="18" spans="1:26">
      <c r="A18" s="204" t="s">
        <v>213</v>
      </c>
      <c r="B18" s="204" t="s">
        <v>214</v>
      </c>
      <c r="C18" s="204">
        <v>20</v>
      </c>
      <c r="D18" s="204">
        <v>25</v>
      </c>
      <c r="E18" s="204">
        <v>29</v>
      </c>
      <c r="F18" s="187" t="s">
        <v>216</v>
      </c>
      <c r="G18" s="198">
        <v>138.87000000000003</v>
      </c>
      <c r="H18" s="198">
        <v>160.23999999999995</v>
      </c>
      <c r="I18" s="198">
        <v>182.90999999999994</v>
      </c>
      <c r="J18" s="198">
        <v>207.33</v>
      </c>
      <c r="K18" s="198">
        <v>267.32000000000016</v>
      </c>
      <c r="L18" s="198">
        <v>226.17999999999992</v>
      </c>
      <c r="M18" s="198">
        <v>225.57000000000005</v>
      </c>
      <c r="N18" s="198">
        <v>221.11000000000004</v>
      </c>
      <c r="O18" s="198">
        <v>227.53</v>
      </c>
      <c r="P18" s="198">
        <v>206.61</v>
      </c>
      <c r="Q18" s="198">
        <v>199.65999999999997</v>
      </c>
      <c r="R18" s="198">
        <v>213.21999999999994</v>
      </c>
      <c r="S18" s="198"/>
      <c r="T18" s="199">
        <v>2476.5499999999997</v>
      </c>
      <c r="U18" s="198"/>
      <c r="V18" s="198"/>
      <c r="W18" s="198"/>
      <c r="X18" s="198"/>
      <c r="Y18" s="198"/>
      <c r="Z18" s="198"/>
    </row>
    <row r="19" spans="1:26">
      <c r="A19" s="189" t="s">
        <v>274</v>
      </c>
      <c r="B19" s="239"/>
      <c r="F19" s="187" t="s">
        <v>218</v>
      </c>
      <c r="G19" s="198">
        <v>2615.54</v>
      </c>
      <c r="H19" s="198">
        <v>2587.4400000000005</v>
      </c>
      <c r="I19" s="198">
        <v>2389.6</v>
      </c>
      <c r="J19" s="198">
        <v>2760.04</v>
      </c>
      <c r="K19" s="198">
        <v>2649.6599999999994</v>
      </c>
      <c r="L19" s="198">
        <v>2525.59</v>
      </c>
      <c r="M19" s="198">
        <v>2607.9900000000007</v>
      </c>
      <c r="N19" s="198">
        <v>2624.4399999999996</v>
      </c>
      <c r="O19" s="198">
        <v>2729.83</v>
      </c>
      <c r="P19" s="198">
        <v>2842.1600000000003</v>
      </c>
      <c r="Q19" s="198">
        <v>2576.5300000000002</v>
      </c>
      <c r="R19" s="198">
        <v>2738.5</v>
      </c>
      <c r="S19" s="198"/>
      <c r="T19" s="199">
        <v>31647.319999999996</v>
      </c>
      <c r="U19" s="198"/>
      <c r="V19" s="198"/>
      <c r="W19" s="198"/>
      <c r="X19" s="198"/>
      <c r="Y19" s="198"/>
      <c r="Z19" s="198"/>
    </row>
    <row r="20" spans="1:26" s="241" customFormat="1" outlineLevel="1">
      <c r="A20" s="205" t="str">
        <f>+A18</f>
        <v>I</v>
      </c>
      <c r="B20" s="240" t="str">
        <f>+B18</f>
        <v>MSW</v>
      </c>
      <c r="C20" s="206"/>
      <c r="D20" s="206"/>
      <c r="E20" s="206"/>
      <c r="F20" s="206" t="str">
        <f>"Total "&amp;F17&amp;" "&amp;B20</f>
        <v>Total Roll-off / Industrial MSW</v>
      </c>
      <c r="G20" s="213">
        <v>2754.41</v>
      </c>
      <c r="H20" s="213">
        <v>2747.6800000000003</v>
      </c>
      <c r="I20" s="213">
        <v>2572.5099999999998</v>
      </c>
      <c r="J20" s="213">
        <v>2967.37</v>
      </c>
      <c r="K20" s="213">
        <v>2916.9799999999996</v>
      </c>
      <c r="L20" s="213">
        <v>2751.77</v>
      </c>
      <c r="M20" s="213">
        <v>2833.5600000000009</v>
      </c>
      <c r="N20" s="213">
        <v>2845.5499999999997</v>
      </c>
      <c r="O20" s="213">
        <v>2957.36</v>
      </c>
      <c r="P20" s="213">
        <v>3048.7700000000004</v>
      </c>
      <c r="Q20" s="213">
        <v>2776.19</v>
      </c>
      <c r="R20" s="213">
        <v>2951.72</v>
      </c>
      <c r="S20" s="213"/>
      <c r="T20" s="221">
        <v>34123.870000000003</v>
      </c>
      <c r="U20" s="209"/>
      <c r="V20" s="209"/>
      <c r="W20" s="209"/>
      <c r="X20" s="209"/>
      <c r="Y20" s="209"/>
      <c r="Z20" s="209"/>
    </row>
    <row r="21" spans="1:26">
      <c r="A21" s="189" t="str">
        <f>+A20</f>
        <v>I</v>
      </c>
      <c r="B21" s="204" t="s">
        <v>219</v>
      </c>
      <c r="C21" s="189"/>
      <c r="D21" s="189">
        <v>77</v>
      </c>
      <c r="E21" s="242">
        <v>72</v>
      </c>
      <c r="F21" s="187" t="s">
        <v>220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/>
      <c r="T21" s="199">
        <v>0</v>
      </c>
      <c r="U21" s="198"/>
      <c r="V21" s="210"/>
      <c r="W21" s="198"/>
      <c r="X21" s="198"/>
      <c r="Y21" s="198"/>
      <c r="Z21" s="198"/>
    </row>
    <row r="22" spans="1:26">
      <c r="F22" s="187" t="s">
        <v>221</v>
      </c>
      <c r="G22" s="198">
        <v>2440.2900000000004</v>
      </c>
      <c r="H22" s="198">
        <v>2167.7701999999999</v>
      </c>
      <c r="I22" s="198">
        <v>1922.7800000000002</v>
      </c>
      <c r="J22" s="198">
        <v>2371.7600000000002</v>
      </c>
      <c r="K22" s="198">
        <v>2289.2499999999995</v>
      </c>
      <c r="L22" s="198">
        <v>2073.42</v>
      </c>
      <c r="M22" s="198">
        <v>2329.8500000000004</v>
      </c>
      <c r="N22" s="198">
        <v>2132.0399999999995</v>
      </c>
      <c r="O22" s="198">
        <v>2135.0500000000002</v>
      </c>
      <c r="P22" s="198">
        <v>2146.59</v>
      </c>
      <c r="Q22" s="198">
        <v>2180.0100000000002</v>
      </c>
      <c r="R22" s="198">
        <v>2362.1699999999996</v>
      </c>
      <c r="S22" s="198"/>
      <c r="T22" s="199">
        <v>26550.980199999998</v>
      </c>
      <c r="U22" s="198"/>
      <c r="V22" s="198"/>
      <c r="W22" s="198"/>
      <c r="X22" s="198"/>
      <c r="Y22" s="198"/>
      <c r="Z22" s="198"/>
    </row>
    <row r="23" spans="1:26" s="241" customFormat="1" outlineLevel="1">
      <c r="A23" s="205" t="str">
        <f>+A21</f>
        <v>I</v>
      </c>
      <c r="B23" s="211" t="str">
        <f>+B21</f>
        <v>RCY</v>
      </c>
      <c r="C23" s="212" t="s">
        <v>222</v>
      </c>
      <c r="D23" s="206"/>
      <c r="E23" s="206"/>
      <c r="F23" s="206" t="str">
        <f>"Total "&amp;F17&amp;" "&amp;B23</f>
        <v>Total Roll-off / Industrial RCY</v>
      </c>
      <c r="G23" s="213">
        <v>2440.2900000000004</v>
      </c>
      <c r="H23" s="213">
        <v>2167.7701999999999</v>
      </c>
      <c r="I23" s="213">
        <v>1922.7800000000002</v>
      </c>
      <c r="J23" s="213">
        <v>2371.7600000000002</v>
      </c>
      <c r="K23" s="213">
        <v>2289.2499999999995</v>
      </c>
      <c r="L23" s="213">
        <v>2073.42</v>
      </c>
      <c r="M23" s="213">
        <v>2329.8500000000004</v>
      </c>
      <c r="N23" s="213">
        <v>2132.0399999999995</v>
      </c>
      <c r="O23" s="213">
        <v>2135.0500000000002</v>
      </c>
      <c r="P23" s="213">
        <v>2146.59</v>
      </c>
      <c r="Q23" s="213">
        <v>2180.0100000000002</v>
      </c>
      <c r="R23" s="213">
        <v>2362.1699999999996</v>
      </c>
      <c r="S23" s="213"/>
      <c r="T23" s="221"/>
      <c r="U23" s="209"/>
      <c r="V23" s="209"/>
      <c r="W23" s="209"/>
      <c r="X23" s="209"/>
      <c r="Y23" s="209"/>
      <c r="Z23" s="209"/>
    </row>
    <row r="24" spans="1:26" s="245" customFormat="1">
      <c r="A24" s="243">
        <v>6666666</v>
      </c>
      <c r="B24" s="244" t="s">
        <v>275</v>
      </c>
      <c r="F24" s="245" t="s">
        <v>276</v>
      </c>
      <c r="G24" s="246">
        <v>0</v>
      </c>
      <c r="H24" s="246">
        <v>0</v>
      </c>
      <c r="I24" s="246">
        <v>0</v>
      </c>
      <c r="J24" s="246">
        <v>0</v>
      </c>
      <c r="K24" s="246">
        <v>0</v>
      </c>
      <c r="L24" s="246">
        <v>0</v>
      </c>
      <c r="M24" s="246">
        <v>0</v>
      </c>
      <c r="N24" s="246">
        <v>0</v>
      </c>
      <c r="O24" s="246">
        <v>0</v>
      </c>
      <c r="P24" s="246">
        <v>0</v>
      </c>
      <c r="Q24" s="246">
        <v>0</v>
      </c>
      <c r="R24" s="246">
        <v>0</v>
      </c>
      <c r="S24" s="246"/>
      <c r="T24" s="247">
        <v>0</v>
      </c>
      <c r="U24" s="246"/>
      <c r="V24" s="246"/>
      <c r="W24" s="246"/>
      <c r="X24" s="246"/>
      <c r="Y24" s="246"/>
      <c r="Z24" s="246"/>
    </row>
    <row r="25" spans="1:26">
      <c r="A25" s="214"/>
      <c r="B25" s="214"/>
      <c r="C25" s="214"/>
      <c r="D25" s="214"/>
      <c r="E25" s="214"/>
      <c r="F25" s="215" t="str">
        <f>"Total "&amp;F17</f>
        <v>Total Roll-off / Industrial</v>
      </c>
      <c r="G25" s="216">
        <v>5210.92</v>
      </c>
      <c r="H25" s="216">
        <v>4948.4002</v>
      </c>
      <c r="I25" s="216">
        <v>4505.9399999999996</v>
      </c>
      <c r="J25" s="216">
        <v>5362.1200000000017</v>
      </c>
      <c r="K25" s="216">
        <v>5210.869999999999</v>
      </c>
      <c r="L25" s="216">
        <v>4840.03</v>
      </c>
      <c r="M25" s="216">
        <v>5165.8600000000006</v>
      </c>
      <c r="N25" s="216">
        <v>4986.1399999999985</v>
      </c>
      <c r="O25" s="216">
        <v>5096.6000000000004</v>
      </c>
      <c r="P25" s="216">
        <v>5207.2499999999991</v>
      </c>
      <c r="Q25" s="216">
        <v>4962.2799999999988</v>
      </c>
      <c r="R25" s="216">
        <v>5324.08</v>
      </c>
      <c r="S25" s="216"/>
      <c r="T25" s="217">
        <v>60820.4902</v>
      </c>
      <c r="U25" s="198"/>
      <c r="V25" s="198"/>
      <c r="W25" s="198"/>
      <c r="X25" s="198"/>
      <c r="Y25" s="198"/>
      <c r="Z25" s="198"/>
    </row>
    <row r="26" spans="1:26">
      <c r="C26" s="189"/>
      <c r="D26" s="189"/>
      <c r="E26" s="189"/>
      <c r="F26" s="218" t="s">
        <v>223</v>
      </c>
      <c r="G26" s="219">
        <v>0.15509192553743301</v>
      </c>
      <c r="H26" s="219">
        <v>0.11731293069968651</v>
      </c>
      <c r="I26" s="219">
        <v>9.4437144321408262E-2</v>
      </c>
      <c r="J26" s="219">
        <v>0.11453561362521558</v>
      </c>
      <c r="K26" s="219">
        <v>0.11114736130568903</v>
      </c>
      <c r="L26" s="219">
        <v>0.11368233098709846</v>
      </c>
      <c r="M26" s="219">
        <v>8.9641585528425161E-2</v>
      </c>
      <c r="N26" s="219">
        <v>9.3931548924966801E-2</v>
      </c>
      <c r="O26" s="219">
        <v>8.5634923677943675E-2</v>
      </c>
      <c r="P26" s="219">
        <v>9.3294001553675177E-2</v>
      </c>
      <c r="Q26" s="219">
        <v>0.12126463922487485</v>
      </c>
      <c r="R26" s="219">
        <v>0.10166219373154517</v>
      </c>
      <c r="S26" s="219"/>
      <c r="T26" s="248">
        <v>0.10746513616048436</v>
      </c>
      <c r="U26" s="198"/>
      <c r="V26" s="198"/>
      <c r="W26" s="198"/>
      <c r="X26" s="198"/>
      <c r="Y26" s="198"/>
      <c r="Z26" s="198"/>
    </row>
    <row r="27" spans="1:26">
      <c r="C27" s="189"/>
      <c r="D27" s="189"/>
      <c r="E27" s="189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198"/>
      <c r="V27" s="198"/>
      <c r="W27" s="198"/>
      <c r="X27" s="198"/>
      <c r="Y27" s="198"/>
      <c r="Z27" s="198"/>
    </row>
    <row r="28" spans="1:26">
      <c r="C28" s="189"/>
      <c r="D28" s="189"/>
      <c r="E28" s="189"/>
      <c r="F28" s="187" t="s">
        <v>224</v>
      </c>
      <c r="G28" s="198">
        <v>138.87000000000003</v>
      </c>
      <c r="H28" s="198">
        <v>160.23999999999995</v>
      </c>
      <c r="I28" s="198">
        <v>182.90999999999994</v>
      </c>
      <c r="J28" s="198">
        <v>207.33</v>
      </c>
      <c r="K28" s="198">
        <v>267.32000000000016</v>
      </c>
      <c r="L28" s="198">
        <v>226.17999999999992</v>
      </c>
      <c r="M28" s="198">
        <v>225.57000000000005</v>
      </c>
      <c r="N28" s="198">
        <v>221.11000000000004</v>
      </c>
      <c r="O28" s="198">
        <v>227.53</v>
      </c>
      <c r="P28" s="198">
        <v>206.61</v>
      </c>
      <c r="Q28" s="198">
        <v>199.65999999999997</v>
      </c>
      <c r="R28" s="198">
        <v>213.21999999999994</v>
      </c>
      <c r="S28" s="198"/>
      <c r="T28" s="199">
        <v>2476.5499999999997</v>
      </c>
      <c r="U28" s="198"/>
      <c r="V28" s="198"/>
      <c r="W28" s="198"/>
      <c r="X28" s="198"/>
      <c r="Y28" s="198"/>
      <c r="Z28" s="198"/>
    </row>
    <row r="29" spans="1:26">
      <c r="C29" s="189"/>
      <c r="D29" s="189"/>
      <c r="E29" s="189"/>
      <c r="F29" s="187" t="s">
        <v>225</v>
      </c>
      <c r="G29" s="198">
        <v>4818.9000000000005</v>
      </c>
      <c r="H29" s="198">
        <v>4568.1401999999998</v>
      </c>
      <c r="I29" s="198">
        <v>4088.8400000000011</v>
      </c>
      <c r="J29" s="198">
        <v>5114.9000000000015</v>
      </c>
      <c r="K29" s="198">
        <v>4913.07</v>
      </c>
      <c r="L29" s="198">
        <v>4557.0499999999993</v>
      </c>
      <c r="M29" s="198">
        <v>4902.99</v>
      </c>
      <c r="N29" s="198">
        <v>4611.2199999999993</v>
      </c>
      <c r="O29" s="198">
        <v>4451.5200000000004</v>
      </c>
      <c r="P29" s="198">
        <v>4667.1800000000012</v>
      </c>
      <c r="Q29" s="198">
        <v>4559.2299999999996</v>
      </c>
      <c r="R29" s="198">
        <v>5106.17</v>
      </c>
      <c r="S29" s="198"/>
      <c r="T29" s="199">
        <v>56359.210200000001</v>
      </c>
      <c r="U29" s="198"/>
      <c r="V29" s="198"/>
      <c r="W29" s="198"/>
      <c r="X29" s="198"/>
      <c r="Y29" s="198"/>
      <c r="Z29" s="198"/>
    </row>
    <row r="30" spans="1:26">
      <c r="A30" s="249" t="str">
        <f>+A18</f>
        <v>I</v>
      </c>
      <c r="C30" s="189"/>
      <c r="D30" s="189"/>
      <c r="E30" s="189"/>
      <c r="F30" s="206" t="str">
        <f>"Total "&amp;F17&amp;" Pass Thru Disp."</f>
        <v>Total Roll-off / Industrial Pass Thru Disp.</v>
      </c>
      <c r="G30" s="213">
        <v>4957.7700000000004</v>
      </c>
      <c r="H30" s="213">
        <v>4728.3801999999996</v>
      </c>
      <c r="I30" s="213">
        <v>4271.7500000000009</v>
      </c>
      <c r="J30" s="213">
        <v>5322.2300000000014</v>
      </c>
      <c r="K30" s="213">
        <v>5180.3899999999994</v>
      </c>
      <c r="L30" s="213">
        <v>4783.2299999999996</v>
      </c>
      <c r="M30" s="213">
        <v>5128.5599999999995</v>
      </c>
      <c r="N30" s="213">
        <v>4832.329999999999</v>
      </c>
      <c r="O30" s="213">
        <v>4679.05</v>
      </c>
      <c r="P30" s="213">
        <v>4873.7900000000009</v>
      </c>
      <c r="Q30" s="213">
        <v>4758.8899999999994</v>
      </c>
      <c r="R30" s="213">
        <v>5319.39</v>
      </c>
      <c r="S30" s="213"/>
      <c r="T30" s="221">
        <v>58835.760200000004</v>
      </c>
      <c r="U30" s="198"/>
      <c r="V30" s="198"/>
      <c r="W30" s="198"/>
      <c r="X30" s="198"/>
      <c r="Y30" s="198"/>
      <c r="Z30" s="198"/>
    </row>
    <row r="31" spans="1:26">
      <c r="C31" s="189"/>
      <c r="D31" s="189"/>
      <c r="E31" s="189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9"/>
      <c r="U31" s="198"/>
      <c r="V31" s="198"/>
      <c r="W31" s="198"/>
      <c r="X31" s="198"/>
      <c r="Y31" s="198"/>
      <c r="Z31" s="198"/>
    </row>
    <row r="32" spans="1:26" ht="15" thickBot="1">
      <c r="C32" s="189"/>
      <c r="D32" s="189"/>
      <c r="E32" s="189"/>
      <c r="F32" s="188" t="s">
        <v>15</v>
      </c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9"/>
      <c r="U32" s="198"/>
      <c r="V32" s="250" t="s">
        <v>277</v>
      </c>
      <c r="W32" s="198"/>
      <c r="X32" s="198"/>
      <c r="Y32" s="198"/>
      <c r="Z32" s="198"/>
    </row>
    <row r="33" spans="1:26" ht="15" thickBot="1">
      <c r="C33" s="189"/>
      <c r="D33" s="251" t="s">
        <v>215</v>
      </c>
      <c r="E33" s="251"/>
      <c r="F33" s="187" t="s">
        <v>216</v>
      </c>
      <c r="G33" s="198">
        <v>309.76465380351686</v>
      </c>
      <c r="H33" s="198">
        <v>295.31387822817351</v>
      </c>
      <c r="I33" s="198">
        <v>258.65991849566865</v>
      </c>
      <c r="J33" s="198">
        <v>302.79971411691514</v>
      </c>
      <c r="K33" s="198">
        <v>298.97391747886417</v>
      </c>
      <c r="L33" s="198">
        <v>330.62516770030533</v>
      </c>
      <c r="M33" s="198">
        <v>359.16051463066071</v>
      </c>
      <c r="N33" s="198">
        <v>319.22297695471553</v>
      </c>
      <c r="O33" s="198">
        <v>357.03271968815443</v>
      </c>
      <c r="P33" s="198">
        <v>338.9886450850907</v>
      </c>
      <c r="Q33" s="198">
        <v>336.41675938809942</v>
      </c>
      <c r="R33" s="198">
        <v>393.60867603684551</v>
      </c>
      <c r="S33" s="198"/>
      <c r="T33" s="235">
        <v>3900.5675416070108</v>
      </c>
      <c r="U33" s="198"/>
      <c r="V33" s="252">
        <v>15.017852699332837</v>
      </c>
      <c r="W33" s="198"/>
      <c r="X33" s="198"/>
      <c r="Y33" s="198"/>
      <c r="Z33" s="198"/>
    </row>
    <row r="34" spans="1:26">
      <c r="D34" s="251" t="s">
        <v>217</v>
      </c>
      <c r="E34" s="251"/>
      <c r="F34" s="187" t="s">
        <v>218</v>
      </c>
      <c r="G34" s="198">
        <v>3138.4366566273161</v>
      </c>
      <c r="H34" s="198">
        <v>2942.968739823903</v>
      </c>
      <c r="I34" s="198">
        <v>2778.1943238778704</v>
      </c>
      <c r="J34" s="198">
        <v>3346.185527676007</v>
      </c>
      <c r="K34" s="198">
        <v>3179.9840928805647</v>
      </c>
      <c r="L34" s="198">
        <v>3138.1987689059611</v>
      </c>
      <c r="M34" s="198">
        <v>3336.3286457439171</v>
      </c>
      <c r="N34" s="198">
        <v>3227.7556624026593</v>
      </c>
      <c r="O34" s="198">
        <v>3175.9554210819306</v>
      </c>
      <c r="P34" s="198">
        <v>3206.5054384983569</v>
      </c>
      <c r="Q34" s="198">
        <v>3119.4793538081276</v>
      </c>
      <c r="R34" s="198">
        <v>3462.4293282763292</v>
      </c>
      <c r="S34" s="198"/>
      <c r="T34" s="199">
        <v>38052.421959602943</v>
      </c>
      <c r="U34" s="198"/>
      <c r="V34" s="253">
        <v>1170.7195572692115</v>
      </c>
      <c r="W34" s="198"/>
      <c r="X34" s="198"/>
      <c r="Y34" s="198"/>
      <c r="Z34" s="198"/>
    </row>
    <row r="35" spans="1:26" s="241" customFormat="1" outlineLevel="1">
      <c r="A35" s="254" t="s">
        <v>226</v>
      </c>
      <c r="B35" s="254" t="s">
        <v>214</v>
      </c>
      <c r="C35" s="206"/>
      <c r="D35" s="206"/>
      <c r="E35" s="206"/>
      <c r="F35" s="222" t="str">
        <f>"Total "&amp;F32&amp;" "&amp;B35</f>
        <v>Total Commercial MSW</v>
      </c>
      <c r="G35" s="207">
        <v>3368.6899999999996</v>
      </c>
      <c r="H35" s="207">
        <v>3190.77</v>
      </c>
      <c r="I35" s="207">
        <v>2980.09</v>
      </c>
      <c r="J35" s="207">
        <v>3576.55</v>
      </c>
      <c r="K35" s="207">
        <v>3410.1200000000008</v>
      </c>
      <c r="L35" s="207">
        <v>3384.12</v>
      </c>
      <c r="M35" s="207">
        <v>3648.65</v>
      </c>
      <c r="N35" s="207">
        <v>3430.13</v>
      </c>
      <c r="O35" s="207">
        <v>3482.17</v>
      </c>
      <c r="P35" s="207">
        <v>3498.36</v>
      </c>
      <c r="Q35" s="207">
        <v>3423.33</v>
      </c>
      <c r="R35" s="207">
        <v>3811.98</v>
      </c>
      <c r="S35" s="207"/>
      <c r="T35" s="208">
        <v>-748.02950120994501</v>
      </c>
      <c r="U35" s="209"/>
      <c r="V35" s="255"/>
      <c r="W35" s="198"/>
      <c r="X35" s="209"/>
      <c r="Y35" s="209"/>
      <c r="Z35" s="209"/>
    </row>
    <row r="36" spans="1:26">
      <c r="C36" s="189"/>
      <c r="D36" s="251" t="s">
        <v>215</v>
      </c>
      <c r="E36" s="251"/>
      <c r="F36" s="187" t="s">
        <v>220</v>
      </c>
      <c r="G36" s="198">
        <v>4.0324793668634316</v>
      </c>
      <c r="H36" s="198">
        <v>5.11171231706959</v>
      </c>
      <c r="I36" s="198">
        <v>4.0144445213109359</v>
      </c>
      <c r="J36" s="198">
        <v>5.114447881921504</v>
      </c>
      <c r="K36" s="198">
        <v>5.2789784588919533</v>
      </c>
      <c r="L36" s="198">
        <v>5.4396260213922885</v>
      </c>
      <c r="M36" s="198">
        <v>5.6732777055034322</v>
      </c>
      <c r="N36" s="198">
        <v>5.2034106685566854</v>
      </c>
      <c r="O36" s="198">
        <v>6.3193661376146437</v>
      </c>
      <c r="P36" s="198">
        <v>5.9090012125074161</v>
      </c>
      <c r="Q36" s="198">
        <v>7.1560480961555415</v>
      </c>
      <c r="R36" s="198">
        <v>7.1330002520683458</v>
      </c>
      <c r="S36" s="198"/>
      <c r="T36" s="199">
        <v>66.385792639855765</v>
      </c>
      <c r="U36" s="198"/>
      <c r="V36" s="252" t="e">
        <v>#DIV/0!</v>
      </c>
      <c r="W36" s="198"/>
      <c r="X36" s="198"/>
      <c r="Y36" s="198"/>
      <c r="Z36" s="198"/>
    </row>
    <row r="37" spans="1:26">
      <c r="D37" s="251" t="s">
        <v>217</v>
      </c>
      <c r="E37" s="251"/>
      <c r="F37" s="187" t="s">
        <v>221</v>
      </c>
      <c r="G37" s="198">
        <v>210.64155202078854</v>
      </c>
      <c r="H37" s="198">
        <v>214.39376887813913</v>
      </c>
      <c r="I37" s="198">
        <v>162.74711797271891</v>
      </c>
      <c r="J37" s="198">
        <v>188.91563049763036</v>
      </c>
      <c r="K37" s="198">
        <v>173.27426081911983</v>
      </c>
      <c r="L37" s="198">
        <v>168.46764250772205</v>
      </c>
      <c r="M37" s="198">
        <v>187.06896899211304</v>
      </c>
      <c r="N37" s="198">
        <v>167.1343984405016</v>
      </c>
      <c r="O37" s="198">
        <v>165.74981403179436</v>
      </c>
      <c r="P37" s="198">
        <v>164.23757912712799</v>
      </c>
      <c r="Q37" s="198">
        <v>150.2099137870631</v>
      </c>
      <c r="R37" s="198">
        <v>181.87233813665381</v>
      </c>
      <c r="S37" s="198"/>
      <c r="T37" s="199">
        <v>2134.7129852113726</v>
      </c>
      <c r="U37" s="198"/>
      <c r="V37" s="253">
        <v>112.65277320791346</v>
      </c>
      <c r="W37" s="198"/>
      <c r="X37" s="198"/>
      <c r="Y37" s="198"/>
      <c r="Z37" s="198"/>
    </row>
    <row r="38" spans="1:26" s="241" customFormat="1" outlineLevel="1">
      <c r="A38" s="205" t="str">
        <f>+A35</f>
        <v>C</v>
      </c>
      <c r="B38" s="211" t="s">
        <v>219</v>
      </c>
      <c r="C38" s="212" t="s">
        <v>222</v>
      </c>
      <c r="D38" s="256"/>
      <c r="E38" s="206"/>
      <c r="F38" s="222" t="str">
        <f>"Total "&amp;F32&amp;" Recycling"</f>
        <v>Total Commercial Recycling</v>
      </c>
      <c r="G38" s="207">
        <v>0</v>
      </c>
      <c r="H38" s="207">
        <v>0</v>
      </c>
      <c r="I38" s="207">
        <v>0</v>
      </c>
      <c r="J38" s="207">
        <v>0</v>
      </c>
      <c r="K38" s="207">
        <v>0</v>
      </c>
      <c r="L38" s="207">
        <v>0</v>
      </c>
      <c r="M38" s="207">
        <v>0</v>
      </c>
      <c r="N38" s="207">
        <v>0</v>
      </c>
      <c r="O38" s="207">
        <v>0</v>
      </c>
      <c r="P38" s="207">
        <v>0</v>
      </c>
      <c r="Q38" s="207">
        <v>0</v>
      </c>
      <c r="R38" s="207">
        <v>24.6</v>
      </c>
      <c r="S38" s="207"/>
      <c r="T38" s="208">
        <v>-2176.4987778512286</v>
      </c>
      <c r="U38" s="209"/>
      <c r="V38" s="257"/>
      <c r="W38" s="198"/>
      <c r="X38" s="209"/>
      <c r="Y38" s="209"/>
      <c r="Z38" s="209"/>
    </row>
    <row r="39" spans="1:26" outlineLevel="1">
      <c r="A39" s="214"/>
      <c r="B39" s="214"/>
      <c r="C39" s="214"/>
      <c r="D39" s="214"/>
      <c r="E39" s="214"/>
      <c r="F39" s="258" t="str">
        <f>"Total "&amp;F32&amp;" per Disposal Report"</f>
        <v>Total Commercial per Disposal Report</v>
      </c>
      <c r="G39" s="259">
        <v>4064.36</v>
      </c>
      <c r="H39" s="259">
        <v>3870.33</v>
      </c>
      <c r="I39" s="259">
        <v>3571.51</v>
      </c>
      <c r="J39" s="259">
        <v>4255.0899999999992</v>
      </c>
      <c r="K39" s="259">
        <v>4019.8800000000006</v>
      </c>
      <c r="L39" s="259">
        <v>3989</v>
      </c>
      <c r="M39" s="259">
        <v>4313.8500000000004</v>
      </c>
      <c r="N39" s="259">
        <v>4018.0700000000006</v>
      </c>
      <c r="O39" s="259">
        <v>4120.8500000000004</v>
      </c>
      <c r="P39" s="259">
        <v>4140.8600000000006</v>
      </c>
      <c r="Q39" s="259">
        <v>4041.5699999999997</v>
      </c>
      <c r="R39" s="259">
        <v>4548.6499999999996</v>
      </c>
      <c r="S39" s="259"/>
      <c r="T39" s="260">
        <v>48954.020000000004</v>
      </c>
      <c r="U39" s="198"/>
      <c r="V39" s="261"/>
      <c r="W39" s="198"/>
      <c r="X39" s="198"/>
      <c r="Y39" s="198"/>
      <c r="Z39" s="198"/>
    </row>
    <row r="40" spans="1:26">
      <c r="C40" s="189"/>
      <c r="D40" s="189"/>
      <c r="E40" s="189"/>
      <c r="F40" s="218" t="s">
        <v>223</v>
      </c>
      <c r="G40" s="219">
        <v>-9.7963976738122405E-3</v>
      </c>
      <c r="H40" s="219">
        <v>4.9725019344719623E-3</v>
      </c>
      <c r="I40" s="219">
        <v>-1.894759787496203E-3</v>
      </c>
      <c r="J40" s="219">
        <v>-3.7694413032436369E-3</v>
      </c>
      <c r="K40" s="219">
        <v>-1.4977980133682456E-3</v>
      </c>
      <c r="L40" s="219">
        <v>-4.7380357735422596E-3</v>
      </c>
      <c r="M40" s="219">
        <v>-3.3500063534602775E-3</v>
      </c>
      <c r="N40" s="219">
        <v>-1.1549758672773858E-2</v>
      </c>
      <c r="O40" s="219">
        <v>-1.8142885518149798E-3</v>
      </c>
      <c r="P40" s="219">
        <v>-2.4355752992673008E-3</v>
      </c>
      <c r="Q40" s="219">
        <v>-1.6822314305153796E-4</v>
      </c>
      <c r="R40" s="219">
        <v>-2.0119267544571606E-3</v>
      </c>
      <c r="S40" s="198"/>
      <c r="T40" s="248">
        <v>-3.2142935680735674E-3</v>
      </c>
      <c r="U40" s="198"/>
      <c r="V40" s="198"/>
      <c r="W40" s="198"/>
      <c r="X40" s="198"/>
      <c r="Y40" s="198"/>
      <c r="Z40" s="198"/>
    </row>
    <row r="41" spans="1:26">
      <c r="C41" s="189"/>
      <c r="D41" s="189"/>
      <c r="E41" s="189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220"/>
      <c r="U41" s="198"/>
      <c r="V41" s="198"/>
      <c r="W41" s="198"/>
      <c r="X41" s="198"/>
      <c r="Y41" s="198"/>
      <c r="Z41" s="198"/>
    </row>
    <row r="42" spans="1:26" ht="15" thickBot="1">
      <c r="C42" s="189"/>
      <c r="D42" s="189"/>
      <c r="E42" s="189"/>
      <c r="F42" s="188" t="s">
        <v>14</v>
      </c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9"/>
      <c r="U42" s="198"/>
      <c r="V42" s="250" t="s">
        <v>278</v>
      </c>
      <c r="W42" s="198"/>
      <c r="X42" s="198"/>
      <c r="Y42" s="198"/>
      <c r="Z42" s="198"/>
    </row>
    <row r="43" spans="1:26" ht="15" thickBot="1">
      <c r="C43" s="189"/>
      <c r="D43" s="251" t="s">
        <v>215</v>
      </c>
      <c r="E43" s="251"/>
      <c r="F43" s="187" t="s">
        <v>216</v>
      </c>
      <c r="G43" s="198">
        <v>1668.6287073508388</v>
      </c>
      <c r="H43" s="198">
        <v>1525.5723148490931</v>
      </c>
      <c r="I43" s="198">
        <v>1285.0289366902789</v>
      </c>
      <c r="J43" s="198">
        <v>1570.2415877340898</v>
      </c>
      <c r="K43" s="198">
        <v>1562.7463393375401</v>
      </c>
      <c r="L43" s="198">
        <v>1511.0554322441162</v>
      </c>
      <c r="M43" s="198">
        <v>1612.4435342772636</v>
      </c>
      <c r="N43" s="198">
        <v>1622.5691469272024</v>
      </c>
      <c r="O43" s="198">
        <v>1594.9208854700346</v>
      </c>
      <c r="P43" s="198">
        <v>1604.3146481240055</v>
      </c>
      <c r="Q43" s="198">
        <v>1422.8062566051117</v>
      </c>
      <c r="R43" s="198">
        <v>1656.6419868854391</v>
      </c>
      <c r="S43" s="198"/>
      <c r="T43" s="235">
        <v>18636.969776495011</v>
      </c>
      <c r="U43" s="198"/>
      <c r="V43" s="262">
        <v>20.583756793517768</v>
      </c>
      <c r="W43" s="198"/>
      <c r="X43" s="198"/>
      <c r="Y43" s="198"/>
      <c r="Z43" s="198"/>
    </row>
    <row r="44" spans="1:26">
      <c r="D44" s="251" t="s">
        <v>217</v>
      </c>
      <c r="E44" s="251"/>
      <c r="F44" s="187" t="s">
        <v>218</v>
      </c>
      <c r="G44" s="198">
        <v>2328.7745564803931</v>
      </c>
      <c r="H44" s="198">
        <v>2182.7944149955883</v>
      </c>
      <c r="I44" s="198">
        <v>1907.9330495071304</v>
      </c>
      <c r="J44" s="198">
        <v>2254.3558126929029</v>
      </c>
      <c r="K44" s="198">
        <v>2288.6796609599805</v>
      </c>
      <c r="L44" s="198">
        <v>2153.8066576780352</v>
      </c>
      <c r="M44" s="198">
        <v>2321.0295246959922</v>
      </c>
      <c r="N44" s="198">
        <v>2347.7967773236915</v>
      </c>
      <c r="O44" s="198">
        <v>2264.3793428300514</v>
      </c>
      <c r="P44" s="198">
        <v>2258.7627367048462</v>
      </c>
      <c r="Q44" s="198">
        <v>1846.9970529420582</v>
      </c>
      <c r="R44" s="198">
        <v>2100.0543430635889</v>
      </c>
      <c r="S44" s="198"/>
      <c r="T44" s="199">
        <v>26255.36392987426</v>
      </c>
      <c r="U44" s="198"/>
      <c r="V44" s="253">
        <v>45.733554707972544</v>
      </c>
      <c r="W44" s="198"/>
      <c r="X44" s="198"/>
      <c r="Y44" s="198"/>
      <c r="Z44" s="198"/>
    </row>
    <row r="45" spans="1:26" s="241" customFormat="1" outlineLevel="1">
      <c r="A45" s="204" t="s">
        <v>215</v>
      </c>
      <c r="B45" s="204" t="s">
        <v>214</v>
      </c>
      <c r="C45" s="206"/>
      <c r="D45" s="256"/>
      <c r="E45" s="206"/>
      <c r="F45" s="222" t="str">
        <f>"Total "&amp;F42&amp;" "&amp;B45</f>
        <v>Total Residential MSW</v>
      </c>
      <c r="G45" s="207">
        <v>4014.3000000000006</v>
      </c>
      <c r="H45" s="207">
        <v>3709.23</v>
      </c>
      <c r="I45" s="207">
        <v>3277.4599999999996</v>
      </c>
      <c r="J45" s="207">
        <v>3862.2000000000003</v>
      </c>
      <c r="K45" s="207">
        <v>3891.6800000000003</v>
      </c>
      <c r="L45" s="207">
        <v>3729.13</v>
      </c>
      <c r="M45" s="207">
        <v>3988.31</v>
      </c>
      <c r="N45" s="207">
        <v>4016.0899999999988</v>
      </c>
      <c r="O45" s="207">
        <v>3897.8400000000006</v>
      </c>
      <c r="P45" s="207">
        <v>3918.9299999999994</v>
      </c>
      <c r="Q45" s="207">
        <v>3334.4000000000005</v>
      </c>
      <c r="R45" s="207">
        <v>3757.08</v>
      </c>
      <c r="S45" s="207"/>
      <c r="T45" s="208">
        <v>504.31629363073444</v>
      </c>
      <c r="U45" s="209"/>
      <c r="V45" s="255"/>
      <c r="W45" s="209"/>
      <c r="X45" s="209"/>
      <c r="Y45" s="209"/>
      <c r="Z45" s="209"/>
    </row>
    <row r="46" spans="1:26">
      <c r="C46" s="189"/>
      <c r="D46" s="251" t="s">
        <v>215</v>
      </c>
      <c r="E46" s="251"/>
      <c r="F46" s="187" t="s">
        <v>227</v>
      </c>
      <c r="G46" s="198">
        <v>550.45420751750748</v>
      </c>
      <c r="H46" s="198">
        <v>452.26451468577227</v>
      </c>
      <c r="I46" s="198">
        <v>298.3359280802448</v>
      </c>
      <c r="J46" s="198">
        <v>606.70741772488827</v>
      </c>
      <c r="K46" s="198">
        <v>805.70973689235075</v>
      </c>
      <c r="L46" s="198">
        <v>953.32388887969194</v>
      </c>
      <c r="M46" s="198">
        <v>847.19874945995105</v>
      </c>
      <c r="N46" s="198">
        <v>596.31962807800596</v>
      </c>
      <c r="O46" s="198">
        <v>559.39083436659269</v>
      </c>
      <c r="P46" s="198">
        <v>605.51377514343881</v>
      </c>
      <c r="Q46" s="198">
        <v>617.05332010377867</v>
      </c>
      <c r="R46" s="198">
        <v>825.70307473868013</v>
      </c>
      <c r="S46" s="198"/>
      <c r="T46" s="199">
        <v>7717.9750756709018</v>
      </c>
      <c r="U46" s="198"/>
      <c r="V46" s="252">
        <v>10.752996513235441</v>
      </c>
      <c r="W46" s="198"/>
      <c r="X46" s="198"/>
      <c r="Y46" s="198"/>
      <c r="Z46" s="198"/>
    </row>
    <row r="47" spans="1:26">
      <c r="D47" s="251" t="s">
        <v>217</v>
      </c>
      <c r="E47" s="251"/>
      <c r="F47" s="187" t="s">
        <v>228</v>
      </c>
      <c r="G47" s="198">
        <v>1232.9834422806598</v>
      </c>
      <c r="H47" s="198">
        <v>806.39075933816662</v>
      </c>
      <c r="I47" s="198">
        <v>547.68168203133075</v>
      </c>
      <c r="J47" s="198">
        <v>1076.5893074820374</v>
      </c>
      <c r="K47" s="198">
        <v>1739.6114204770297</v>
      </c>
      <c r="L47" s="198">
        <v>2004.5754337682679</v>
      </c>
      <c r="M47" s="198">
        <v>1926.1458068949996</v>
      </c>
      <c r="N47" s="198">
        <v>1323.0474097944661</v>
      </c>
      <c r="O47" s="198">
        <v>1086.4755290823509</v>
      </c>
      <c r="P47" s="198">
        <v>1127.3917744693647</v>
      </c>
      <c r="Q47" s="198">
        <v>1127.2239001439864</v>
      </c>
      <c r="R47" s="198">
        <v>1737.699085442089</v>
      </c>
      <c r="S47" s="198"/>
      <c r="T47" s="199">
        <v>15735.815551204749</v>
      </c>
      <c r="U47" s="198"/>
      <c r="V47" s="253">
        <v>63.29923176457023</v>
      </c>
      <c r="W47" s="198"/>
      <c r="X47" s="198"/>
      <c r="Y47" s="198"/>
      <c r="Z47" s="198"/>
    </row>
    <row r="48" spans="1:26" s="241" customFormat="1" outlineLevel="1">
      <c r="A48" s="205" t="str">
        <f>+A45</f>
        <v>R</v>
      </c>
      <c r="B48" s="205" t="s">
        <v>222</v>
      </c>
      <c r="C48" s="206"/>
      <c r="D48" s="256"/>
      <c r="E48" s="206"/>
      <c r="F48" s="222" t="str">
        <f>"Total "&amp;F42&amp;" "&amp;B48</f>
        <v>Total Residential YW</v>
      </c>
      <c r="G48" s="207">
        <v>1752.73</v>
      </c>
      <c r="H48" s="207">
        <v>1247.4499999999998</v>
      </c>
      <c r="I48" s="207">
        <v>831.25</v>
      </c>
      <c r="J48" s="207">
        <v>1696.3</v>
      </c>
      <c r="K48" s="207">
        <v>2520.5999999999995</v>
      </c>
      <c r="L48" s="207">
        <v>2966.87</v>
      </c>
      <c r="M48" s="207">
        <v>2761.4799999999996</v>
      </c>
      <c r="N48" s="207">
        <v>1907.51</v>
      </c>
      <c r="O48" s="207">
        <v>1641.76</v>
      </c>
      <c r="P48" s="207">
        <v>1698.18</v>
      </c>
      <c r="Q48" s="207">
        <v>1725.1799999999998</v>
      </c>
      <c r="R48" s="207">
        <v>2611.14</v>
      </c>
      <c r="S48" s="207"/>
      <c r="T48" s="208">
        <v>-93.340626875651651</v>
      </c>
      <c r="U48" s="209"/>
      <c r="V48" s="255"/>
      <c r="W48" s="209"/>
      <c r="X48" s="209"/>
      <c r="Y48" s="209"/>
      <c r="Z48" s="209"/>
    </row>
    <row r="49" spans="1:26">
      <c r="C49" s="189"/>
      <c r="D49" s="251" t="s">
        <v>215</v>
      </c>
      <c r="E49" s="251"/>
      <c r="F49" s="187" t="s">
        <v>229</v>
      </c>
      <c r="G49" s="198">
        <v>759.6204237357581</v>
      </c>
      <c r="H49" s="198">
        <v>725.17825411014667</v>
      </c>
      <c r="I49" s="198">
        <v>539.63664376093061</v>
      </c>
      <c r="J49" s="198">
        <v>675.21736600743202</v>
      </c>
      <c r="K49" s="198">
        <v>583.24307769938014</v>
      </c>
      <c r="L49" s="198">
        <v>605.12568696411984</v>
      </c>
      <c r="M49" s="198">
        <v>645.69457090825722</v>
      </c>
      <c r="N49" s="198">
        <v>631.08096151612847</v>
      </c>
      <c r="O49" s="198">
        <v>646.11349219870431</v>
      </c>
      <c r="P49" s="198">
        <v>585.71926628533402</v>
      </c>
      <c r="Q49" s="198">
        <v>539.55098480810159</v>
      </c>
      <c r="R49" s="198">
        <v>647.5173037664</v>
      </c>
      <c r="S49" s="198"/>
      <c r="T49" s="199">
        <v>7583.6980317606931</v>
      </c>
      <c r="U49" s="198"/>
      <c r="V49" s="252">
        <v>9.5090423280335106</v>
      </c>
      <c r="W49" s="198"/>
      <c r="X49" s="198"/>
      <c r="Y49" s="198"/>
      <c r="Z49" s="198"/>
    </row>
    <row r="50" spans="1:26">
      <c r="D50" s="251" t="s">
        <v>217</v>
      </c>
      <c r="E50" s="251"/>
      <c r="F50" s="187" t="s">
        <v>230</v>
      </c>
      <c r="G50" s="198">
        <v>1038.3275251737207</v>
      </c>
      <c r="H50" s="198">
        <v>1005.2497255663154</v>
      </c>
      <c r="I50" s="198">
        <v>787.73475359600423</v>
      </c>
      <c r="J50" s="198">
        <v>1017.0181027386686</v>
      </c>
      <c r="K50" s="198">
        <v>946.79658491778628</v>
      </c>
      <c r="L50" s="198">
        <v>900.94623724905273</v>
      </c>
      <c r="M50" s="198">
        <v>922.37052173124573</v>
      </c>
      <c r="N50" s="198">
        <v>856.95211467017998</v>
      </c>
      <c r="O50" s="198">
        <v>871.12643659766854</v>
      </c>
      <c r="P50" s="198">
        <v>900.21952669932932</v>
      </c>
      <c r="Q50" s="198">
        <v>784.69858000041995</v>
      </c>
      <c r="R50" s="198">
        <v>866.13936726239126</v>
      </c>
      <c r="S50" s="198"/>
      <c r="T50" s="199">
        <v>10897.579476202784</v>
      </c>
      <c r="U50" s="198"/>
      <c r="V50" s="253">
        <v>34.950409030506563</v>
      </c>
      <c r="W50" s="198"/>
      <c r="X50" s="198"/>
      <c r="Y50" s="198"/>
      <c r="Z50" s="198"/>
    </row>
    <row r="51" spans="1:26" s="241" customFormat="1" outlineLevel="1">
      <c r="A51" s="205" t="str">
        <f>+A48</f>
        <v>R</v>
      </c>
      <c r="B51" s="205" t="s">
        <v>219</v>
      </c>
      <c r="C51" s="206"/>
      <c r="D51" s="256"/>
      <c r="E51" s="206"/>
      <c r="F51" s="222" t="str">
        <f>"Total "&amp;F42&amp;" "&amp;B49</f>
        <v xml:space="preserve">Total Residential </v>
      </c>
      <c r="G51" s="207">
        <v>3.26</v>
      </c>
      <c r="H51" s="207">
        <v>0</v>
      </c>
      <c r="I51" s="207">
        <v>0</v>
      </c>
      <c r="J51" s="207">
        <v>1.4</v>
      </c>
      <c r="K51" s="207">
        <v>0</v>
      </c>
      <c r="L51" s="207">
        <v>16.82</v>
      </c>
      <c r="M51" s="207">
        <v>0</v>
      </c>
      <c r="N51" s="207">
        <v>0</v>
      </c>
      <c r="O51" s="207">
        <v>2.71</v>
      </c>
      <c r="P51" s="207">
        <v>2.63</v>
      </c>
      <c r="Q51" s="207">
        <v>0</v>
      </c>
      <c r="R51" s="207">
        <v>0</v>
      </c>
      <c r="S51" s="207"/>
      <c r="T51" s="208">
        <v>-18454.457507963478</v>
      </c>
      <c r="U51" s="209"/>
      <c r="V51" s="257"/>
      <c r="W51" s="209"/>
      <c r="X51" s="209"/>
      <c r="Y51" s="209"/>
      <c r="Z51" s="209"/>
    </row>
    <row r="52" spans="1:26" outlineLevel="1">
      <c r="A52" s="214"/>
      <c r="B52" s="214"/>
      <c r="C52" s="214"/>
      <c r="D52" s="214"/>
      <c r="E52" s="214"/>
      <c r="F52" s="258" t="str">
        <f>"Total "&amp;F42&amp;" per Disposal Report"</f>
        <v>Total Residential per Disposal Report</v>
      </c>
      <c r="G52" s="259">
        <v>7640.0400000000009</v>
      </c>
      <c r="H52" s="259">
        <v>6750.9699999999984</v>
      </c>
      <c r="I52" s="259">
        <v>5469.869999999999</v>
      </c>
      <c r="J52" s="259">
        <v>7286.2300000000014</v>
      </c>
      <c r="K52" s="259">
        <v>7983.8799999999992</v>
      </c>
      <c r="L52" s="259">
        <v>8258.5300000000007</v>
      </c>
      <c r="M52" s="259">
        <v>8343.3499999999985</v>
      </c>
      <c r="N52" s="259">
        <v>7440.9599999999991</v>
      </c>
      <c r="O52" s="259">
        <v>7081.9900000000007</v>
      </c>
      <c r="P52" s="259">
        <v>7131.1800000000021</v>
      </c>
      <c r="Q52" s="259">
        <v>6412.2400000000007</v>
      </c>
      <c r="R52" s="259">
        <v>7900.119999999999</v>
      </c>
      <c r="S52" s="259"/>
      <c r="T52" s="260">
        <v>87699.36</v>
      </c>
      <c r="U52" s="198"/>
      <c r="V52" s="261"/>
      <c r="W52" s="198"/>
      <c r="X52" s="198"/>
      <c r="Y52" s="198"/>
      <c r="Z52" s="198"/>
    </row>
    <row r="53" spans="1:26">
      <c r="C53" s="189"/>
      <c r="D53" s="189"/>
      <c r="E53" s="189"/>
      <c r="F53" s="187" t="str">
        <f>"Total "&amp;F42</f>
        <v>Total Residential</v>
      </c>
      <c r="G53" s="203">
        <v>7578.7888625388778</v>
      </c>
      <c r="H53" s="203">
        <v>6697.4499835450824</v>
      </c>
      <c r="I53" s="203">
        <v>5366.3509936659193</v>
      </c>
      <c r="J53" s="203">
        <v>7200.1295943800196</v>
      </c>
      <c r="K53" s="203">
        <v>7926.7868202840682</v>
      </c>
      <c r="L53" s="203">
        <v>8128.8333367832838</v>
      </c>
      <c r="M53" s="203">
        <v>8274.8827079677103</v>
      </c>
      <c r="N53" s="203">
        <v>7377.7660383096745</v>
      </c>
      <c r="O53" s="203">
        <v>7022.4065205454026</v>
      </c>
      <c r="P53" s="203">
        <v>7081.9217274263183</v>
      </c>
      <c r="Q53" s="203">
        <v>6338.3300946034578</v>
      </c>
      <c r="R53" s="203">
        <v>7833.7551611585877</v>
      </c>
      <c r="S53" s="203"/>
      <c r="T53" s="199">
        <v>86827.401841208397</v>
      </c>
      <c r="U53" s="198"/>
      <c r="V53" s="263">
        <v>24.422741085153838</v>
      </c>
      <c r="W53" s="198"/>
      <c r="X53" s="198"/>
      <c r="Y53" s="198"/>
      <c r="Z53" s="198"/>
    </row>
    <row r="54" spans="1:26">
      <c r="C54" s="189"/>
      <c r="D54" s="189"/>
      <c r="E54" s="189"/>
      <c r="F54" s="218" t="s">
        <v>223</v>
      </c>
      <c r="G54" s="219">
        <v>-2.3959460472556704E-2</v>
      </c>
      <c r="H54" s="219">
        <v>-1.6207905422305546E-2</v>
      </c>
      <c r="I54" s="219">
        <v>-2.3054658088596636E-2</v>
      </c>
      <c r="J54" s="219">
        <v>-1.1650021361699459E-2</v>
      </c>
      <c r="K54" s="219">
        <v>-1.3331422227082057E-2</v>
      </c>
      <c r="L54" s="219">
        <v>-2.6414735371574571E-2</v>
      </c>
      <c r="M54" s="219">
        <v>-8.3559677483178163E-3</v>
      </c>
      <c r="N54" s="219">
        <v>-1.1159848129591365E-2</v>
      </c>
      <c r="O54" s="219">
        <v>-1.1478611118405646E-2</v>
      </c>
      <c r="P54" s="219">
        <v>-1.0270309119069565E-2</v>
      </c>
      <c r="Q54" s="219">
        <v>-1.7218694726709005E-2</v>
      </c>
      <c r="R54" s="219">
        <v>-1.0592177806135084E-2</v>
      </c>
      <c r="S54" s="198"/>
      <c r="T54" s="219">
        <v>-1.5181362209412463E-2</v>
      </c>
      <c r="U54" s="198"/>
      <c r="V54" s="198"/>
      <c r="W54" s="198"/>
      <c r="X54" s="198"/>
      <c r="Y54" s="198"/>
      <c r="Z54" s="198"/>
    </row>
    <row r="55" spans="1:26">
      <c r="C55" s="189"/>
      <c r="D55" s="189"/>
      <c r="E55" s="189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9"/>
      <c r="U55" s="198"/>
      <c r="V55" s="198"/>
      <c r="W55" s="198"/>
      <c r="X55" s="198"/>
      <c r="Y55" s="198"/>
      <c r="Z55" s="198"/>
    </row>
    <row r="56" spans="1:26">
      <c r="C56" s="189"/>
      <c r="D56" s="189"/>
      <c r="E56" s="189"/>
      <c r="F56" s="224" t="s">
        <v>231</v>
      </c>
      <c r="G56" s="198">
        <v>10200.014574262066</v>
      </c>
      <c r="H56" s="198">
        <v>9694.3293478967589</v>
      </c>
      <c r="I56" s="198">
        <v>8802.3262285709479</v>
      </c>
      <c r="J56" s="198">
        <v>10440.952642219916</v>
      </c>
      <c r="K56" s="198">
        <v>10247.364010656949</v>
      </c>
      <c r="L56" s="198">
        <v>9885.4560265284181</v>
      </c>
      <c r="M56" s="198">
        <v>10462.522219347835</v>
      </c>
      <c r="N56" s="198">
        <v>10362.894563608268</v>
      </c>
      <c r="O56" s="198">
        <v>10349.648369070172</v>
      </c>
      <c r="P56" s="198">
        <v>10457.3414684123</v>
      </c>
      <c r="Q56" s="198">
        <v>9501.8894227433975</v>
      </c>
      <c r="R56" s="198">
        <v>10564.454334262202</v>
      </c>
      <c r="S56" s="198"/>
      <c r="T56" s="199">
        <v>120969.19320757923</v>
      </c>
      <c r="U56" s="198"/>
      <c r="V56" s="198"/>
      <c r="W56" s="198"/>
      <c r="X56" s="198"/>
      <c r="Y56" s="198"/>
      <c r="Z56" s="198"/>
    </row>
    <row r="57" spans="1:26" outlineLevel="1">
      <c r="C57" s="189"/>
      <c r="D57" s="189"/>
      <c r="E57" s="189"/>
      <c r="F57" s="225" t="s">
        <v>223</v>
      </c>
      <c r="G57" s="219">
        <v>-6.2000775297221811E-3</v>
      </c>
      <c r="H57" s="219">
        <v>-1.9448393121170859E-3</v>
      </c>
      <c r="I57" s="219">
        <v>-8.2556414697656511E-3</v>
      </c>
      <c r="J57" s="219">
        <v>-2.9190946281040242E-3</v>
      </c>
      <c r="K57" s="219">
        <v>-3.3482486359915908E-3</v>
      </c>
      <c r="L57" s="219">
        <v>-5.5363441310822825E-3</v>
      </c>
      <c r="M57" s="219">
        <v>-2.9577932229066795E-3</v>
      </c>
      <c r="N57" s="219">
        <v>-8.3742654366369962E-4</v>
      </c>
      <c r="O57" s="219">
        <v>6.2827756246108812E-4</v>
      </c>
      <c r="P57" s="219">
        <v>-2.6455240768501476E-3</v>
      </c>
      <c r="Q57" s="219">
        <v>-6.8815254252160285E-3</v>
      </c>
      <c r="R57" s="219">
        <v>-3.4003741085607553E-3</v>
      </c>
      <c r="S57" s="219"/>
      <c r="T57" s="219">
        <v>-3.6132484032606049E-3</v>
      </c>
      <c r="U57" s="198"/>
      <c r="V57" s="198"/>
      <c r="W57" s="198"/>
      <c r="X57" s="198"/>
      <c r="Y57" s="198"/>
      <c r="Z57" s="198"/>
    </row>
    <row r="58" spans="1:26">
      <c r="C58" s="189"/>
      <c r="D58" s="189"/>
      <c r="E58" s="189"/>
      <c r="F58" s="224" t="s">
        <v>232</v>
      </c>
      <c r="G58" s="198">
        <v>4452.9119802971309</v>
      </c>
      <c r="H58" s="198">
        <v>4117.7036608716708</v>
      </c>
      <c r="I58" s="198">
        <v>3416.9129598509653</v>
      </c>
      <c r="J58" s="198">
        <v>4258.0255471256532</v>
      </c>
      <c r="K58" s="198">
        <v>3997.8429018951774</v>
      </c>
      <c r="L58" s="198">
        <v>3753.3991927422867</v>
      </c>
      <c r="M58" s="198">
        <v>4090.6573393371204</v>
      </c>
      <c r="N58" s="198">
        <v>3792.4108852953664</v>
      </c>
      <c r="O58" s="198">
        <v>3824.3591089657821</v>
      </c>
      <c r="P58" s="198">
        <v>3802.675373324299</v>
      </c>
      <c r="Q58" s="198">
        <v>3661.6255266917406</v>
      </c>
      <c r="R58" s="198">
        <v>4064.8320094175133</v>
      </c>
      <c r="S58" s="198"/>
      <c r="T58" s="199">
        <v>47233.356485814715</v>
      </c>
      <c r="U58" s="198"/>
      <c r="V58" s="198"/>
      <c r="W58" s="198"/>
      <c r="X58" s="198"/>
      <c r="Y58" s="198"/>
      <c r="Z58" s="198"/>
    </row>
    <row r="59" spans="1:26">
      <c r="C59" s="189"/>
      <c r="D59" s="189"/>
      <c r="E59" s="189"/>
      <c r="F59" s="224" t="s">
        <v>233</v>
      </c>
      <c r="G59" s="198">
        <v>1783.4376497981673</v>
      </c>
      <c r="H59" s="198">
        <v>1258.655274023939</v>
      </c>
      <c r="I59" s="198">
        <v>846.01761011157555</v>
      </c>
      <c r="J59" s="198">
        <v>1683.2967252069257</v>
      </c>
      <c r="K59" s="198">
        <v>2545.3211573693807</v>
      </c>
      <c r="L59" s="198">
        <v>2957.8993226479597</v>
      </c>
      <c r="M59" s="198">
        <v>2773.3445563549508</v>
      </c>
      <c r="N59" s="198">
        <v>1919.3670378724721</v>
      </c>
      <c r="O59" s="198">
        <v>1645.8663634489435</v>
      </c>
      <c r="P59" s="198">
        <v>1732.9055496128035</v>
      </c>
      <c r="Q59" s="198">
        <v>1744.2772202477649</v>
      </c>
      <c r="R59" s="198">
        <v>2563.402160180769</v>
      </c>
      <c r="S59" s="198"/>
      <c r="T59" s="199">
        <v>23453.790626875649</v>
      </c>
      <c r="U59" s="198"/>
      <c r="V59" s="223"/>
      <c r="W59" s="198"/>
      <c r="X59" s="198"/>
      <c r="Y59" s="198"/>
      <c r="Z59" s="198"/>
    </row>
    <row r="60" spans="1:26" outlineLevel="1">
      <c r="C60" s="189"/>
      <c r="D60" s="189"/>
      <c r="E60" s="189"/>
      <c r="F60" s="225" t="s">
        <v>223</v>
      </c>
      <c r="G60" s="219">
        <v>1.9509471146082591E-2</v>
      </c>
      <c r="H60" s="219">
        <v>3.291292722997774E-4</v>
      </c>
      <c r="I60" s="219">
        <v>-1.1565413277528913E-2</v>
      </c>
      <c r="J60" s="219">
        <v>7.729681945906508E-3</v>
      </c>
      <c r="K60" s="219">
        <v>1.167722063450638E-2</v>
      </c>
      <c r="L60" s="219">
        <v>-7.6227455303243818E-3</v>
      </c>
      <c r="M60" s="219">
        <v>-8.1323449785165591E-3</v>
      </c>
      <c r="N60" s="219">
        <v>-1.2115194165773779E-4</v>
      </c>
      <c r="O60" s="219">
        <v>-2.0325970425679296E-2</v>
      </c>
      <c r="P60" s="219">
        <v>-8.7065429359439728E-3</v>
      </c>
      <c r="Q60" s="219">
        <v>1.0541665860893001E-2</v>
      </c>
      <c r="R60" s="219">
        <v>-1.1848429702792318E-2</v>
      </c>
      <c r="S60" s="219"/>
      <c r="T60" s="219">
        <v>-1.4323347721203472E-3</v>
      </c>
      <c r="U60" s="198"/>
      <c r="V60" s="198"/>
      <c r="W60" s="198"/>
      <c r="X60" s="198"/>
      <c r="Y60" s="198"/>
      <c r="Z60" s="198"/>
    </row>
    <row r="61" spans="1:26">
      <c r="C61" s="189"/>
      <c r="D61" s="189"/>
      <c r="E61" s="189"/>
      <c r="F61" s="226" t="s">
        <v>234</v>
      </c>
      <c r="G61" s="216">
        <v>16436.364204357364</v>
      </c>
      <c r="H61" s="216">
        <v>15070.688282792369</v>
      </c>
      <c r="I61" s="216">
        <v>13065.25679853349</v>
      </c>
      <c r="J61" s="216">
        <v>16382.274914552494</v>
      </c>
      <c r="K61" s="216">
        <v>16790.528069921507</v>
      </c>
      <c r="L61" s="216">
        <v>16596.754541918664</v>
      </c>
      <c r="M61" s="216">
        <v>17326.524115039905</v>
      </c>
      <c r="N61" s="216">
        <v>16074.672486776108</v>
      </c>
      <c r="O61" s="216">
        <v>15819.873841484898</v>
      </c>
      <c r="P61" s="216">
        <v>15992.922391349402</v>
      </c>
      <c r="Q61" s="216">
        <v>14907.792169682903</v>
      </c>
      <c r="R61" s="216">
        <v>17192.688503860485</v>
      </c>
      <c r="S61" s="216"/>
      <c r="T61" s="217">
        <v>191656.34032026961</v>
      </c>
      <c r="U61" s="198"/>
      <c r="V61" s="198"/>
      <c r="W61" s="198"/>
      <c r="X61" s="198"/>
      <c r="Y61" s="198"/>
      <c r="Z61" s="198"/>
    </row>
    <row r="62" spans="1:26">
      <c r="C62" s="189"/>
      <c r="D62" s="189"/>
      <c r="E62" s="189"/>
      <c r="F62" s="225" t="s">
        <v>223</v>
      </c>
      <c r="G62" s="219">
        <v>3.400608055924792E-3</v>
      </c>
      <c r="H62" s="219">
        <v>-1.1348046673195222E-3</v>
      </c>
      <c r="I62" s="219">
        <v>-9.3379870254647335E-3</v>
      </c>
      <c r="J62" s="219">
        <v>9.1676342801783051E-4</v>
      </c>
      <c r="K62" s="219">
        <v>2.4536996137485279E-3</v>
      </c>
      <c r="L62" s="219">
        <v>-6.3810865420530494E-3</v>
      </c>
      <c r="M62" s="219">
        <v>-5.0141660288652856E-3</v>
      </c>
      <c r="N62" s="219">
        <v>-5.8303183737251629E-4</v>
      </c>
      <c r="O62" s="219">
        <v>-6.7179652069176976E-3</v>
      </c>
      <c r="P62" s="219">
        <v>-4.751775353382226E-3</v>
      </c>
      <c r="Q62" s="219">
        <v>-6.3334975619466771E-4</v>
      </c>
      <c r="R62" s="219">
        <v>-6.6743756945122357E-3</v>
      </c>
      <c r="S62" s="198"/>
      <c r="T62" s="219">
        <v>-2.8099883849568297E-3</v>
      </c>
      <c r="U62" s="198"/>
      <c r="V62" s="198"/>
      <c r="W62" s="198"/>
      <c r="X62" s="198"/>
      <c r="Y62" s="198"/>
      <c r="Z62" s="198"/>
    </row>
    <row r="63" spans="1:26">
      <c r="C63" s="189"/>
      <c r="D63" s="189"/>
      <c r="E63" s="189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220"/>
      <c r="U63" s="198"/>
      <c r="V63" s="198"/>
      <c r="W63" s="198"/>
      <c r="X63" s="198"/>
      <c r="Y63" s="198"/>
      <c r="Z63" s="198"/>
    </row>
    <row r="64" spans="1:26" ht="15" thickBot="1">
      <c r="C64" s="189"/>
      <c r="D64" s="189"/>
      <c r="E64" s="189"/>
      <c r="F64" s="195" t="s">
        <v>235</v>
      </c>
      <c r="G64" s="196"/>
      <c r="H64" s="196"/>
      <c r="I64" s="196"/>
      <c r="J64" s="196"/>
      <c r="K64" s="196"/>
      <c r="L64" s="196"/>
      <c r="M64" s="196"/>
      <c r="N64" s="196"/>
      <c r="O64" s="196"/>
      <c r="P64" s="196"/>
      <c r="Q64" s="196"/>
      <c r="R64" s="196"/>
      <c r="S64" s="196"/>
      <c r="T64" s="195"/>
    </row>
    <row r="65" spans="3:26">
      <c r="C65" s="189"/>
      <c r="D65" s="189"/>
      <c r="E65" s="189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  <c r="R65" s="198"/>
      <c r="S65" s="198"/>
      <c r="T65" s="220"/>
      <c r="U65" s="198"/>
      <c r="V65" s="198"/>
      <c r="W65" s="198"/>
      <c r="X65" s="198"/>
      <c r="Y65" s="198"/>
      <c r="Z65" s="198"/>
    </row>
    <row r="66" spans="3:26">
      <c r="C66" s="189"/>
      <c r="D66" s="189"/>
      <c r="E66" s="189"/>
      <c r="F66" s="188" t="str">
        <f>+F17</f>
        <v>Roll-off / Industrial</v>
      </c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R66" s="198"/>
      <c r="S66" s="198"/>
      <c r="T66" s="220"/>
      <c r="U66" s="198"/>
      <c r="V66" s="198"/>
      <c r="W66" s="198"/>
      <c r="X66" s="198"/>
      <c r="Y66" s="198"/>
      <c r="Z66" s="198"/>
    </row>
    <row r="67" spans="3:26">
      <c r="C67" s="189"/>
      <c r="D67" s="189"/>
      <c r="E67" s="189"/>
      <c r="F67" s="187" t="str">
        <f>+F18</f>
        <v>Regulated Garbage</v>
      </c>
      <c r="G67" s="227">
        <v>140.82</v>
      </c>
      <c r="H67" s="228">
        <v>140.82</v>
      </c>
      <c r="I67" s="228">
        <v>140.82</v>
      </c>
      <c r="J67" s="228">
        <v>140.82</v>
      </c>
      <c r="K67" s="228">
        <v>140.82</v>
      </c>
      <c r="L67" s="228">
        <v>140.82</v>
      </c>
      <c r="M67" s="228">
        <v>140.82</v>
      </c>
      <c r="N67" s="228">
        <v>140.82</v>
      </c>
      <c r="O67" s="228">
        <v>140.82</v>
      </c>
      <c r="P67" s="228">
        <v>140.82</v>
      </c>
      <c r="Q67" s="228">
        <v>140.82</v>
      </c>
      <c r="R67" s="228">
        <v>140.82</v>
      </c>
      <c r="S67" s="228"/>
      <c r="T67" s="229"/>
      <c r="U67" s="198"/>
      <c r="V67" s="198"/>
      <c r="W67" s="198"/>
      <c r="X67" s="198"/>
      <c r="Y67" s="198"/>
      <c r="Z67" s="198"/>
    </row>
    <row r="68" spans="3:26">
      <c r="C68" s="189"/>
      <c r="D68" s="189"/>
      <c r="E68" s="189"/>
      <c r="F68" s="187" t="str">
        <f>+F19</f>
        <v>Unregulated Garbage</v>
      </c>
      <c r="G68" s="228">
        <v>140.82</v>
      </c>
      <c r="H68" s="228">
        <v>140.82</v>
      </c>
      <c r="I68" s="228">
        <v>140.82</v>
      </c>
      <c r="J68" s="228">
        <v>140.82</v>
      </c>
      <c r="K68" s="228">
        <v>140.82</v>
      </c>
      <c r="L68" s="228">
        <v>140.82</v>
      </c>
      <c r="M68" s="228">
        <v>140.82</v>
      </c>
      <c r="N68" s="228">
        <v>140.82</v>
      </c>
      <c r="O68" s="228">
        <v>140.82</v>
      </c>
      <c r="P68" s="228">
        <v>140.82</v>
      </c>
      <c r="Q68" s="228">
        <v>140.82</v>
      </c>
      <c r="R68" s="228">
        <v>140.82</v>
      </c>
      <c r="S68" s="228"/>
      <c r="T68" s="229"/>
      <c r="U68" s="198"/>
      <c r="V68" s="198"/>
      <c r="W68" s="198"/>
      <c r="X68" s="198"/>
      <c r="Y68" s="198"/>
      <c r="Z68" s="198"/>
    </row>
    <row r="69" spans="3:26">
      <c r="C69" s="189"/>
      <c r="D69" s="189"/>
      <c r="E69" s="189"/>
      <c r="F69" s="187" t="str">
        <f>+F21</f>
        <v>Regulated RCY (MF)</v>
      </c>
      <c r="G69" s="264">
        <v>0</v>
      </c>
      <c r="H69" s="228">
        <v>0</v>
      </c>
      <c r="I69" s="228">
        <v>0</v>
      </c>
      <c r="J69" s="228">
        <v>0</v>
      </c>
      <c r="K69" s="228">
        <v>0</v>
      </c>
      <c r="L69" s="228">
        <v>0</v>
      </c>
      <c r="M69" s="228">
        <v>0</v>
      </c>
      <c r="N69" s="228">
        <v>0</v>
      </c>
      <c r="O69" s="228">
        <v>0</v>
      </c>
      <c r="P69" s="228">
        <v>0</v>
      </c>
      <c r="Q69" s="228">
        <v>0</v>
      </c>
      <c r="R69" s="228">
        <v>0</v>
      </c>
      <c r="S69" s="228"/>
      <c r="T69" s="229"/>
      <c r="U69" s="198"/>
      <c r="V69" s="198"/>
      <c r="W69" s="198"/>
      <c r="X69" s="198"/>
      <c r="Y69" s="198"/>
      <c r="Z69" s="198"/>
    </row>
    <row r="70" spans="3:26">
      <c r="C70" s="189"/>
      <c r="D70" s="189"/>
      <c r="E70" s="189"/>
      <c r="F70" s="187" t="str">
        <f>+F22</f>
        <v>Unregulated RCY / COGS</v>
      </c>
      <c r="G70" s="228">
        <v>58.943887816611948</v>
      </c>
      <c r="H70" s="228">
        <v>63.484219867954636</v>
      </c>
      <c r="I70" s="228">
        <v>67.131601119212803</v>
      </c>
      <c r="J70" s="228">
        <v>64.405285526360174</v>
      </c>
      <c r="K70" s="228">
        <v>64.537119143824413</v>
      </c>
      <c r="L70" s="228">
        <v>62.885835961840819</v>
      </c>
      <c r="M70" s="228">
        <v>68.856664592141101</v>
      </c>
      <c r="N70" s="228">
        <v>66.948997204555283</v>
      </c>
      <c r="O70" s="228">
        <v>69.602337181799015</v>
      </c>
      <c r="P70" s="228">
        <v>67.226279820552577</v>
      </c>
      <c r="Q70" s="228">
        <v>61.054316264604282</v>
      </c>
      <c r="R70" s="228">
        <v>66.206157897187765</v>
      </c>
      <c r="S70" s="228"/>
      <c r="T70" s="229"/>
      <c r="U70" s="198"/>
      <c r="V70" s="198"/>
      <c r="W70" s="198"/>
      <c r="X70" s="198"/>
      <c r="Y70" s="198"/>
      <c r="Z70" s="198"/>
    </row>
    <row r="71" spans="3:26">
      <c r="C71" s="189"/>
      <c r="D71" s="189"/>
      <c r="E71" s="189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220"/>
      <c r="U71" s="198"/>
      <c r="V71" s="198"/>
      <c r="W71" s="198"/>
      <c r="X71" s="198"/>
      <c r="Y71" s="198"/>
      <c r="Z71" s="198"/>
    </row>
    <row r="72" spans="3:26">
      <c r="C72" s="189"/>
      <c r="D72" s="189"/>
      <c r="E72" s="189"/>
      <c r="F72" s="187" t="s">
        <v>236</v>
      </c>
      <c r="G72" s="228">
        <v>140.82</v>
      </c>
      <c r="H72" s="228">
        <v>140.82</v>
      </c>
      <c r="I72" s="228">
        <v>140.82</v>
      </c>
      <c r="J72" s="228">
        <v>140.82</v>
      </c>
      <c r="K72" s="228">
        <v>140.82</v>
      </c>
      <c r="L72" s="228">
        <v>140.82</v>
      </c>
      <c r="M72" s="228">
        <v>140.82</v>
      </c>
      <c r="N72" s="228">
        <v>140.82</v>
      </c>
      <c r="O72" s="228">
        <v>140.82</v>
      </c>
      <c r="P72" s="228">
        <v>140.82</v>
      </c>
      <c r="Q72" s="228">
        <v>140.82</v>
      </c>
      <c r="R72" s="228">
        <v>140.82</v>
      </c>
      <c r="S72" s="198"/>
      <c r="T72" s="220"/>
      <c r="U72" s="198"/>
      <c r="V72" s="198"/>
      <c r="W72" s="198"/>
      <c r="X72" s="198"/>
      <c r="Y72" s="198"/>
      <c r="Z72" s="198"/>
    </row>
    <row r="73" spans="3:26">
      <c r="C73" s="189"/>
      <c r="D73" s="189"/>
      <c r="E73" s="189"/>
      <c r="F73" s="187" t="s">
        <v>237</v>
      </c>
      <c r="G73" s="228">
        <v>112.19471385585919</v>
      </c>
      <c r="H73" s="228">
        <v>116.32539062614585</v>
      </c>
      <c r="I73" s="228">
        <v>121.02985291671965</v>
      </c>
      <c r="J73" s="228">
        <v>113.11353680423852</v>
      </c>
      <c r="K73" s="228">
        <v>115.3449487998339</v>
      </c>
      <c r="L73" s="228">
        <v>115.77593451904197</v>
      </c>
      <c r="M73" s="228">
        <v>116.52135586652226</v>
      </c>
      <c r="N73" s="228">
        <v>120.89862114581395</v>
      </c>
      <c r="O73" s="228">
        <v>129.74902851160951</v>
      </c>
      <c r="P73" s="228">
        <v>123.95002759696432</v>
      </c>
      <c r="Q73" s="228">
        <v>118.39115350618421</v>
      </c>
      <c r="R73" s="228">
        <v>116.92157323395028</v>
      </c>
      <c r="S73" s="198"/>
      <c r="T73" s="220"/>
      <c r="U73" s="198"/>
      <c r="V73" s="198"/>
      <c r="W73" s="198"/>
      <c r="X73" s="198"/>
      <c r="Y73" s="198"/>
      <c r="Z73" s="198"/>
    </row>
    <row r="74" spans="3:26">
      <c r="C74" s="189"/>
      <c r="D74" s="189"/>
      <c r="E74" s="189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  <c r="S74" s="198"/>
      <c r="T74" s="220"/>
      <c r="U74" s="198"/>
      <c r="V74" s="198"/>
      <c r="W74" s="198"/>
      <c r="X74" s="198"/>
      <c r="Y74" s="198"/>
      <c r="Z74" s="198"/>
    </row>
    <row r="75" spans="3:26">
      <c r="C75" s="189"/>
      <c r="D75" s="189"/>
      <c r="E75" s="189"/>
      <c r="F75" s="188" t="str">
        <f>+F32</f>
        <v>Commercial</v>
      </c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/>
      <c r="S75" s="198"/>
      <c r="T75" s="220"/>
      <c r="U75" s="198"/>
      <c r="V75" s="198"/>
      <c r="W75" s="198"/>
      <c r="X75" s="198"/>
      <c r="Y75" s="198"/>
      <c r="Z75" s="198"/>
    </row>
    <row r="76" spans="3:26">
      <c r="C76" s="189"/>
      <c r="D76" s="189"/>
      <c r="E76" s="189"/>
      <c r="F76" s="187" t="str">
        <f>+F33</f>
        <v>Regulated Garbage</v>
      </c>
      <c r="G76" s="228">
        <v>140.82</v>
      </c>
      <c r="H76" s="228">
        <v>140.82</v>
      </c>
      <c r="I76" s="228">
        <v>140.82</v>
      </c>
      <c r="J76" s="228">
        <v>140.82</v>
      </c>
      <c r="K76" s="228">
        <v>140.82</v>
      </c>
      <c r="L76" s="228">
        <v>140.82</v>
      </c>
      <c r="M76" s="228">
        <v>140.82</v>
      </c>
      <c r="N76" s="228">
        <v>140.82</v>
      </c>
      <c r="O76" s="228">
        <v>140.82</v>
      </c>
      <c r="P76" s="228">
        <v>140.82</v>
      </c>
      <c r="Q76" s="228">
        <v>140.82</v>
      </c>
      <c r="R76" s="228">
        <v>140.82</v>
      </c>
      <c r="S76" s="198"/>
      <c r="T76" s="220"/>
      <c r="U76" s="198"/>
      <c r="V76" s="198"/>
      <c r="W76" s="198"/>
      <c r="X76" s="198"/>
      <c r="Y76" s="198"/>
      <c r="Z76" s="198"/>
    </row>
    <row r="77" spans="3:26">
      <c r="C77" s="189"/>
      <c r="D77" s="189"/>
      <c r="E77" s="189"/>
      <c r="F77" s="187" t="str">
        <f>+F34</f>
        <v>Unregulated Garbage</v>
      </c>
      <c r="G77" s="228">
        <v>140.82</v>
      </c>
      <c r="H77" s="228">
        <v>140.82</v>
      </c>
      <c r="I77" s="228">
        <v>140.82</v>
      </c>
      <c r="J77" s="228">
        <v>140.82</v>
      </c>
      <c r="K77" s="228">
        <v>140.82</v>
      </c>
      <c r="L77" s="228">
        <v>140.82</v>
      </c>
      <c r="M77" s="228">
        <v>140.82</v>
      </c>
      <c r="N77" s="228">
        <v>140.82</v>
      </c>
      <c r="O77" s="228">
        <v>140.82</v>
      </c>
      <c r="P77" s="228">
        <v>140.82</v>
      </c>
      <c r="Q77" s="228">
        <v>140.82</v>
      </c>
      <c r="R77" s="228">
        <v>140.82</v>
      </c>
      <c r="S77" s="198"/>
      <c r="T77" s="220"/>
      <c r="U77" s="198"/>
      <c r="V77" s="198"/>
      <c r="W77" s="198"/>
      <c r="X77" s="198"/>
      <c r="Y77" s="198"/>
      <c r="Z77" s="198"/>
    </row>
    <row r="78" spans="3:26">
      <c r="C78" s="189"/>
      <c r="D78" s="189"/>
      <c r="E78" s="189"/>
      <c r="F78" s="187" t="str">
        <f>+F36</f>
        <v>Regulated RCY (MF)</v>
      </c>
      <c r="G78" s="264">
        <v>0</v>
      </c>
      <c r="H78" s="228">
        <v>0</v>
      </c>
      <c r="I78" s="228">
        <v>0</v>
      </c>
      <c r="J78" s="228">
        <v>0</v>
      </c>
      <c r="K78" s="228">
        <v>0</v>
      </c>
      <c r="L78" s="228">
        <v>0</v>
      </c>
      <c r="M78" s="228">
        <v>0</v>
      </c>
      <c r="N78" s="228">
        <v>0</v>
      </c>
      <c r="O78" s="228">
        <v>0</v>
      </c>
      <c r="P78" s="228">
        <v>0</v>
      </c>
      <c r="Q78" s="228">
        <v>0</v>
      </c>
      <c r="R78" s="228">
        <v>0</v>
      </c>
      <c r="S78" s="198"/>
      <c r="T78" s="220"/>
      <c r="U78" s="198"/>
      <c r="V78" s="198"/>
      <c r="W78" s="198"/>
      <c r="X78" s="198"/>
      <c r="Y78" s="198"/>
      <c r="Z78" s="198"/>
    </row>
    <row r="79" spans="3:26">
      <c r="C79" s="189"/>
      <c r="D79" s="189"/>
      <c r="E79" s="189"/>
      <c r="F79" s="187" t="str">
        <f>+F37</f>
        <v>Unregulated RCY / COGS</v>
      </c>
      <c r="G79" s="227">
        <v>116.77</v>
      </c>
      <c r="H79" s="228">
        <v>116.77</v>
      </c>
      <c r="I79" s="228">
        <v>116.77</v>
      </c>
      <c r="J79" s="228">
        <v>116.77</v>
      </c>
      <c r="K79" s="228">
        <v>116.77</v>
      </c>
      <c r="L79" s="228">
        <v>116.77</v>
      </c>
      <c r="M79" s="228">
        <v>116.77</v>
      </c>
      <c r="N79" s="228">
        <v>116.77</v>
      </c>
      <c r="O79" s="228">
        <v>116.77</v>
      </c>
      <c r="P79" s="228">
        <v>116.77</v>
      </c>
      <c r="Q79" s="228">
        <v>116.77</v>
      </c>
      <c r="R79" s="228">
        <v>116.77</v>
      </c>
      <c r="S79" s="198"/>
      <c r="T79" s="220"/>
      <c r="U79" s="198"/>
      <c r="V79" s="198"/>
      <c r="W79" s="198"/>
      <c r="X79" s="198"/>
      <c r="Y79" s="198"/>
      <c r="Z79" s="198"/>
    </row>
    <row r="80" spans="3:26">
      <c r="C80" s="189"/>
      <c r="D80" s="189"/>
      <c r="E80" s="189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220"/>
      <c r="U80" s="198"/>
      <c r="V80" s="198"/>
      <c r="W80" s="198"/>
      <c r="X80" s="198"/>
      <c r="Y80" s="198"/>
      <c r="Z80" s="198"/>
    </row>
    <row r="81" spans="3:26">
      <c r="C81" s="189"/>
      <c r="D81" s="189"/>
      <c r="E81" s="189"/>
      <c r="F81" s="188" t="str">
        <f>+F42</f>
        <v>Residential</v>
      </c>
      <c r="G81" s="198"/>
      <c r="H81" s="198"/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8"/>
      <c r="T81" s="220"/>
      <c r="U81" s="198"/>
      <c r="V81" s="198"/>
      <c r="W81" s="198"/>
      <c r="X81" s="198"/>
      <c r="Y81" s="198"/>
      <c r="Z81" s="198"/>
    </row>
    <row r="82" spans="3:26">
      <c r="C82" s="189"/>
      <c r="D82" s="189"/>
      <c r="E82" s="189"/>
      <c r="F82" s="187" t="str">
        <f>+F43</f>
        <v>Regulated Garbage</v>
      </c>
      <c r="G82" s="228">
        <v>140.82</v>
      </c>
      <c r="H82" s="228">
        <v>140.82</v>
      </c>
      <c r="I82" s="228">
        <v>140.82</v>
      </c>
      <c r="J82" s="228">
        <v>140.82</v>
      </c>
      <c r="K82" s="228">
        <v>140.82</v>
      </c>
      <c r="L82" s="228">
        <v>140.82</v>
      </c>
      <c r="M82" s="228">
        <v>140.82</v>
      </c>
      <c r="N82" s="228">
        <v>140.82</v>
      </c>
      <c r="O82" s="228">
        <v>140.82</v>
      </c>
      <c r="P82" s="228">
        <v>140.82</v>
      </c>
      <c r="Q82" s="228">
        <v>140.82</v>
      </c>
      <c r="R82" s="228">
        <v>140.82</v>
      </c>
      <c r="S82" s="198"/>
      <c r="T82" s="220"/>
      <c r="U82" s="198"/>
      <c r="V82" s="198"/>
      <c r="W82" s="198"/>
      <c r="X82" s="198"/>
      <c r="Y82" s="198"/>
      <c r="Z82" s="198"/>
    </row>
    <row r="83" spans="3:26">
      <c r="C83" s="189"/>
      <c r="D83" s="189"/>
      <c r="E83" s="189"/>
      <c r="F83" s="187" t="str">
        <f>+F44</f>
        <v>Unregulated Garbage</v>
      </c>
      <c r="G83" s="228">
        <v>140.82</v>
      </c>
      <c r="H83" s="228">
        <v>140.82</v>
      </c>
      <c r="I83" s="228">
        <v>140.82</v>
      </c>
      <c r="J83" s="228">
        <v>140.82</v>
      </c>
      <c r="K83" s="228">
        <v>140.82</v>
      </c>
      <c r="L83" s="228">
        <v>140.82</v>
      </c>
      <c r="M83" s="228">
        <v>140.82</v>
      </c>
      <c r="N83" s="228">
        <v>140.82</v>
      </c>
      <c r="O83" s="228">
        <v>140.82</v>
      </c>
      <c r="P83" s="228">
        <v>140.82</v>
      </c>
      <c r="Q83" s="228">
        <v>140.82</v>
      </c>
      <c r="R83" s="228">
        <v>140.82</v>
      </c>
      <c r="S83" s="198"/>
      <c r="T83" s="220"/>
      <c r="U83" s="198"/>
      <c r="V83" s="198"/>
      <c r="W83" s="198"/>
      <c r="X83" s="198"/>
      <c r="Y83" s="198"/>
      <c r="Z83" s="198"/>
    </row>
    <row r="84" spans="3:26">
      <c r="C84" s="189"/>
      <c r="D84" s="189"/>
      <c r="E84" s="189"/>
      <c r="F84" s="187" t="str">
        <f>+F46</f>
        <v>Regulated Yardwaste</v>
      </c>
      <c r="G84" s="227">
        <v>66.099999999999994</v>
      </c>
      <c r="H84" s="228">
        <v>66.099999999999994</v>
      </c>
      <c r="I84" s="228">
        <v>66.099999999999994</v>
      </c>
      <c r="J84" s="228">
        <v>66.099999999999994</v>
      </c>
      <c r="K84" s="228">
        <v>66.099999999999994</v>
      </c>
      <c r="L84" s="228">
        <v>66.099999999999994</v>
      </c>
      <c r="M84" s="227">
        <v>54.77</v>
      </c>
      <c r="N84" s="227">
        <v>54.77</v>
      </c>
      <c r="O84" s="228">
        <v>54.77</v>
      </c>
      <c r="P84" s="228">
        <v>54.77</v>
      </c>
      <c r="Q84" s="228">
        <v>54.77</v>
      </c>
      <c r="R84" s="228">
        <v>54.77</v>
      </c>
      <c r="S84" s="198"/>
      <c r="T84" s="220"/>
      <c r="U84" s="198"/>
      <c r="V84" s="198"/>
      <c r="W84" s="198"/>
      <c r="X84" s="198"/>
      <c r="Y84" s="198"/>
      <c r="Z84" s="198"/>
    </row>
    <row r="85" spans="3:26">
      <c r="C85" s="189"/>
      <c r="D85" s="189"/>
      <c r="E85" s="189"/>
      <c r="F85" s="187" t="str">
        <f>+F47</f>
        <v>Unregulated Yardwaste</v>
      </c>
      <c r="G85" s="227">
        <v>55.7</v>
      </c>
      <c r="H85" s="228">
        <v>55.7</v>
      </c>
      <c r="I85" s="228">
        <v>55.7</v>
      </c>
      <c r="J85" s="228">
        <v>55.7</v>
      </c>
      <c r="K85" s="228">
        <v>55.7</v>
      </c>
      <c r="L85" s="228">
        <v>55.7</v>
      </c>
      <c r="M85" s="228">
        <v>54.77</v>
      </c>
      <c r="N85" s="228">
        <v>54.77</v>
      </c>
      <c r="O85" s="228">
        <v>54.77</v>
      </c>
      <c r="P85" s="228">
        <v>54.77</v>
      </c>
      <c r="Q85" s="228">
        <v>54.77</v>
      </c>
      <c r="R85" s="228">
        <v>54.77</v>
      </c>
      <c r="S85" s="198"/>
      <c r="T85" s="220"/>
      <c r="U85" s="198"/>
      <c r="V85" s="198"/>
      <c r="W85" s="198"/>
      <c r="X85" s="198"/>
      <c r="Y85" s="198"/>
      <c r="Z85" s="198"/>
    </row>
    <row r="86" spans="3:26">
      <c r="C86" s="189"/>
      <c r="D86" s="189"/>
      <c r="E86" s="189"/>
      <c r="F86" s="187" t="str">
        <f>+F49</f>
        <v>Regulated RCY</v>
      </c>
      <c r="G86" s="265">
        <v>114.46</v>
      </c>
      <c r="H86" s="228">
        <v>114.46</v>
      </c>
      <c r="I86" s="228">
        <v>114.46</v>
      </c>
      <c r="J86" s="228">
        <v>114.46</v>
      </c>
      <c r="K86" s="228">
        <v>114.46</v>
      </c>
      <c r="L86" s="228">
        <v>114.46</v>
      </c>
      <c r="M86" s="228">
        <v>114.46</v>
      </c>
      <c r="N86" s="228">
        <v>114.46</v>
      </c>
      <c r="O86" s="228">
        <v>114.46</v>
      </c>
      <c r="P86" s="228">
        <v>114.46</v>
      </c>
      <c r="Q86" s="228">
        <v>114.46</v>
      </c>
      <c r="R86" s="228">
        <v>114.46</v>
      </c>
      <c r="S86" s="198"/>
      <c r="T86" s="220"/>
      <c r="U86" s="198"/>
      <c r="V86" s="198"/>
      <c r="W86" s="198"/>
      <c r="X86" s="198"/>
      <c r="Y86" s="198"/>
      <c r="Z86" s="198"/>
    </row>
    <row r="87" spans="3:26">
      <c r="C87" s="189"/>
      <c r="D87" s="189"/>
      <c r="E87" s="189"/>
      <c r="F87" s="187" t="str">
        <f>+F50</f>
        <v>Unregulated RCY</v>
      </c>
      <c r="G87" s="228">
        <v>114.46</v>
      </c>
      <c r="H87" s="228">
        <v>114.46</v>
      </c>
      <c r="I87" s="228">
        <v>114.46</v>
      </c>
      <c r="J87" s="228">
        <v>114.46</v>
      </c>
      <c r="K87" s="228">
        <v>114.46</v>
      </c>
      <c r="L87" s="228">
        <v>114.46</v>
      </c>
      <c r="M87" s="228">
        <v>114.46</v>
      </c>
      <c r="N87" s="228">
        <v>114.46</v>
      </c>
      <c r="O87" s="228">
        <v>114.46</v>
      </c>
      <c r="P87" s="228">
        <v>114.46</v>
      </c>
      <c r="Q87" s="228">
        <v>114.46</v>
      </c>
      <c r="R87" s="228">
        <v>114.46</v>
      </c>
      <c r="S87" s="198"/>
      <c r="T87" s="220"/>
      <c r="U87" s="198"/>
      <c r="V87" s="198"/>
      <c r="W87" s="198"/>
      <c r="X87" s="198"/>
      <c r="Y87" s="198"/>
      <c r="Z87" s="198"/>
    </row>
    <row r="88" spans="3:26">
      <c r="C88" s="189"/>
      <c r="D88" s="189"/>
      <c r="E88" s="189"/>
      <c r="G88" s="198"/>
      <c r="H88" s="198"/>
      <c r="I88" s="198"/>
      <c r="J88" s="198"/>
      <c r="K88" s="198"/>
      <c r="L88" s="198"/>
      <c r="M88" s="198"/>
      <c r="N88" s="198"/>
      <c r="O88" s="198"/>
      <c r="P88" s="198"/>
      <c r="Q88" s="198"/>
      <c r="R88" s="198"/>
      <c r="S88" s="198"/>
      <c r="T88" s="220"/>
      <c r="U88" s="198"/>
      <c r="V88" s="198"/>
      <c r="W88" s="198"/>
      <c r="X88" s="198"/>
      <c r="Y88" s="198"/>
      <c r="Z88" s="198"/>
    </row>
    <row r="89" spans="3:26" ht="15" thickBot="1">
      <c r="C89" s="189"/>
      <c r="D89" s="189"/>
      <c r="E89" s="189"/>
      <c r="F89" s="195" t="s">
        <v>238</v>
      </c>
      <c r="G89" s="196"/>
      <c r="H89" s="196"/>
      <c r="I89" s="196"/>
      <c r="J89" s="196"/>
      <c r="K89" s="196"/>
      <c r="L89" s="196"/>
      <c r="M89" s="196"/>
      <c r="N89" s="196"/>
      <c r="O89" s="196"/>
      <c r="P89" s="196"/>
      <c r="Q89" s="196"/>
      <c r="R89" s="196"/>
      <c r="S89" s="196"/>
      <c r="T89" s="195"/>
    </row>
    <row r="90" spans="3:26">
      <c r="C90" s="189"/>
      <c r="D90" s="189"/>
      <c r="E90" s="189"/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220"/>
      <c r="U90" s="198"/>
      <c r="V90" s="198"/>
      <c r="W90" s="198"/>
      <c r="X90" s="198"/>
      <c r="Y90" s="198"/>
      <c r="Z90" s="198"/>
    </row>
    <row r="91" spans="3:26">
      <c r="C91" s="189"/>
      <c r="D91" s="189"/>
      <c r="E91" s="189"/>
      <c r="F91" s="187" t="s">
        <v>239</v>
      </c>
      <c r="G91" s="198">
        <v>1467140.21</v>
      </c>
      <c r="H91" s="198">
        <v>1318538.98</v>
      </c>
      <c r="I91" s="198">
        <v>1595025.26</v>
      </c>
      <c r="J91" s="198">
        <v>1619322.19</v>
      </c>
      <c r="K91" s="198">
        <v>1594518.65</v>
      </c>
      <c r="L91" s="198">
        <v>1631108.3</v>
      </c>
      <c r="M91" s="198">
        <v>1600566.29</v>
      </c>
      <c r="N91" s="198">
        <v>1565709.6800000002</v>
      </c>
      <c r="O91" s="198">
        <v>1617721.89</v>
      </c>
      <c r="P91" s="198">
        <v>1465382.44</v>
      </c>
      <c r="Q91" s="198">
        <v>1683357.9100000001</v>
      </c>
      <c r="R91" s="198">
        <v>1567267.56</v>
      </c>
      <c r="S91" s="198"/>
      <c r="T91" s="199">
        <v>18725659.360000003</v>
      </c>
      <c r="U91" s="198"/>
      <c r="V91" s="198"/>
      <c r="W91" s="198"/>
      <c r="X91" s="198"/>
      <c r="Y91" s="198"/>
      <c r="Z91" s="198"/>
    </row>
    <row r="92" spans="3:26">
      <c r="C92" s="189"/>
      <c r="D92" s="189"/>
      <c r="E92" s="189"/>
      <c r="F92" s="201" t="s">
        <v>240</v>
      </c>
      <c r="G92" s="202">
        <v>286741.26</v>
      </c>
      <c r="H92" s="202">
        <v>226826.51</v>
      </c>
      <c r="I92" s="202">
        <v>277271.34999999998</v>
      </c>
      <c r="J92" s="202">
        <v>251646.24</v>
      </c>
      <c r="K92" s="202">
        <v>254873.53000000003</v>
      </c>
      <c r="L92" s="202">
        <v>259454.16999999998</v>
      </c>
      <c r="M92" s="202">
        <v>245941.16999999998</v>
      </c>
      <c r="N92" s="202">
        <v>258612.46999999997</v>
      </c>
      <c r="O92" s="202">
        <v>255010.36000000002</v>
      </c>
      <c r="P92" s="202">
        <v>234987.06</v>
      </c>
      <c r="Q92" s="202">
        <v>262728.38</v>
      </c>
      <c r="R92" s="202">
        <v>303367.67</v>
      </c>
      <c r="S92" s="202"/>
      <c r="T92" s="230">
        <v>3117460.17</v>
      </c>
      <c r="U92" s="198"/>
      <c r="V92" s="198"/>
      <c r="W92" s="198"/>
      <c r="X92" s="198"/>
      <c r="Y92" s="198"/>
      <c r="Z92" s="198"/>
    </row>
    <row r="93" spans="3:26">
      <c r="C93" s="189"/>
      <c r="D93" s="189"/>
      <c r="E93" s="189"/>
      <c r="F93" s="187" t="s">
        <v>17</v>
      </c>
      <c r="G93" s="198">
        <v>1753881.47</v>
      </c>
      <c r="H93" s="198">
        <v>1545365.49</v>
      </c>
      <c r="I93" s="198">
        <v>1872296.6099999999</v>
      </c>
      <c r="J93" s="198">
        <v>1870968.43</v>
      </c>
      <c r="K93" s="198">
        <v>1849392.18</v>
      </c>
      <c r="L93" s="198">
        <v>1890562.47</v>
      </c>
      <c r="M93" s="198">
        <v>1846507.46</v>
      </c>
      <c r="N93" s="198">
        <v>1824322.1500000001</v>
      </c>
      <c r="O93" s="198">
        <v>1872732.25</v>
      </c>
      <c r="P93" s="198">
        <v>1700369.5</v>
      </c>
      <c r="Q93" s="198">
        <v>1946086.29</v>
      </c>
      <c r="R93" s="198">
        <v>1870635.23</v>
      </c>
      <c r="S93" s="198"/>
      <c r="T93" s="199">
        <v>21843119.529999997</v>
      </c>
      <c r="U93" s="198"/>
      <c r="V93" s="198"/>
      <c r="W93" s="198"/>
      <c r="X93" s="198"/>
      <c r="Y93" s="198"/>
      <c r="Z93" s="198"/>
    </row>
    <row r="94" spans="3:26">
      <c r="C94" s="189"/>
      <c r="D94" s="189"/>
      <c r="E94" s="189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220"/>
      <c r="U94" s="198"/>
      <c r="V94" s="198"/>
      <c r="W94" s="198"/>
      <c r="X94" s="198"/>
      <c r="Y94" s="198"/>
      <c r="Z94" s="198"/>
    </row>
    <row r="95" spans="3:26">
      <c r="C95" s="189"/>
      <c r="D95" s="189"/>
      <c r="E95" s="189"/>
      <c r="F95" s="187" t="s">
        <v>241</v>
      </c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220"/>
      <c r="U95" s="198"/>
      <c r="V95" s="198"/>
      <c r="W95" s="198"/>
      <c r="X95" s="198"/>
      <c r="Y95" s="198"/>
      <c r="Z95" s="198"/>
    </row>
    <row r="96" spans="3:26">
      <c r="C96" s="189"/>
      <c r="D96" s="189"/>
      <c r="E96" s="189"/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220"/>
      <c r="U96" s="198"/>
      <c r="V96" s="198"/>
      <c r="W96" s="198"/>
      <c r="X96" s="198"/>
      <c r="Y96" s="198"/>
      <c r="Z96" s="198"/>
    </row>
    <row r="97" spans="1:26">
      <c r="C97" s="189"/>
      <c r="D97" s="189"/>
      <c r="E97" s="189"/>
      <c r="F97" s="188" t="str">
        <f>+F66</f>
        <v>Roll-off / Industrial</v>
      </c>
      <c r="H97" s="198"/>
      <c r="I97" s="198"/>
      <c r="J97" s="198"/>
      <c r="K97" s="198"/>
      <c r="L97" s="198"/>
      <c r="M97" s="198"/>
      <c r="N97" s="198"/>
      <c r="O97" s="198"/>
      <c r="P97" s="198"/>
      <c r="Q97" s="198"/>
      <c r="R97" s="198"/>
      <c r="S97" s="198"/>
      <c r="T97" s="199"/>
      <c r="U97" s="198"/>
      <c r="V97" s="198"/>
      <c r="W97" s="198"/>
      <c r="X97" s="198"/>
      <c r="Y97" s="198"/>
      <c r="Z97" s="198"/>
    </row>
    <row r="98" spans="1:26">
      <c r="C98" s="189"/>
      <c r="D98" s="189"/>
      <c r="E98" s="189"/>
      <c r="F98" s="187" t="str">
        <f>+F67</f>
        <v>Regulated Garbage</v>
      </c>
      <c r="G98" s="198">
        <v>19555.673400000003</v>
      </c>
      <c r="H98" s="198">
        <v>22564.996799999994</v>
      </c>
      <c r="I98" s="198">
        <v>25757.38619999999</v>
      </c>
      <c r="J98" s="198">
        <v>29196.210600000002</v>
      </c>
      <c r="K98" s="198">
        <v>37644.002400000019</v>
      </c>
      <c r="L98" s="198">
        <v>31850.667599999986</v>
      </c>
      <c r="M98" s="198">
        <v>31764.767400000004</v>
      </c>
      <c r="N98" s="198">
        <v>31136.710200000005</v>
      </c>
      <c r="O98" s="198">
        <v>32040.774599999997</v>
      </c>
      <c r="P98" s="198">
        <v>29094.820200000002</v>
      </c>
      <c r="Q98" s="198">
        <v>28116.121199999994</v>
      </c>
      <c r="R98" s="198">
        <v>30025.640399999989</v>
      </c>
      <c r="S98" s="198"/>
      <c r="T98" s="199">
        <v>348747.77100000001</v>
      </c>
      <c r="U98" s="198"/>
      <c r="V98" s="198"/>
      <c r="W98" s="198"/>
      <c r="X98" s="198"/>
      <c r="Y98" s="198"/>
      <c r="Z98" s="198"/>
    </row>
    <row r="99" spans="1:26">
      <c r="C99" s="189"/>
      <c r="D99" s="189"/>
      <c r="E99" s="189"/>
      <c r="F99" s="187" t="str">
        <f>+F68</f>
        <v>Unregulated Garbage</v>
      </c>
      <c r="G99" s="198">
        <v>368320.34279999998</v>
      </c>
      <c r="H99" s="198">
        <v>364363.30080000003</v>
      </c>
      <c r="I99" s="198">
        <v>336503.47199999995</v>
      </c>
      <c r="J99" s="198">
        <v>388668.83279999997</v>
      </c>
      <c r="K99" s="198">
        <v>373125.12119999988</v>
      </c>
      <c r="L99" s="198">
        <v>355653.58380000002</v>
      </c>
      <c r="M99" s="198">
        <v>367257.15180000005</v>
      </c>
      <c r="N99" s="198">
        <v>369573.64079999994</v>
      </c>
      <c r="O99" s="198">
        <v>384414.66059999994</v>
      </c>
      <c r="P99" s="198">
        <v>400232.97120000003</v>
      </c>
      <c r="Q99" s="198">
        <v>362826.9546</v>
      </c>
      <c r="R99" s="198">
        <v>385635.57</v>
      </c>
      <c r="S99" s="198"/>
      <c r="T99" s="199">
        <v>4456575.6024000002</v>
      </c>
      <c r="U99" s="198"/>
      <c r="V99" s="198"/>
      <c r="W99" s="198"/>
      <c r="X99" s="198"/>
      <c r="Y99" s="198"/>
      <c r="Z99" s="198"/>
    </row>
    <row r="100" spans="1:26">
      <c r="C100" s="189"/>
      <c r="D100" s="189"/>
      <c r="E100" s="189"/>
      <c r="F100" s="187" t="str">
        <f>+F69</f>
        <v>Regulated RCY (MF)</v>
      </c>
      <c r="G100" s="198">
        <v>0</v>
      </c>
      <c r="H100" s="198">
        <v>0</v>
      </c>
      <c r="I100" s="198">
        <v>0</v>
      </c>
      <c r="J100" s="198">
        <v>0</v>
      </c>
      <c r="K100" s="198">
        <v>0</v>
      </c>
      <c r="L100" s="198">
        <v>0</v>
      </c>
      <c r="M100" s="198">
        <v>0</v>
      </c>
      <c r="N100" s="198">
        <v>0</v>
      </c>
      <c r="O100" s="198">
        <v>0</v>
      </c>
      <c r="P100" s="198">
        <v>0</v>
      </c>
      <c r="Q100" s="198">
        <v>0</v>
      </c>
      <c r="R100" s="198">
        <v>0</v>
      </c>
      <c r="S100" s="198"/>
      <c r="T100" s="199">
        <v>0</v>
      </c>
      <c r="U100" s="198"/>
      <c r="V100" s="198"/>
      <c r="W100" s="198"/>
      <c r="X100" s="198"/>
      <c r="Y100" s="198"/>
      <c r="Z100" s="198"/>
    </row>
    <row r="101" spans="1:26">
      <c r="A101" s="189" t="str">
        <f>A23</f>
        <v>I</v>
      </c>
      <c r="B101" s="189" t="str">
        <f>B23</f>
        <v>RCY</v>
      </c>
      <c r="C101" s="189" t="str">
        <f>C23</f>
        <v>YW</v>
      </c>
      <c r="D101" s="189"/>
      <c r="E101" s="189"/>
      <c r="F101" s="201" t="str">
        <f>+F70</f>
        <v>Unregulated RCY / COGS</v>
      </c>
      <c r="G101" s="202">
        <v>143840.18</v>
      </c>
      <c r="H101" s="202">
        <v>137619.19999999998</v>
      </c>
      <c r="I101" s="202">
        <v>129079.30000000002</v>
      </c>
      <c r="J101" s="202">
        <v>152753.88000000003</v>
      </c>
      <c r="K101" s="202">
        <v>147741.6</v>
      </c>
      <c r="L101" s="202">
        <v>130388.75</v>
      </c>
      <c r="M101" s="202">
        <v>160425.69999999998</v>
      </c>
      <c r="N101" s="202">
        <v>142737.94</v>
      </c>
      <c r="O101" s="202">
        <v>148604.47</v>
      </c>
      <c r="P101" s="202">
        <v>144307.25999999998</v>
      </c>
      <c r="Q101" s="202">
        <v>133099.01999999999</v>
      </c>
      <c r="R101" s="202">
        <v>156390.19999999998</v>
      </c>
      <c r="S101" s="202"/>
      <c r="T101" s="230">
        <v>1726987.5</v>
      </c>
      <c r="U101" s="198"/>
      <c r="V101" s="198"/>
      <c r="W101" s="198"/>
      <c r="X101" s="198"/>
      <c r="Y101" s="198"/>
      <c r="Z101" s="198"/>
    </row>
    <row r="102" spans="1:26">
      <c r="C102" s="189"/>
      <c r="D102" s="189"/>
      <c r="E102" s="189"/>
      <c r="F102" s="187" t="str">
        <f>+F25</f>
        <v>Total Roll-off / Industrial</v>
      </c>
      <c r="G102" s="198">
        <v>531716.19620000001</v>
      </c>
      <c r="H102" s="198">
        <v>524547.4976</v>
      </c>
      <c r="I102" s="198">
        <v>491340.15819999995</v>
      </c>
      <c r="J102" s="198">
        <v>570618.92339999997</v>
      </c>
      <c r="K102" s="198">
        <v>558510.72359999991</v>
      </c>
      <c r="L102" s="198">
        <v>517893.00140000001</v>
      </c>
      <c r="M102" s="198">
        <v>559447.61920000007</v>
      </c>
      <c r="N102" s="198">
        <v>543448.29099999997</v>
      </c>
      <c r="O102" s="198">
        <v>565059.90519999992</v>
      </c>
      <c r="P102" s="198">
        <v>573635.0514</v>
      </c>
      <c r="Q102" s="198">
        <v>524042.09580000001</v>
      </c>
      <c r="R102" s="198">
        <v>572051.41039999994</v>
      </c>
      <c r="S102" s="198"/>
      <c r="T102" s="199">
        <v>6532310.8734000009</v>
      </c>
      <c r="U102" s="198"/>
      <c r="V102" s="198"/>
      <c r="W102" s="198"/>
      <c r="X102" s="198"/>
      <c r="Y102" s="198"/>
      <c r="Z102" s="198"/>
    </row>
    <row r="103" spans="1:26">
      <c r="C103" s="189"/>
      <c r="D103" s="189"/>
      <c r="E103" s="189"/>
      <c r="G103" s="198"/>
      <c r="H103" s="198"/>
      <c r="I103" s="198"/>
      <c r="J103" s="198"/>
      <c r="K103" s="198"/>
      <c r="L103" s="198"/>
      <c r="M103" s="198"/>
      <c r="N103" s="198"/>
      <c r="O103" s="198"/>
      <c r="P103" s="198"/>
      <c r="Q103" s="198"/>
      <c r="R103" s="198"/>
      <c r="S103" s="198"/>
      <c r="T103" s="220"/>
      <c r="U103" s="198"/>
      <c r="V103" s="198"/>
      <c r="W103" s="198"/>
      <c r="X103" s="198"/>
      <c r="Y103" s="198"/>
      <c r="Z103" s="198"/>
    </row>
    <row r="104" spans="1:26">
      <c r="A104" s="189" t="str">
        <f>A18</f>
        <v>I</v>
      </c>
      <c r="B104" s="189" t="str">
        <f>+B18</f>
        <v>MSW</v>
      </c>
      <c r="C104" s="189">
        <v>20</v>
      </c>
      <c r="D104" s="189">
        <v>25</v>
      </c>
      <c r="E104" s="189"/>
      <c r="F104" s="187" t="s">
        <v>242</v>
      </c>
      <c r="G104" s="198">
        <v>19555.673400000003</v>
      </c>
      <c r="H104" s="198">
        <v>22564.996799999994</v>
      </c>
      <c r="I104" s="198">
        <v>25757.38619999999</v>
      </c>
      <c r="J104" s="198">
        <v>29196.210600000002</v>
      </c>
      <c r="K104" s="198">
        <v>37644.002400000019</v>
      </c>
      <c r="L104" s="198">
        <v>31850.667599999986</v>
      </c>
      <c r="M104" s="198">
        <v>31764.767400000004</v>
      </c>
      <c r="N104" s="198">
        <v>31136.710200000005</v>
      </c>
      <c r="O104" s="198">
        <v>32040.774599999997</v>
      </c>
      <c r="P104" s="198">
        <v>29094.820200000002</v>
      </c>
      <c r="Q104" s="198">
        <v>28116.121199999994</v>
      </c>
      <c r="R104" s="198">
        <v>30025.640399999989</v>
      </c>
      <c r="S104" s="198"/>
      <c r="T104" s="199">
        <v>348747.77100000001</v>
      </c>
      <c r="U104" s="198"/>
      <c r="V104" s="198"/>
      <c r="W104" s="198"/>
      <c r="X104" s="198"/>
      <c r="Y104" s="198"/>
      <c r="Z104" s="198"/>
    </row>
    <row r="105" spans="1:26">
      <c r="C105" s="189"/>
      <c r="D105" s="189"/>
      <c r="E105" s="189"/>
      <c r="F105" s="187" t="s">
        <v>243</v>
      </c>
      <c r="G105" s="198">
        <v>540655.10659999994</v>
      </c>
      <c r="H105" s="198">
        <v>531390.69319999998</v>
      </c>
      <c r="I105" s="198">
        <v>494871.70380000008</v>
      </c>
      <c r="J105" s="198">
        <v>578564.42939999979</v>
      </c>
      <c r="K105" s="198">
        <v>566697.80759999994</v>
      </c>
      <c r="L105" s="198">
        <v>527596.72240000009</v>
      </c>
      <c r="M105" s="198">
        <v>571303.04259999993</v>
      </c>
      <c r="N105" s="198">
        <v>557490.13980000012</v>
      </c>
      <c r="O105" s="198">
        <v>577580.39540000004</v>
      </c>
      <c r="P105" s="198">
        <v>578497.08980000007</v>
      </c>
      <c r="Q105" s="198">
        <v>539772.49880000018</v>
      </c>
      <c r="R105" s="198">
        <v>597021.42959999992</v>
      </c>
      <c r="S105" s="198"/>
      <c r="T105" s="199">
        <v>6661441.0590000004</v>
      </c>
      <c r="U105" s="198"/>
      <c r="V105" s="198"/>
      <c r="W105" s="198"/>
      <c r="X105" s="198"/>
      <c r="Y105" s="198"/>
      <c r="Z105" s="198"/>
    </row>
    <row r="106" spans="1:26">
      <c r="A106" s="189" t="s">
        <v>213</v>
      </c>
      <c r="C106" s="189"/>
      <c r="D106" s="189"/>
      <c r="E106" s="189"/>
      <c r="F106" s="266" t="str">
        <f>+F30</f>
        <v>Total Roll-off / Industrial Pass Thru Disp.</v>
      </c>
      <c r="G106" s="267">
        <v>560210.77999999991</v>
      </c>
      <c r="H106" s="267">
        <v>553955.68999999994</v>
      </c>
      <c r="I106" s="267">
        <v>520629.09000000008</v>
      </c>
      <c r="J106" s="267">
        <v>607760.63999999978</v>
      </c>
      <c r="K106" s="267">
        <v>604341.80999999994</v>
      </c>
      <c r="L106" s="267">
        <v>559447.39</v>
      </c>
      <c r="M106" s="267">
        <v>603067.80999999994</v>
      </c>
      <c r="N106" s="267">
        <v>588626.85000000009</v>
      </c>
      <c r="O106" s="267">
        <v>609621.17000000004</v>
      </c>
      <c r="P106" s="267">
        <v>607591.91</v>
      </c>
      <c r="Q106" s="267">
        <v>567888.62000000011</v>
      </c>
      <c r="R106" s="267">
        <v>627047.06999999995</v>
      </c>
      <c r="S106" s="267"/>
      <c r="T106" s="268">
        <v>7010188.830000001</v>
      </c>
      <c r="U106" s="198"/>
      <c r="V106" s="198"/>
      <c r="W106" s="198"/>
      <c r="X106" s="198"/>
      <c r="Y106" s="198"/>
      <c r="Z106" s="198"/>
    </row>
    <row r="107" spans="1:26">
      <c r="C107" s="189"/>
      <c r="D107" s="189"/>
      <c r="E107" s="189"/>
      <c r="G107" s="198"/>
      <c r="H107" s="198"/>
      <c r="I107" s="198"/>
      <c r="J107" s="198"/>
      <c r="K107" s="198"/>
      <c r="L107" s="198"/>
      <c r="M107" s="198"/>
      <c r="N107" s="198"/>
      <c r="O107" s="198"/>
      <c r="P107" s="198"/>
      <c r="Q107" s="198"/>
      <c r="R107" s="198"/>
      <c r="S107" s="198"/>
      <c r="T107" s="269"/>
      <c r="U107" s="198"/>
      <c r="V107" s="198"/>
      <c r="W107" s="198"/>
      <c r="X107" s="198"/>
      <c r="Y107" s="198"/>
      <c r="Z107" s="198"/>
    </row>
    <row r="108" spans="1:26">
      <c r="C108" s="189"/>
      <c r="D108" s="189"/>
      <c r="E108" s="189"/>
      <c r="F108" s="188" t="str">
        <f>+F75</f>
        <v>Commercial</v>
      </c>
      <c r="G108" s="198"/>
      <c r="H108" s="198"/>
      <c r="I108" s="198"/>
      <c r="J108" s="198"/>
      <c r="K108" s="198"/>
      <c r="L108" s="198"/>
      <c r="M108" s="198"/>
      <c r="N108" s="198"/>
      <c r="O108" s="198"/>
      <c r="P108" s="198"/>
      <c r="Q108" s="198"/>
      <c r="R108" s="198"/>
      <c r="S108" s="198"/>
      <c r="T108" s="220"/>
      <c r="U108" s="198"/>
      <c r="V108" s="198"/>
      <c r="W108" s="198"/>
      <c r="X108" s="198"/>
      <c r="Y108" s="198"/>
      <c r="Z108" s="198"/>
    </row>
    <row r="109" spans="1:26">
      <c r="C109" s="189"/>
      <c r="D109" s="189"/>
      <c r="E109" s="189"/>
      <c r="F109" s="187" t="str">
        <f>+F76</f>
        <v>Regulated Garbage</v>
      </c>
      <c r="G109" s="198">
        <v>43621.05854861124</v>
      </c>
      <c r="H109" s="198">
        <v>41586.100332091388</v>
      </c>
      <c r="I109" s="198">
        <v>36424.489722560058</v>
      </c>
      <c r="J109" s="198">
        <v>42640.255741943991</v>
      </c>
      <c r="K109" s="198">
        <v>42101.507059373653</v>
      </c>
      <c r="L109" s="198">
        <v>46558.63611555699</v>
      </c>
      <c r="M109" s="198">
        <v>50576.983670289643</v>
      </c>
      <c r="N109" s="198">
        <v>44952.97961476304</v>
      </c>
      <c r="O109" s="198">
        <v>50277.347586485907</v>
      </c>
      <c r="P109" s="198">
        <v>47736.381000882473</v>
      </c>
      <c r="Q109" s="198">
        <v>47374.208057032156</v>
      </c>
      <c r="R109" s="198">
        <v>55427.973759508583</v>
      </c>
      <c r="S109" s="198"/>
      <c r="T109" s="199">
        <v>549277.92120909912</v>
      </c>
      <c r="U109" s="198"/>
      <c r="V109" s="198"/>
      <c r="W109" s="198"/>
      <c r="X109" s="198"/>
      <c r="Y109" s="198"/>
      <c r="Z109" s="198"/>
    </row>
    <row r="110" spans="1:26">
      <c r="C110" s="189"/>
      <c r="D110" s="189"/>
      <c r="E110" s="189"/>
      <c r="F110" s="187" t="str">
        <f>+F77</f>
        <v>Unregulated Garbage</v>
      </c>
      <c r="G110" s="198">
        <v>441954.64998625865</v>
      </c>
      <c r="H110" s="198">
        <v>414428.85794200201</v>
      </c>
      <c r="I110" s="198">
        <v>391225.32468848169</v>
      </c>
      <c r="J110" s="198">
        <v>471209.84600733529</v>
      </c>
      <c r="K110" s="198">
        <v>447805.35995944112</v>
      </c>
      <c r="L110" s="198">
        <v>441921.15063733741</v>
      </c>
      <c r="M110" s="198">
        <v>469821.79989365838</v>
      </c>
      <c r="N110" s="198">
        <v>454532.55237954244</v>
      </c>
      <c r="O110" s="198">
        <v>447238.04239675746</v>
      </c>
      <c r="P110" s="198">
        <v>451540.09584933857</v>
      </c>
      <c r="Q110" s="198">
        <v>439285.08260326053</v>
      </c>
      <c r="R110" s="198">
        <v>487579.29800787265</v>
      </c>
      <c r="S110" s="198"/>
      <c r="T110" s="199">
        <v>5358542.060351287</v>
      </c>
      <c r="U110" s="198"/>
      <c r="V110" s="198"/>
      <c r="W110" s="198"/>
      <c r="X110" s="198"/>
      <c r="Y110" s="198"/>
      <c r="Z110" s="198"/>
    </row>
    <row r="111" spans="1:26">
      <c r="C111" s="189"/>
      <c r="D111" s="189"/>
      <c r="E111" s="189"/>
      <c r="F111" s="187" t="str">
        <f>+F78</f>
        <v>Regulated RCY (MF)</v>
      </c>
      <c r="G111" s="198">
        <v>0</v>
      </c>
      <c r="H111" s="198">
        <v>0</v>
      </c>
      <c r="I111" s="198">
        <v>0</v>
      </c>
      <c r="J111" s="198">
        <v>0</v>
      </c>
      <c r="K111" s="198">
        <v>0</v>
      </c>
      <c r="L111" s="198">
        <v>0</v>
      </c>
      <c r="M111" s="198">
        <v>0</v>
      </c>
      <c r="N111" s="198">
        <v>0</v>
      </c>
      <c r="O111" s="198">
        <v>0</v>
      </c>
      <c r="P111" s="198">
        <v>0</v>
      </c>
      <c r="Q111" s="198">
        <v>0</v>
      </c>
      <c r="R111" s="198">
        <v>0</v>
      </c>
      <c r="S111" s="198"/>
      <c r="T111" s="199">
        <v>0</v>
      </c>
      <c r="U111" s="198"/>
      <c r="V111" s="198"/>
      <c r="W111" s="198"/>
      <c r="X111" s="198"/>
      <c r="Y111" s="198"/>
      <c r="Z111" s="198"/>
    </row>
    <row r="112" spans="1:26">
      <c r="C112" s="189"/>
      <c r="D112" s="189"/>
      <c r="E112" s="189"/>
      <c r="F112" s="201" t="str">
        <f>+F79</f>
        <v>Unregulated RCY / COGS</v>
      </c>
      <c r="G112" s="202">
        <v>24596.614029467477</v>
      </c>
      <c r="H112" s="202">
        <v>25034.760391900305</v>
      </c>
      <c r="I112" s="202">
        <v>19003.980965674386</v>
      </c>
      <c r="J112" s="202">
        <v>22059.678173208296</v>
      </c>
      <c r="K112" s="202">
        <v>20233.235435848623</v>
      </c>
      <c r="L112" s="202">
        <v>19671.966615626701</v>
      </c>
      <c r="M112" s="202">
        <v>21844.043509209037</v>
      </c>
      <c r="N112" s="202">
        <v>19516.283705897371</v>
      </c>
      <c r="O112" s="202">
        <v>19354.605784492625</v>
      </c>
      <c r="P112" s="202">
        <v>19178.022114674735</v>
      </c>
      <c r="Q112" s="202">
        <v>17540.011632915357</v>
      </c>
      <c r="R112" s="202">
        <v>21237.232924217064</v>
      </c>
      <c r="S112" s="202"/>
      <c r="T112" s="230">
        <v>249270.43528313198</v>
      </c>
      <c r="U112" s="198"/>
      <c r="V112" s="198"/>
      <c r="W112" s="198"/>
      <c r="X112" s="198"/>
      <c r="Y112" s="198"/>
      <c r="Z112" s="198"/>
    </row>
    <row r="113" spans="3:26">
      <c r="C113" s="189"/>
      <c r="D113" s="189"/>
      <c r="E113" s="189"/>
      <c r="F113" s="187" t="str">
        <f>+F39</f>
        <v>Total Commercial per Disposal Report</v>
      </c>
      <c r="G113" s="198">
        <v>510172.32256433734</v>
      </c>
      <c r="H113" s="198">
        <v>481049.71866599371</v>
      </c>
      <c r="I113" s="198">
        <v>446653.79537671612</v>
      </c>
      <c r="J113" s="198">
        <v>535909.77992248756</v>
      </c>
      <c r="K113" s="198">
        <v>510140.10245466343</v>
      </c>
      <c r="L113" s="198">
        <v>508151.75336852111</v>
      </c>
      <c r="M113" s="198">
        <v>542242.82707315707</v>
      </c>
      <c r="N113" s="198">
        <v>519001.81570020289</v>
      </c>
      <c r="O113" s="198">
        <v>516869.99576773599</v>
      </c>
      <c r="P113" s="198">
        <v>518454.49896489579</v>
      </c>
      <c r="Q113" s="198">
        <v>504199.30229320802</v>
      </c>
      <c r="R113" s="198">
        <v>564244.50469159824</v>
      </c>
      <c r="S113" s="198"/>
      <c r="T113" s="199">
        <v>6157090.4168435168</v>
      </c>
      <c r="U113" s="198"/>
      <c r="V113" s="198"/>
      <c r="W113" s="198"/>
      <c r="X113" s="198"/>
      <c r="Y113" s="198"/>
      <c r="Z113" s="198"/>
    </row>
    <row r="114" spans="3:26">
      <c r="C114" s="189"/>
      <c r="D114" s="189"/>
      <c r="E114" s="189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220"/>
      <c r="U114" s="198"/>
      <c r="V114" s="198"/>
      <c r="W114" s="198"/>
      <c r="X114" s="198"/>
      <c r="Y114" s="198"/>
      <c r="Z114" s="198"/>
    </row>
    <row r="115" spans="3:26">
      <c r="C115" s="189"/>
      <c r="D115" s="189"/>
      <c r="E115" s="189"/>
      <c r="F115" s="188" t="str">
        <f t="shared" ref="F115:F121" si="2">+F81</f>
        <v>Residential</v>
      </c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220"/>
      <c r="U115" s="198"/>
      <c r="X115" s="198"/>
      <c r="Y115" s="198"/>
      <c r="Z115" s="198"/>
    </row>
    <row r="116" spans="3:26">
      <c r="C116" s="189"/>
      <c r="D116" s="189"/>
      <c r="E116" s="189"/>
      <c r="F116" s="187" t="str">
        <f t="shared" si="2"/>
        <v>Regulated Garbage</v>
      </c>
      <c r="G116" s="198">
        <v>234976.2945691451</v>
      </c>
      <c r="H116" s="198">
        <v>214831.09337704928</v>
      </c>
      <c r="I116" s="198">
        <v>180957.77486472507</v>
      </c>
      <c r="J116" s="198">
        <v>221121.4203847145</v>
      </c>
      <c r="K116" s="198">
        <v>220065.93950551239</v>
      </c>
      <c r="L116" s="198">
        <v>212786.82596861644</v>
      </c>
      <c r="M116" s="198">
        <v>227064.29849692425</v>
      </c>
      <c r="N116" s="198">
        <v>228490.18727028862</v>
      </c>
      <c r="O116" s="198">
        <v>224596.75909189027</v>
      </c>
      <c r="P116" s="198">
        <v>225919.58874882245</v>
      </c>
      <c r="Q116" s="198">
        <v>200359.57705513181</v>
      </c>
      <c r="R116" s="198">
        <v>233288.32459320754</v>
      </c>
      <c r="S116" s="198"/>
      <c r="T116" s="199">
        <v>2624458.0839260276</v>
      </c>
      <c r="U116" s="198"/>
      <c r="V116" s="198"/>
      <c r="W116" s="198"/>
      <c r="X116" s="198"/>
      <c r="Y116" s="198"/>
      <c r="Z116" s="198"/>
    </row>
    <row r="117" spans="3:26">
      <c r="C117" s="189"/>
      <c r="D117" s="189"/>
      <c r="E117" s="189"/>
      <c r="F117" s="187" t="str">
        <f t="shared" si="2"/>
        <v>Unregulated Garbage</v>
      </c>
      <c r="G117" s="198">
        <v>327938.03304356895</v>
      </c>
      <c r="H117" s="198">
        <v>307381.10951967875</v>
      </c>
      <c r="I117" s="198">
        <v>268675.13203159411</v>
      </c>
      <c r="J117" s="198">
        <v>317458.38554341457</v>
      </c>
      <c r="K117" s="198">
        <v>322291.86985638447</v>
      </c>
      <c r="L117" s="198">
        <v>303299.0535342209</v>
      </c>
      <c r="M117" s="198">
        <v>326847.37766768964</v>
      </c>
      <c r="N117" s="198">
        <v>330616.7421827222</v>
      </c>
      <c r="O117" s="198">
        <v>318869.89905732783</v>
      </c>
      <c r="P117" s="198">
        <v>318078.96858277643</v>
      </c>
      <c r="Q117" s="198">
        <v>260094.12499530063</v>
      </c>
      <c r="R117" s="198">
        <v>295729.65259021457</v>
      </c>
      <c r="S117" s="198"/>
      <c r="T117" s="199">
        <v>3697280.3486048933</v>
      </c>
      <c r="U117" s="198"/>
      <c r="V117" s="198"/>
      <c r="W117" s="198"/>
      <c r="X117" s="198"/>
      <c r="Y117" s="198"/>
      <c r="Z117" s="198"/>
    </row>
    <row r="118" spans="3:26">
      <c r="C118" s="189"/>
      <c r="D118" s="189"/>
      <c r="E118" s="189"/>
      <c r="F118" s="187" t="str">
        <f t="shared" si="2"/>
        <v>Regulated Yardwaste</v>
      </c>
      <c r="G118" s="198">
        <v>36385.023116907243</v>
      </c>
      <c r="H118" s="198">
        <v>29894.684420729543</v>
      </c>
      <c r="I118" s="198">
        <v>19720.004846104181</v>
      </c>
      <c r="J118" s="198">
        <v>40103.360311615113</v>
      </c>
      <c r="K118" s="198">
        <v>53257.413608584378</v>
      </c>
      <c r="L118" s="198">
        <v>63014.709054947634</v>
      </c>
      <c r="M118" s="198">
        <v>46401.075507921523</v>
      </c>
      <c r="N118" s="198">
        <v>32660.42602983239</v>
      </c>
      <c r="O118" s="198">
        <v>30637.835998258284</v>
      </c>
      <c r="P118" s="198">
        <v>33163.989464606144</v>
      </c>
      <c r="Q118" s="198">
        <v>33796.010342083959</v>
      </c>
      <c r="R118" s="198">
        <v>45223.757403437514</v>
      </c>
      <c r="S118" s="198"/>
      <c r="T118" s="199">
        <v>464258.29010502785</v>
      </c>
      <c r="U118" s="198"/>
      <c r="V118" s="198"/>
      <c r="W118" s="198"/>
      <c r="X118" s="198"/>
      <c r="Y118" s="198"/>
      <c r="Z118" s="198"/>
    </row>
    <row r="119" spans="3:26">
      <c r="C119" s="189"/>
      <c r="D119" s="189"/>
      <c r="E119" s="189"/>
      <c r="F119" s="187" t="str">
        <f t="shared" si="2"/>
        <v>Unregulated Yardwaste</v>
      </c>
      <c r="G119" s="198">
        <v>68677.177735032761</v>
      </c>
      <c r="H119" s="198">
        <v>44915.96529513588</v>
      </c>
      <c r="I119" s="198">
        <v>30505.869689145125</v>
      </c>
      <c r="J119" s="198">
        <v>59966.024426749485</v>
      </c>
      <c r="K119" s="198">
        <v>96896.356120570563</v>
      </c>
      <c r="L119" s="198">
        <v>111654.85166089253</v>
      </c>
      <c r="M119" s="198">
        <v>105495.00584363914</v>
      </c>
      <c r="N119" s="198">
        <v>72463.30663444291</v>
      </c>
      <c r="O119" s="198">
        <v>59506.264727840367</v>
      </c>
      <c r="P119" s="198">
        <v>61747.247487687106</v>
      </c>
      <c r="Q119" s="198">
        <v>61738.053010886135</v>
      </c>
      <c r="R119" s="198">
        <v>95173.778909663219</v>
      </c>
      <c r="S119" s="198"/>
      <c r="T119" s="199">
        <v>868739.90154168522</v>
      </c>
      <c r="U119" s="198"/>
      <c r="V119" s="198"/>
      <c r="W119" s="198"/>
      <c r="X119" s="198"/>
      <c r="Y119" s="198"/>
      <c r="Z119" s="198"/>
    </row>
    <row r="120" spans="3:26">
      <c r="C120" s="189"/>
      <c r="D120" s="189"/>
      <c r="E120" s="189"/>
      <c r="F120" s="187" t="str">
        <f t="shared" si="2"/>
        <v>Regulated RCY</v>
      </c>
      <c r="G120" s="198">
        <v>86946.153700794865</v>
      </c>
      <c r="H120" s="198">
        <v>83003.902965447385</v>
      </c>
      <c r="I120" s="198">
        <v>61766.810244876113</v>
      </c>
      <c r="J120" s="198">
        <v>77285.37971321067</v>
      </c>
      <c r="K120" s="198">
        <v>66758.002673471041</v>
      </c>
      <c r="L120" s="198">
        <v>69262.686129913156</v>
      </c>
      <c r="M120" s="198">
        <v>73906.200586159117</v>
      </c>
      <c r="N120" s="198">
        <v>72233.526855136064</v>
      </c>
      <c r="O120" s="198">
        <v>73954.150317063686</v>
      </c>
      <c r="P120" s="198">
        <v>67041.42721901933</v>
      </c>
      <c r="Q120" s="198">
        <v>61757.005721135305</v>
      </c>
      <c r="R120" s="198">
        <v>74114.830589102145</v>
      </c>
      <c r="S120" s="198"/>
      <c r="T120" s="199">
        <v>868030.07671532873</v>
      </c>
      <c r="U120" s="198"/>
      <c r="V120" s="198"/>
      <c r="W120" s="198"/>
      <c r="X120" s="198"/>
      <c r="Y120" s="198"/>
      <c r="Z120" s="198"/>
    </row>
    <row r="121" spans="3:26">
      <c r="C121" s="189"/>
      <c r="D121" s="189"/>
      <c r="E121" s="189"/>
      <c r="F121" s="201" t="str">
        <f t="shared" si="2"/>
        <v>Unregulated RCY</v>
      </c>
      <c r="G121" s="202">
        <v>118846.96853138406</v>
      </c>
      <c r="H121" s="202">
        <v>115060.88358832046</v>
      </c>
      <c r="I121" s="202">
        <v>90164.11989659864</v>
      </c>
      <c r="J121" s="202">
        <v>116407.892039468</v>
      </c>
      <c r="K121" s="202">
        <v>108370.3371096898</v>
      </c>
      <c r="L121" s="202">
        <v>103122.30631552657</v>
      </c>
      <c r="M121" s="202">
        <v>105574.52991735838</v>
      </c>
      <c r="N121" s="202">
        <v>98086.739045148788</v>
      </c>
      <c r="O121" s="202">
        <v>99709.131932969132</v>
      </c>
      <c r="P121" s="202">
        <v>103039.12702600523</v>
      </c>
      <c r="Q121" s="202">
        <v>89816.599466848056</v>
      </c>
      <c r="R121" s="202">
        <v>99138.311976853292</v>
      </c>
      <c r="S121" s="202"/>
      <c r="T121" s="230">
        <v>1247336.9468461704</v>
      </c>
      <c r="U121" s="198"/>
      <c r="V121" s="198"/>
      <c r="W121" s="198"/>
      <c r="X121" s="198"/>
      <c r="Y121" s="198"/>
      <c r="Z121" s="198"/>
    </row>
    <row r="122" spans="3:26">
      <c r="C122" s="189"/>
      <c r="D122" s="189"/>
      <c r="E122" s="189"/>
      <c r="F122" s="187" t="str">
        <f>+F52</f>
        <v>Total Residential per Disposal Report</v>
      </c>
      <c r="G122" s="198">
        <v>873769.65069683292</v>
      </c>
      <c r="H122" s="198">
        <v>795087.6391663613</v>
      </c>
      <c r="I122" s="198">
        <v>651789.71157304326</v>
      </c>
      <c r="J122" s="198">
        <v>832342.46241917228</v>
      </c>
      <c r="K122" s="198">
        <v>867639.91887421266</v>
      </c>
      <c r="L122" s="198">
        <v>863140.43266411719</v>
      </c>
      <c r="M122" s="198">
        <v>885288.48801969213</v>
      </c>
      <c r="N122" s="198">
        <v>834550.92801757087</v>
      </c>
      <c r="O122" s="198">
        <v>807274.04112534947</v>
      </c>
      <c r="P122" s="198">
        <v>808990.34852891671</v>
      </c>
      <c r="Q122" s="198">
        <v>707561.37059138599</v>
      </c>
      <c r="R122" s="198">
        <v>842668.6560624782</v>
      </c>
      <c r="S122" s="198"/>
      <c r="T122" s="199">
        <v>9770103.6477391329</v>
      </c>
      <c r="U122" s="198"/>
      <c r="V122" s="198"/>
      <c r="W122" s="198"/>
      <c r="X122" s="198"/>
      <c r="Y122" s="198"/>
      <c r="Z122" s="198"/>
    </row>
    <row r="123" spans="3:26">
      <c r="C123" s="189"/>
      <c r="D123" s="189"/>
      <c r="E123" s="189"/>
      <c r="G123" s="198"/>
      <c r="H123" s="198"/>
      <c r="I123" s="198"/>
      <c r="J123" s="198"/>
      <c r="K123" s="198"/>
      <c r="L123" s="198"/>
      <c r="M123" s="198"/>
      <c r="N123" s="198"/>
      <c r="O123" s="198"/>
      <c r="P123" s="198"/>
      <c r="Q123" s="198"/>
      <c r="R123" s="198"/>
      <c r="S123" s="198"/>
      <c r="T123" s="220"/>
      <c r="U123" s="198"/>
      <c r="V123" s="198"/>
      <c r="W123" s="198"/>
      <c r="X123" s="198"/>
      <c r="Y123" s="198"/>
      <c r="Z123" s="198"/>
    </row>
    <row r="124" spans="3:26">
      <c r="C124" s="189"/>
      <c r="D124" s="189"/>
      <c r="E124" s="189"/>
      <c r="F124" s="187" t="s">
        <v>244</v>
      </c>
      <c r="G124" s="198">
        <v>421484.20333545841</v>
      </c>
      <c r="H124" s="198">
        <v>391880.77789531759</v>
      </c>
      <c r="I124" s="198">
        <v>324626.46587826544</v>
      </c>
      <c r="J124" s="198">
        <v>410346.62675148429</v>
      </c>
      <c r="K124" s="198">
        <v>419826.86524694151</v>
      </c>
      <c r="L124" s="198">
        <v>423473.52486903418</v>
      </c>
      <c r="M124" s="198">
        <v>429713.32566129451</v>
      </c>
      <c r="N124" s="198">
        <v>409473.8299700201</v>
      </c>
      <c r="O124" s="198">
        <v>411506.86759369815</v>
      </c>
      <c r="P124" s="198">
        <v>402956.20663333038</v>
      </c>
      <c r="Q124" s="198">
        <v>371402.9223753832</v>
      </c>
      <c r="R124" s="198">
        <v>438080.5267452558</v>
      </c>
      <c r="S124" s="198"/>
      <c r="T124" s="199">
        <v>4854772.1429554839</v>
      </c>
      <c r="U124" s="198"/>
      <c r="V124" s="198"/>
      <c r="W124" s="198"/>
      <c r="X124" s="198"/>
      <c r="Y124" s="198"/>
      <c r="Z124" s="198"/>
    </row>
    <row r="125" spans="3:26">
      <c r="C125" s="189"/>
      <c r="D125" s="189"/>
      <c r="E125" s="189"/>
      <c r="G125" s="198"/>
      <c r="H125" s="198"/>
      <c r="I125" s="198"/>
      <c r="J125" s="198"/>
      <c r="K125" s="198"/>
      <c r="L125" s="198"/>
      <c r="M125" s="198"/>
      <c r="N125" s="198"/>
      <c r="O125" s="198"/>
      <c r="P125" s="198"/>
      <c r="Q125" s="198"/>
      <c r="R125" s="198"/>
      <c r="S125" s="198"/>
      <c r="T125" s="220"/>
      <c r="U125" s="198"/>
      <c r="V125" s="198"/>
      <c r="W125" s="198"/>
      <c r="X125" s="198"/>
      <c r="Y125" s="198"/>
      <c r="Z125" s="198"/>
    </row>
    <row r="126" spans="3:26">
      <c r="C126" s="189"/>
      <c r="D126" s="189"/>
      <c r="E126" s="189"/>
      <c r="F126" s="187" t="s">
        <v>245</v>
      </c>
      <c r="G126" s="198">
        <v>1915658.1694611702</v>
      </c>
      <c r="H126" s="198">
        <v>1800684.8554323548</v>
      </c>
      <c r="I126" s="198">
        <v>1589783.6651497595</v>
      </c>
      <c r="J126" s="198">
        <v>1938871.1657416597</v>
      </c>
      <c r="K126" s="198">
        <v>1936290.7449288759</v>
      </c>
      <c r="L126" s="198">
        <v>1889185.1874326384</v>
      </c>
      <c r="M126" s="198">
        <v>1986978.9342928492</v>
      </c>
      <c r="N126" s="198">
        <v>1897001.0347177738</v>
      </c>
      <c r="O126" s="198">
        <v>1889203.9420930853</v>
      </c>
      <c r="P126" s="198">
        <v>1901079.8988938124</v>
      </c>
      <c r="Q126" s="198">
        <v>1735802.768684594</v>
      </c>
      <c r="R126" s="198">
        <v>1978964.5711540764</v>
      </c>
      <c r="S126" s="198"/>
      <c r="T126" s="198">
        <v>22459504.937982649</v>
      </c>
      <c r="U126" s="198"/>
      <c r="V126" s="198"/>
      <c r="W126" s="198"/>
      <c r="X126" s="198"/>
      <c r="Y126" s="198"/>
      <c r="Z126" s="198"/>
    </row>
    <row r="127" spans="3:26">
      <c r="C127" s="189"/>
      <c r="D127" s="189"/>
      <c r="E127" s="189"/>
      <c r="F127" s="218" t="s">
        <v>223</v>
      </c>
      <c r="G127" s="219">
        <v>9.2239243203344978E-2</v>
      </c>
      <c r="H127" s="219">
        <v>0.16521616865687538</v>
      </c>
      <c r="I127" s="219">
        <v>-0.15089112662028503</v>
      </c>
      <c r="J127" s="219">
        <v>3.6292828170093605E-2</v>
      </c>
      <c r="K127" s="219">
        <v>4.6987635109864145E-2</v>
      </c>
      <c r="L127" s="219">
        <v>-7.2850412997016445E-4</v>
      </c>
      <c r="M127" s="219">
        <v>7.6074143937035155E-2</v>
      </c>
      <c r="N127" s="219">
        <v>3.9838843549519831E-2</v>
      </c>
      <c r="O127" s="219">
        <v>8.795540362529275E-3</v>
      </c>
      <c r="P127" s="219">
        <v>0.11803928434014632</v>
      </c>
      <c r="Q127" s="219">
        <v>-0.10805457208960967</v>
      </c>
      <c r="R127" s="219">
        <v>5.7910457055850628E-2</v>
      </c>
      <c r="S127" s="219"/>
      <c r="T127" s="219">
        <v>2.8218744448845312E-2</v>
      </c>
      <c r="U127" s="198"/>
      <c r="V127" s="198"/>
      <c r="W127" s="198"/>
      <c r="X127" s="198"/>
      <c r="Y127" s="198"/>
      <c r="Z127" s="198"/>
    </row>
    <row r="128" spans="3:26">
      <c r="C128" s="189"/>
      <c r="D128" s="189"/>
      <c r="E128" s="189"/>
      <c r="G128" s="198"/>
      <c r="H128" s="198"/>
      <c r="I128" s="198"/>
      <c r="J128" s="198"/>
      <c r="K128" s="198"/>
      <c r="L128" s="198"/>
      <c r="M128" s="198"/>
      <c r="N128" s="198"/>
      <c r="O128" s="198"/>
      <c r="P128" s="198"/>
      <c r="Q128" s="198"/>
      <c r="R128" s="198"/>
      <c r="S128" s="198"/>
      <c r="T128" s="220"/>
      <c r="U128" s="198"/>
      <c r="V128" s="198"/>
      <c r="W128" s="198"/>
      <c r="X128" s="198"/>
      <c r="Y128" s="198"/>
      <c r="Z128" s="198"/>
    </row>
    <row r="129" spans="1:26">
      <c r="C129" s="189"/>
      <c r="D129" s="189"/>
      <c r="E129" s="189"/>
      <c r="G129" s="198"/>
      <c r="H129" s="198"/>
      <c r="I129" s="198"/>
      <c r="J129" s="198"/>
      <c r="K129" s="198"/>
      <c r="L129" s="198"/>
      <c r="M129" s="198"/>
      <c r="N129" s="198"/>
      <c r="O129" s="198"/>
      <c r="P129" s="198"/>
      <c r="Q129" s="198"/>
      <c r="R129" s="198"/>
      <c r="S129" s="198"/>
      <c r="T129" s="220"/>
      <c r="U129" s="198"/>
      <c r="V129" s="198"/>
      <c r="W129" s="198"/>
      <c r="X129" s="198"/>
      <c r="Y129" s="198"/>
      <c r="Z129" s="198"/>
    </row>
    <row r="130" spans="1:26" ht="15" hidden="1" thickBot="1">
      <c r="F130" s="195" t="s">
        <v>246</v>
      </c>
      <c r="G130" s="196"/>
      <c r="H130" s="196"/>
      <c r="I130" s="196"/>
      <c r="J130" s="196"/>
      <c r="K130" s="196"/>
      <c r="L130" s="196"/>
      <c r="M130" s="196"/>
      <c r="N130" s="196"/>
      <c r="O130" s="196"/>
      <c r="P130" s="196"/>
      <c r="Q130" s="196"/>
      <c r="R130" s="196"/>
      <c r="S130" s="196"/>
      <c r="T130" s="195"/>
    </row>
    <row r="131" spans="1:26" hidden="1">
      <c r="G131" s="246" t="s">
        <v>279</v>
      </c>
      <c r="H131" s="198"/>
      <c r="I131" s="198"/>
      <c r="J131" s="198"/>
      <c r="K131" s="198"/>
      <c r="L131" s="198"/>
      <c r="M131" s="198"/>
      <c r="N131" s="198"/>
      <c r="O131" s="198"/>
      <c r="P131" s="198"/>
      <c r="Q131" s="198"/>
      <c r="R131" s="198"/>
      <c r="S131" s="198"/>
      <c r="T131" s="220"/>
      <c r="U131" s="198"/>
      <c r="V131" s="198"/>
      <c r="W131" s="198"/>
      <c r="X131" s="198"/>
      <c r="Y131" s="198"/>
      <c r="Z131" s="198"/>
    </row>
    <row r="132" spans="1:26" hidden="1">
      <c r="F132" s="187" t="s">
        <v>247</v>
      </c>
      <c r="G132" s="270">
        <v>0</v>
      </c>
      <c r="H132" s="270">
        <v>0</v>
      </c>
      <c r="I132" s="270">
        <v>0</v>
      </c>
      <c r="J132" s="270">
        <v>0</v>
      </c>
      <c r="K132" s="270">
        <v>0</v>
      </c>
      <c r="L132" s="270">
        <v>0</v>
      </c>
      <c r="M132" s="270">
        <v>0</v>
      </c>
      <c r="N132" s="270">
        <v>0</v>
      </c>
      <c r="O132" s="270">
        <v>0</v>
      </c>
      <c r="P132" s="270">
        <v>0</v>
      </c>
      <c r="Q132" s="270">
        <v>0</v>
      </c>
      <c r="R132" s="270">
        <v>0</v>
      </c>
      <c r="S132" s="198"/>
      <c r="T132" s="199">
        <v>0</v>
      </c>
      <c r="U132" s="198"/>
      <c r="V132" s="198"/>
      <c r="W132" s="198"/>
      <c r="X132" s="198"/>
      <c r="Y132" s="198"/>
      <c r="Z132" s="198"/>
    </row>
    <row r="133" spans="1:26" ht="29" hidden="1">
      <c r="A133" s="231" t="s">
        <v>248</v>
      </c>
      <c r="B133" s="231" t="s">
        <v>249</v>
      </c>
      <c r="C133" s="231" t="s">
        <v>250</v>
      </c>
      <c r="D133" s="231" t="s">
        <v>251</v>
      </c>
      <c r="E133" s="231" t="s">
        <v>280</v>
      </c>
      <c r="G133" s="198"/>
      <c r="H133" s="198"/>
      <c r="I133" s="198"/>
      <c r="J133" s="198"/>
      <c r="K133" s="198"/>
      <c r="L133" s="198"/>
      <c r="M133" s="198"/>
      <c r="N133" s="198"/>
      <c r="O133" s="198"/>
      <c r="P133" s="198"/>
      <c r="Q133" s="198"/>
      <c r="R133" s="198"/>
      <c r="S133" s="198"/>
      <c r="T133" s="199"/>
      <c r="U133" s="198"/>
      <c r="V133" s="198"/>
      <c r="W133" s="198"/>
      <c r="X133" s="198"/>
      <c r="Y133" s="198"/>
      <c r="Z133" s="198"/>
    </row>
    <row r="134" spans="1:26" hidden="1">
      <c r="F134" s="188" t="s">
        <v>252</v>
      </c>
      <c r="G134" s="198"/>
      <c r="H134" s="198"/>
      <c r="I134" s="198"/>
      <c r="J134" s="198"/>
      <c r="K134" s="198"/>
      <c r="L134" s="198"/>
      <c r="M134" s="198"/>
      <c r="N134" s="198"/>
      <c r="O134" s="198"/>
      <c r="P134" s="198"/>
      <c r="Q134" s="198"/>
      <c r="R134" s="198"/>
      <c r="S134" s="198"/>
      <c r="T134" s="220"/>
      <c r="U134" s="198"/>
      <c r="V134" s="198"/>
      <c r="W134" s="198"/>
      <c r="X134" s="198"/>
      <c r="Y134" s="198"/>
      <c r="Z134" s="198"/>
    </row>
    <row r="135" spans="1:26" hidden="1">
      <c r="A135" s="189" t="s">
        <v>281</v>
      </c>
      <c r="F135" s="187" t="s">
        <v>253</v>
      </c>
      <c r="G135" s="198">
        <v>0</v>
      </c>
      <c r="H135" s="198">
        <v>0</v>
      </c>
      <c r="I135" s="198">
        <v>0</v>
      </c>
      <c r="J135" s="198">
        <v>0</v>
      </c>
      <c r="K135" s="198">
        <v>0</v>
      </c>
      <c r="L135" s="198">
        <v>0</v>
      </c>
      <c r="M135" s="198">
        <v>0</v>
      </c>
      <c r="N135" s="198">
        <v>0</v>
      </c>
      <c r="O135" s="198">
        <v>0</v>
      </c>
      <c r="P135" s="198">
        <v>0</v>
      </c>
      <c r="Q135" s="198">
        <v>0</v>
      </c>
      <c r="R135" s="198">
        <v>0</v>
      </c>
      <c r="S135" s="198"/>
      <c r="T135" s="199">
        <v>0</v>
      </c>
      <c r="U135" s="198"/>
      <c r="V135" s="198"/>
      <c r="W135" s="198"/>
      <c r="X135" s="198"/>
      <c r="Y135" s="198"/>
      <c r="Z135" s="198"/>
    </row>
    <row r="136" spans="1:26" hidden="1">
      <c r="A136" s="204" t="s">
        <v>254</v>
      </c>
      <c r="B136" s="204" t="s">
        <v>260</v>
      </c>
      <c r="C136" s="271" t="s">
        <v>282</v>
      </c>
      <c r="D136" s="271" t="s">
        <v>283</v>
      </c>
      <c r="E136" s="271" t="s">
        <v>257</v>
      </c>
      <c r="F136" s="187" t="s">
        <v>256</v>
      </c>
      <c r="G136" s="203">
        <v>3281.3700000000003</v>
      </c>
      <c r="H136" s="203">
        <v>2989.2000000000003</v>
      </c>
      <c r="I136" s="203">
        <v>2349.17</v>
      </c>
      <c r="J136" s="203">
        <v>2932.63</v>
      </c>
      <c r="K136" s="203">
        <v>2664.7099999999996</v>
      </c>
      <c r="L136" s="203">
        <v>2657.6</v>
      </c>
      <c r="M136" s="203">
        <v>2663.6000000000004</v>
      </c>
      <c r="N136" s="203">
        <v>2476.4500000000003</v>
      </c>
      <c r="O136" s="203">
        <v>2567.6400000000003</v>
      </c>
      <c r="P136" s="203">
        <v>2599.65</v>
      </c>
      <c r="Q136" s="203">
        <v>2516.9700000000003</v>
      </c>
      <c r="R136" s="203">
        <v>2750.4700000000003</v>
      </c>
      <c r="S136" s="198"/>
      <c r="T136" s="199">
        <v>32449.460000000003</v>
      </c>
      <c r="U136" s="198"/>
      <c r="V136" s="198"/>
      <c r="W136" s="198"/>
      <c r="X136" s="198"/>
      <c r="Y136" s="198"/>
      <c r="Z136" s="198"/>
    </row>
    <row r="137" spans="1:26" hidden="1">
      <c r="A137" s="204" t="s">
        <v>257</v>
      </c>
      <c r="B137" s="204" t="s">
        <v>283</v>
      </c>
      <c r="C137" s="271"/>
      <c r="D137" s="271"/>
      <c r="E137" s="271"/>
      <c r="F137" s="187" t="s">
        <v>258</v>
      </c>
      <c r="G137" s="203">
        <v>2165.9100000000003</v>
      </c>
      <c r="H137" s="203">
        <v>2094.2600000000002</v>
      </c>
      <c r="I137" s="203">
        <v>1613.73</v>
      </c>
      <c r="J137" s="203">
        <v>2013.37</v>
      </c>
      <c r="K137" s="203">
        <v>1784.9199999999996</v>
      </c>
      <c r="L137" s="203">
        <v>1806.9699999999998</v>
      </c>
      <c r="M137" s="203">
        <v>1840.4900000000005</v>
      </c>
      <c r="N137" s="203">
        <v>1690.0500000000002</v>
      </c>
      <c r="O137" s="203">
        <v>1807.5700000000002</v>
      </c>
      <c r="P137" s="203">
        <v>1784.97</v>
      </c>
      <c r="Q137" s="203">
        <v>1624.1200000000001</v>
      </c>
      <c r="R137" s="203">
        <v>1857.66</v>
      </c>
      <c r="S137" s="198"/>
      <c r="T137" s="199">
        <v>22084.019999999997</v>
      </c>
      <c r="U137" s="198"/>
      <c r="V137" s="198"/>
      <c r="W137" s="198"/>
      <c r="X137" s="198"/>
      <c r="Y137" s="198"/>
      <c r="Z137" s="198"/>
    </row>
    <row r="138" spans="1:26" hidden="1">
      <c r="A138" s="204" t="s">
        <v>259</v>
      </c>
      <c r="B138" s="204"/>
      <c r="C138" s="271"/>
      <c r="D138" s="271"/>
      <c r="E138" s="271"/>
      <c r="F138" s="187" t="s">
        <v>284</v>
      </c>
      <c r="G138" s="203">
        <v>0</v>
      </c>
      <c r="H138" s="203">
        <v>0</v>
      </c>
      <c r="I138" s="203">
        <v>0</v>
      </c>
      <c r="J138" s="203">
        <v>0</v>
      </c>
      <c r="K138" s="203">
        <v>0</v>
      </c>
      <c r="L138" s="203">
        <v>0</v>
      </c>
      <c r="M138" s="203">
        <v>0</v>
      </c>
      <c r="N138" s="203">
        <v>0</v>
      </c>
      <c r="O138" s="203">
        <v>0</v>
      </c>
      <c r="P138" s="203">
        <v>0</v>
      </c>
      <c r="Q138" s="203">
        <v>0</v>
      </c>
      <c r="R138" s="203">
        <v>0</v>
      </c>
      <c r="S138" s="198"/>
      <c r="T138" s="199">
        <v>0</v>
      </c>
      <c r="U138" s="198"/>
      <c r="V138" s="198"/>
      <c r="W138" s="198"/>
      <c r="X138" s="198"/>
      <c r="Y138" s="198"/>
      <c r="Z138" s="198"/>
    </row>
    <row r="139" spans="1:26" hidden="1">
      <c r="A139" s="204" t="s">
        <v>285</v>
      </c>
      <c r="B139" s="204" t="s">
        <v>286</v>
      </c>
      <c r="C139" s="271"/>
      <c r="D139" s="271"/>
      <c r="E139" s="271"/>
      <c r="F139" s="187" t="s">
        <v>287</v>
      </c>
      <c r="G139" s="203">
        <v>0</v>
      </c>
      <c r="H139" s="203">
        <v>0</v>
      </c>
      <c r="I139" s="203">
        <v>0</v>
      </c>
      <c r="J139" s="203">
        <v>0</v>
      </c>
      <c r="K139" s="203">
        <v>0</v>
      </c>
      <c r="L139" s="203">
        <v>0</v>
      </c>
      <c r="M139" s="203">
        <v>0</v>
      </c>
      <c r="N139" s="203">
        <v>0</v>
      </c>
      <c r="O139" s="203">
        <v>0</v>
      </c>
      <c r="P139" s="203">
        <v>0</v>
      </c>
      <c r="Q139" s="203">
        <v>0</v>
      </c>
      <c r="R139" s="203">
        <v>0</v>
      </c>
      <c r="S139" s="198"/>
      <c r="T139" s="199">
        <v>0</v>
      </c>
      <c r="U139" s="198"/>
      <c r="V139" s="198"/>
      <c r="W139" s="198"/>
      <c r="X139" s="198"/>
      <c r="Y139" s="198"/>
      <c r="Z139" s="198"/>
    </row>
    <row r="140" spans="1:26" hidden="1">
      <c r="A140" s="204" t="s">
        <v>260</v>
      </c>
      <c r="B140" s="204" t="s">
        <v>288</v>
      </c>
      <c r="C140" s="271"/>
      <c r="D140" s="271"/>
      <c r="E140" s="271"/>
      <c r="F140" s="187" t="s">
        <v>261</v>
      </c>
      <c r="G140" s="203">
        <v>709.88</v>
      </c>
      <c r="H140" s="203">
        <v>506.53</v>
      </c>
      <c r="I140" s="203">
        <v>391.44</v>
      </c>
      <c r="J140" s="203">
        <v>521.37</v>
      </c>
      <c r="K140" s="203">
        <v>529.73</v>
      </c>
      <c r="L140" s="203">
        <v>499.78</v>
      </c>
      <c r="M140" s="203">
        <v>455.69000000000005</v>
      </c>
      <c r="N140" s="203">
        <v>446.40999999999997</v>
      </c>
      <c r="O140" s="203">
        <v>392.98</v>
      </c>
      <c r="P140" s="203">
        <v>435.82</v>
      </c>
      <c r="Q140" s="203">
        <v>543.53</v>
      </c>
      <c r="R140" s="203">
        <v>496.31000000000006</v>
      </c>
      <c r="S140" s="198"/>
      <c r="T140" s="199">
        <v>5929.4699999999993</v>
      </c>
      <c r="U140" s="198"/>
      <c r="V140" s="198"/>
      <c r="W140" s="198"/>
      <c r="X140" s="198"/>
      <c r="Y140" s="198"/>
      <c r="Z140" s="198"/>
    </row>
    <row r="141" spans="1:26" hidden="1">
      <c r="A141" s="204" t="s">
        <v>262</v>
      </c>
      <c r="B141" s="204" t="s">
        <v>263</v>
      </c>
      <c r="C141" s="271" t="s">
        <v>264</v>
      </c>
      <c r="D141" s="271"/>
      <c r="E141" s="271"/>
      <c r="F141" s="187" t="s">
        <v>265</v>
      </c>
      <c r="G141" s="203">
        <v>0</v>
      </c>
      <c r="H141" s="203">
        <v>0</v>
      </c>
      <c r="I141" s="203">
        <v>0</v>
      </c>
      <c r="J141" s="203">
        <v>0</v>
      </c>
      <c r="K141" s="203">
        <v>0</v>
      </c>
      <c r="L141" s="203">
        <v>0</v>
      </c>
      <c r="M141" s="203">
        <v>0</v>
      </c>
      <c r="N141" s="203">
        <v>0</v>
      </c>
      <c r="O141" s="203">
        <v>0</v>
      </c>
      <c r="P141" s="203">
        <v>0</v>
      </c>
      <c r="Q141" s="203">
        <v>0</v>
      </c>
      <c r="R141" s="203">
        <v>0</v>
      </c>
      <c r="S141" s="198"/>
      <c r="T141" s="199">
        <v>0</v>
      </c>
      <c r="U141" s="198"/>
      <c r="V141" s="198"/>
      <c r="W141" s="198"/>
      <c r="X141" s="198"/>
      <c r="Y141" s="198"/>
      <c r="Z141" s="198"/>
    </row>
    <row r="142" spans="1:26" hidden="1">
      <c r="A142" s="204" t="s">
        <v>289</v>
      </c>
      <c r="B142" s="204"/>
      <c r="C142" s="271"/>
      <c r="D142" s="271"/>
      <c r="E142" s="271"/>
      <c r="F142" s="187" t="s">
        <v>290</v>
      </c>
      <c r="G142" s="203">
        <v>0</v>
      </c>
      <c r="H142" s="203">
        <v>0</v>
      </c>
      <c r="I142" s="203">
        <v>0</v>
      </c>
      <c r="J142" s="203">
        <v>0</v>
      </c>
      <c r="K142" s="203">
        <v>0</v>
      </c>
      <c r="L142" s="203">
        <v>0</v>
      </c>
      <c r="M142" s="203">
        <v>0</v>
      </c>
      <c r="N142" s="203">
        <v>0</v>
      </c>
      <c r="O142" s="203">
        <v>0</v>
      </c>
      <c r="P142" s="203">
        <v>0</v>
      </c>
      <c r="Q142" s="203">
        <v>0</v>
      </c>
      <c r="R142" s="203">
        <v>0</v>
      </c>
      <c r="S142" s="198"/>
      <c r="T142" s="199">
        <v>0</v>
      </c>
      <c r="U142" s="198"/>
      <c r="V142" s="223"/>
      <c r="W142" s="198"/>
      <c r="X142" s="198"/>
      <c r="Y142" s="198"/>
      <c r="Z142" s="198"/>
    </row>
    <row r="143" spans="1:26" hidden="1">
      <c r="A143" s="204" t="s">
        <v>255</v>
      </c>
      <c r="B143" s="204"/>
      <c r="C143" s="271"/>
      <c r="D143" s="271"/>
      <c r="E143" s="271"/>
      <c r="F143" s="187" t="s">
        <v>291</v>
      </c>
      <c r="G143" s="203">
        <v>0</v>
      </c>
      <c r="H143" s="203">
        <v>0</v>
      </c>
      <c r="I143" s="203">
        <v>0</v>
      </c>
      <c r="J143" s="203">
        <v>0</v>
      </c>
      <c r="K143" s="203">
        <v>0</v>
      </c>
      <c r="L143" s="203">
        <v>0</v>
      </c>
      <c r="M143" s="203">
        <v>0</v>
      </c>
      <c r="N143" s="203">
        <v>0</v>
      </c>
      <c r="O143" s="203">
        <v>0</v>
      </c>
      <c r="P143" s="203">
        <v>0</v>
      </c>
      <c r="Q143" s="203">
        <v>0</v>
      </c>
      <c r="R143" s="203">
        <v>0</v>
      </c>
      <c r="S143" s="198"/>
      <c r="T143" s="199"/>
      <c r="U143" s="198"/>
      <c r="V143" s="223"/>
      <c r="W143" s="198"/>
      <c r="X143" s="198"/>
      <c r="Y143" s="198"/>
      <c r="Z143" s="198"/>
    </row>
    <row r="144" spans="1:26" hidden="1">
      <c r="A144" s="204" t="s">
        <v>292</v>
      </c>
      <c r="B144" s="204"/>
      <c r="C144" s="271"/>
      <c r="D144" s="271"/>
      <c r="E144" s="271"/>
      <c r="F144" s="187" t="s">
        <v>293</v>
      </c>
      <c r="G144" s="203">
        <v>0</v>
      </c>
      <c r="H144" s="203">
        <v>0</v>
      </c>
      <c r="I144" s="203">
        <v>0</v>
      </c>
      <c r="J144" s="203">
        <v>0</v>
      </c>
      <c r="K144" s="203">
        <v>0</v>
      </c>
      <c r="L144" s="203">
        <v>0</v>
      </c>
      <c r="M144" s="203">
        <v>0</v>
      </c>
      <c r="N144" s="203">
        <v>0</v>
      </c>
      <c r="O144" s="203">
        <v>0</v>
      </c>
      <c r="P144" s="203">
        <v>0</v>
      </c>
      <c r="Q144" s="203">
        <v>0</v>
      </c>
      <c r="R144" s="203">
        <v>0</v>
      </c>
      <c r="S144" s="198"/>
      <c r="T144" s="199">
        <v>0</v>
      </c>
      <c r="U144" s="198"/>
      <c r="V144" s="198"/>
      <c r="W144" s="198"/>
      <c r="X144" s="198"/>
      <c r="Y144" s="198"/>
      <c r="Z144" s="198"/>
    </row>
    <row r="145" spans="6:26" hidden="1">
      <c r="G145" s="216">
        <v>6157.1600000000008</v>
      </c>
      <c r="H145" s="216">
        <v>5589.9900000000007</v>
      </c>
      <c r="I145" s="216">
        <v>4354.34</v>
      </c>
      <c r="J145" s="216">
        <v>5467.37</v>
      </c>
      <c r="K145" s="216">
        <v>4979.3599999999988</v>
      </c>
      <c r="L145" s="216">
        <v>4964.3499999999995</v>
      </c>
      <c r="M145" s="216">
        <v>4959.7800000000007</v>
      </c>
      <c r="N145" s="216">
        <v>4612.91</v>
      </c>
      <c r="O145" s="216">
        <v>4768.1900000000005</v>
      </c>
      <c r="P145" s="216">
        <v>4820.4399999999996</v>
      </c>
      <c r="Q145" s="216">
        <v>4684.62</v>
      </c>
      <c r="R145" s="216">
        <v>5104.4400000000005</v>
      </c>
      <c r="S145" s="216"/>
      <c r="T145" s="232">
        <v>60462.950000000004</v>
      </c>
      <c r="U145" s="198"/>
      <c r="V145" s="198"/>
      <c r="W145" s="198"/>
      <c r="X145" s="198"/>
      <c r="Y145" s="198"/>
      <c r="Z145" s="198"/>
    </row>
    <row r="146" spans="6:26" hidden="1">
      <c r="G146" s="198"/>
      <c r="H146" s="198"/>
      <c r="I146" s="198"/>
      <c r="J146" s="198"/>
      <c r="K146" s="198"/>
      <c r="L146" s="198"/>
      <c r="M146" s="198"/>
      <c r="N146" s="198"/>
      <c r="O146" s="198"/>
      <c r="P146" s="198"/>
      <c r="Q146" s="198"/>
      <c r="R146" s="198"/>
      <c r="S146" s="198"/>
      <c r="T146" s="220"/>
      <c r="U146" s="198"/>
      <c r="V146" s="198"/>
      <c r="W146" s="198"/>
      <c r="X146" s="198"/>
      <c r="Y146" s="198"/>
      <c r="Z146" s="198"/>
    </row>
    <row r="147" spans="6:26" hidden="1">
      <c r="F147" s="188" t="s">
        <v>266</v>
      </c>
      <c r="G147" s="198"/>
      <c r="H147" s="198"/>
      <c r="I147" s="198"/>
      <c r="J147" s="198"/>
      <c r="K147" s="198"/>
      <c r="L147" s="198"/>
      <c r="M147" s="198"/>
      <c r="N147" s="198"/>
      <c r="O147" s="198"/>
      <c r="P147" s="198"/>
      <c r="Q147" s="198"/>
      <c r="R147" s="198"/>
      <c r="S147" s="198"/>
      <c r="T147" s="220"/>
      <c r="U147" s="198"/>
      <c r="V147" s="198"/>
      <c r="W147" s="198"/>
      <c r="X147" s="198"/>
      <c r="Y147" s="198"/>
      <c r="Z147" s="198"/>
    </row>
    <row r="148" spans="6:26" hidden="1">
      <c r="F148" s="187" t="str">
        <f>+F136</f>
        <v>Rabanco MRF - Commercial</v>
      </c>
      <c r="G148" s="227">
        <v>69.489999999999995</v>
      </c>
      <c r="H148" s="228">
        <v>69.489999999999995</v>
      </c>
      <c r="I148" s="228">
        <v>69.489999999999995</v>
      </c>
      <c r="J148" s="228">
        <v>69.489999999999995</v>
      </c>
      <c r="K148" s="228">
        <v>69.489999999999995</v>
      </c>
      <c r="L148" s="228">
        <v>69.489999999999995</v>
      </c>
      <c r="M148" s="228">
        <v>69.489999999999995</v>
      </c>
      <c r="N148" s="228">
        <v>69.489999999999995</v>
      </c>
      <c r="O148" s="228">
        <v>69.489999999999995</v>
      </c>
      <c r="P148" s="228">
        <v>69.489999999999995</v>
      </c>
      <c r="Q148" s="228">
        <v>70.62</v>
      </c>
      <c r="R148" s="272">
        <v>70.62</v>
      </c>
      <c r="S148" s="198"/>
      <c r="T148" s="220"/>
      <c r="U148" s="198"/>
      <c r="V148" s="198"/>
      <c r="W148" s="198"/>
      <c r="X148" s="198"/>
      <c r="Y148" s="198"/>
      <c r="Z148" s="198"/>
    </row>
    <row r="149" spans="6:26" hidden="1">
      <c r="F149" s="187" t="str">
        <f>+F135</f>
        <v>Rabanco MRF - Mixed Comm</v>
      </c>
      <c r="G149" s="227">
        <v>69.489999999999995</v>
      </c>
      <c r="H149" s="228">
        <v>69.489999999999995</v>
      </c>
      <c r="I149" s="228">
        <v>69.489999999999995</v>
      </c>
      <c r="J149" s="228">
        <v>69.489999999999995</v>
      </c>
      <c r="K149" s="228">
        <v>69.489999999999995</v>
      </c>
      <c r="L149" s="228">
        <v>69.489999999999995</v>
      </c>
      <c r="M149" s="228">
        <v>69.489999999999995</v>
      </c>
      <c r="N149" s="228">
        <v>69.489999999999995</v>
      </c>
      <c r="O149" s="228">
        <v>69.489999999999995</v>
      </c>
      <c r="P149" s="228">
        <v>69.489999999999995</v>
      </c>
      <c r="Q149" s="228">
        <v>70.62</v>
      </c>
      <c r="R149" s="272">
        <v>70.62</v>
      </c>
      <c r="S149" s="198"/>
      <c r="T149" s="220"/>
      <c r="U149" s="198"/>
      <c r="V149" s="198"/>
      <c r="W149" s="198"/>
      <c r="X149" s="198"/>
      <c r="Y149" s="198"/>
      <c r="Z149" s="198"/>
    </row>
    <row r="150" spans="6:26" hidden="1">
      <c r="F150" s="187" t="str">
        <f>+F137</f>
        <v>Rabanco MRF - Resi / MF</v>
      </c>
      <c r="G150" s="227">
        <v>69.489999999999995</v>
      </c>
      <c r="H150" s="228">
        <v>69.489999999999995</v>
      </c>
      <c r="I150" s="228">
        <v>69.489999999999995</v>
      </c>
      <c r="J150" s="228">
        <v>69.489999999999995</v>
      </c>
      <c r="K150" s="228">
        <v>69.489999999999995</v>
      </c>
      <c r="L150" s="228">
        <v>69.489999999999995</v>
      </c>
      <c r="M150" s="228">
        <v>69.489999999999995</v>
      </c>
      <c r="N150" s="228">
        <v>69.489999999999995</v>
      </c>
      <c r="O150" s="228">
        <v>69.489999999999995</v>
      </c>
      <c r="P150" s="228">
        <v>69.489999999999995</v>
      </c>
      <c r="Q150" s="228">
        <v>70.62</v>
      </c>
      <c r="R150" s="228">
        <v>70.62</v>
      </c>
      <c r="S150" s="198"/>
      <c r="T150" s="220"/>
      <c r="U150" s="198"/>
      <c r="V150" s="198"/>
      <c r="W150" s="198"/>
      <c r="X150" s="198"/>
      <c r="Y150" s="198"/>
      <c r="Z150" s="198"/>
    </row>
    <row r="151" spans="6:26" hidden="1">
      <c r="F151" s="187" t="str">
        <f>+F138</f>
        <v>3rd &amp; Lander - MSW</v>
      </c>
      <c r="G151" s="227"/>
      <c r="H151" s="228">
        <v>0</v>
      </c>
      <c r="I151" s="228">
        <v>0</v>
      </c>
      <c r="J151" s="228">
        <v>0</v>
      </c>
      <c r="K151" s="228">
        <v>0</v>
      </c>
      <c r="L151" s="228">
        <v>0</v>
      </c>
      <c r="M151" s="228">
        <v>0</v>
      </c>
      <c r="N151" s="228">
        <v>0</v>
      </c>
      <c r="O151" s="228">
        <v>0</v>
      </c>
      <c r="P151" s="228">
        <v>0</v>
      </c>
      <c r="Q151" s="228">
        <v>0</v>
      </c>
      <c r="R151" s="228">
        <v>0</v>
      </c>
      <c r="S151" s="198"/>
      <c r="T151" s="220"/>
      <c r="U151" s="198"/>
      <c r="V151" s="198"/>
      <c r="W151" s="198"/>
      <c r="Y151" s="198"/>
    </row>
    <row r="152" spans="6:26" hidden="1">
      <c r="F152" s="187" t="str">
        <f>+F139</f>
        <v>3rd &amp; Lander - Yardwaste</v>
      </c>
      <c r="G152" s="227">
        <v>63.03</v>
      </c>
      <c r="H152" s="228">
        <v>63.03</v>
      </c>
      <c r="I152" s="228">
        <v>63.03</v>
      </c>
      <c r="J152" s="228">
        <v>66.180000000000007</v>
      </c>
      <c r="K152" s="228">
        <v>66.180000000000007</v>
      </c>
      <c r="L152" s="228">
        <v>66.180000000000007</v>
      </c>
      <c r="M152" s="228"/>
      <c r="N152" s="228"/>
      <c r="O152" s="228"/>
      <c r="P152" s="228"/>
      <c r="Q152" s="228">
        <v>0</v>
      </c>
      <c r="R152" s="228">
        <v>0</v>
      </c>
      <c r="S152" s="198"/>
      <c r="T152" s="220"/>
      <c r="U152" s="198"/>
      <c r="V152" s="198"/>
      <c r="W152" s="198"/>
      <c r="X152" s="198"/>
      <c r="Y152" s="198"/>
      <c r="Z152" s="198"/>
    </row>
    <row r="153" spans="6:26" hidden="1">
      <c r="F153" s="187" t="s">
        <v>294</v>
      </c>
      <c r="G153" s="227">
        <v>0</v>
      </c>
      <c r="H153" s="228">
        <v>0</v>
      </c>
      <c r="I153" s="228">
        <v>0</v>
      </c>
      <c r="J153" s="228">
        <v>0</v>
      </c>
      <c r="K153" s="228">
        <v>0</v>
      </c>
      <c r="L153" s="228">
        <v>0</v>
      </c>
      <c r="M153" s="228">
        <v>0</v>
      </c>
      <c r="N153" s="228">
        <v>0</v>
      </c>
      <c r="O153" s="228">
        <v>0</v>
      </c>
      <c r="P153" s="228">
        <v>0</v>
      </c>
      <c r="Q153" s="228">
        <v>0</v>
      </c>
      <c r="R153" s="228">
        <v>0</v>
      </c>
      <c r="S153" s="198"/>
      <c r="T153" s="220"/>
      <c r="U153" s="198"/>
      <c r="V153" s="198"/>
      <c r="W153" s="198"/>
      <c r="X153" s="198"/>
      <c r="Y153" s="198"/>
      <c r="Z153" s="198"/>
    </row>
    <row r="154" spans="6:26" hidden="1">
      <c r="F154" s="187" t="s">
        <v>293</v>
      </c>
      <c r="G154" s="227">
        <v>43</v>
      </c>
      <c r="H154" s="228">
        <v>43</v>
      </c>
      <c r="I154" s="228">
        <v>43</v>
      </c>
      <c r="J154" s="228">
        <v>43</v>
      </c>
      <c r="K154" s="228">
        <v>43</v>
      </c>
      <c r="L154" s="228">
        <v>43</v>
      </c>
      <c r="M154" s="228">
        <v>43</v>
      </c>
      <c r="N154" s="228">
        <v>43</v>
      </c>
      <c r="O154" s="228">
        <v>43</v>
      </c>
      <c r="P154" s="228">
        <v>43</v>
      </c>
      <c r="Q154" s="265">
        <v>46</v>
      </c>
      <c r="R154" s="272">
        <v>46</v>
      </c>
      <c r="S154" s="198"/>
      <c r="T154" s="220"/>
      <c r="U154" s="198"/>
      <c r="V154" s="198"/>
      <c r="W154" s="198"/>
      <c r="X154" s="198"/>
      <c r="Y154" s="198"/>
      <c r="Z154" s="198"/>
    </row>
    <row r="155" spans="6:26" hidden="1">
      <c r="G155" s="223"/>
      <c r="H155" s="223"/>
      <c r="I155" s="223"/>
      <c r="J155" s="223"/>
      <c r="K155" s="223"/>
      <c r="L155" s="223"/>
      <c r="M155" s="223"/>
      <c r="N155" s="223"/>
      <c r="O155" s="223"/>
      <c r="P155" s="223"/>
      <c r="Q155" s="223"/>
      <c r="R155" s="223"/>
      <c r="S155" s="198"/>
      <c r="T155" s="220"/>
      <c r="U155" s="198"/>
      <c r="V155" s="198"/>
      <c r="W155" s="198"/>
      <c r="X155" s="198"/>
      <c r="Y155" s="198"/>
      <c r="Z155" s="198"/>
    </row>
    <row r="156" spans="6:26" hidden="1">
      <c r="G156" s="198"/>
      <c r="H156" s="198"/>
      <c r="I156" s="198"/>
      <c r="J156" s="198"/>
      <c r="K156" s="198"/>
      <c r="L156" s="198"/>
      <c r="M156" s="198"/>
      <c r="N156" s="198"/>
      <c r="O156" s="198"/>
      <c r="P156" s="198"/>
      <c r="Q156" s="198"/>
      <c r="R156" s="198"/>
      <c r="S156" s="198"/>
      <c r="T156" s="220"/>
      <c r="U156" s="198"/>
      <c r="V156" s="198"/>
      <c r="W156" s="198"/>
      <c r="X156" s="198"/>
      <c r="Y156" s="198"/>
      <c r="Z156" s="198"/>
    </row>
    <row r="157" spans="6:26" hidden="1">
      <c r="F157" s="187" t="s">
        <v>267</v>
      </c>
      <c r="G157" s="198">
        <v>378531.48719999997</v>
      </c>
      <c r="H157" s="198">
        <v>353249.63540000003</v>
      </c>
      <c r="I157" s="198">
        <v>275381.92099999997</v>
      </c>
      <c r="J157" s="198">
        <v>343697.54</v>
      </c>
      <c r="K157" s="198">
        <v>309204.78869999992</v>
      </c>
      <c r="L157" s="198">
        <v>310242.96929999994</v>
      </c>
      <c r="M157" s="198">
        <v>312989.21410000004</v>
      </c>
      <c r="N157" s="198">
        <v>289530.08500000002</v>
      </c>
      <c r="O157" s="198">
        <v>304033.34290000005</v>
      </c>
      <c r="P157" s="198">
        <v>304687.24379999994</v>
      </c>
      <c r="Q157" s="198">
        <v>292443.77580000006</v>
      </c>
      <c r="R157" s="198">
        <v>325426.14060000004</v>
      </c>
      <c r="S157" s="198"/>
      <c r="T157" s="199">
        <v>3799418.1437999997</v>
      </c>
      <c r="U157" s="198"/>
      <c r="V157" s="198"/>
      <c r="W157" s="198"/>
      <c r="X157" s="198"/>
      <c r="Y157" s="198"/>
      <c r="Z157" s="198"/>
    </row>
    <row r="158" spans="6:26" hidden="1">
      <c r="F158" s="187" t="s">
        <v>268</v>
      </c>
      <c r="G158" s="198">
        <v>378531.48719999997</v>
      </c>
      <c r="H158" s="198">
        <v>353249.63540000003</v>
      </c>
      <c r="I158" s="198">
        <v>275381.92099999997</v>
      </c>
      <c r="J158" s="198">
        <v>343697.54</v>
      </c>
      <c r="K158" s="198">
        <v>309204.78869999992</v>
      </c>
      <c r="L158" s="198">
        <v>310242.96929999994</v>
      </c>
      <c r="M158" s="198">
        <v>312989.21410000004</v>
      </c>
      <c r="N158" s="198">
        <v>289530.08500000002</v>
      </c>
      <c r="O158" s="198">
        <v>304033.34290000005</v>
      </c>
      <c r="P158" s="198">
        <v>304687.24379999994</v>
      </c>
      <c r="Q158" s="198">
        <v>292443.77580000006</v>
      </c>
      <c r="R158" s="198">
        <v>325426.14060000004</v>
      </c>
      <c r="S158" s="198"/>
      <c r="T158" s="199">
        <v>3799418.1437999997</v>
      </c>
      <c r="U158" s="198"/>
      <c r="V158" s="198"/>
      <c r="W158" s="198"/>
      <c r="X158" s="198"/>
      <c r="Y158" s="198"/>
      <c r="Z158" s="198"/>
    </row>
    <row r="159" spans="6:26" hidden="1">
      <c r="F159" s="187" t="s">
        <v>269</v>
      </c>
      <c r="G159" s="233" t="e">
        <v>#DIV/0!</v>
      </c>
      <c r="H159" s="233" t="e">
        <v>#DIV/0!</v>
      </c>
      <c r="I159" s="233" t="e">
        <v>#DIV/0!</v>
      </c>
      <c r="J159" s="233" t="e">
        <v>#DIV/0!</v>
      </c>
      <c r="K159" s="233" t="e">
        <v>#DIV/0!</v>
      </c>
      <c r="L159" s="233" t="e">
        <v>#DIV/0!</v>
      </c>
      <c r="M159" s="233" t="e">
        <v>#DIV/0!</v>
      </c>
      <c r="N159" s="233" t="e">
        <v>#DIV/0!</v>
      </c>
      <c r="O159" s="233" t="e">
        <v>#DIV/0!</v>
      </c>
      <c r="P159" s="233" t="e">
        <v>#DIV/0!</v>
      </c>
      <c r="Q159" s="233" t="e">
        <v>#DIV/0!</v>
      </c>
      <c r="R159" s="233" t="e">
        <v>#DIV/0!</v>
      </c>
      <c r="S159" s="198"/>
      <c r="T159" s="234" t="e">
        <v>#DIV/0!</v>
      </c>
      <c r="U159" s="198"/>
      <c r="V159" s="198"/>
      <c r="W159" s="198"/>
      <c r="X159" s="198"/>
      <c r="Y159" s="198"/>
      <c r="Z159" s="198"/>
    </row>
    <row r="160" spans="6:26" hidden="1">
      <c r="G160" s="198"/>
      <c r="H160" s="198"/>
      <c r="I160" s="198"/>
      <c r="J160" s="198"/>
      <c r="K160" s="198"/>
      <c r="L160" s="198"/>
      <c r="M160" s="198"/>
      <c r="N160" s="198"/>
      <c r="O160" s="198"/>
      <c r="P160" s="198"/>
      <c r="Q160" s="198"/>
      <c r="R160" s="198"/>
      <c r="S160" s="198"/>
      <c r="T160" s="220"/>
      <c r="U160" s="198"/>
      <c r="V160" s="198"/>
      <c r="W160" s="198"/>
      <c r="X160" s="198"/>
      <c r="Y160" s="198"/>
      <c r="Z160" s="198"/>
    </row>
    <row r="161" spans="6:26" hidden="1">
      <c r="F161" s="188" t="s">
        <v>270</v>
      </c>
      <c r="G161" s="198"/>
      <c r="H161" s="198"/>
      <c r="I161" s="198"/>
      <c r="J161" s="198"/>
      <c r="K161" s="198"/>
      <c r="L161" s="198"/>
      <c r="M161" s="198"/>
      <c r="N161" s="198"/>
      <c r="O161" s="198"/>
      <c r="P161" s="198"/>
      <c r="Q161" s="198"/>
      <c r="R161" s="198"/>
      <c r="S161" s="198"/>
      <c r="T161" s="220"/>
      <c r="U161" s="198"/>
      <c r="V161" s="198"/>
      <c r="W161" s="198"/>
      <c r="X161" s="198"/>
      <c r="Y161" s="198"/>
      <c r="Z161" s="198"/>
    </row>
    <row r="162" spans="6:26" hidden="1">
      <c r="F162" s="187" t="str">
        <f t="shared" ref="F162:F169" si="3">+F135</f>
        <v>Rabanco MRF - Mixed Comm</v>
      </c>
      <c r="G162" s="198">
        <v>0</v>
      </c>
      <c r="H162" s="198">
        <v>0</v>
      </c>
      <c r="I162" s="198">
        <v>0</v>
      </c>
      <c r="J162" s="198">
        <v>0</v>
      </c>
      <c r="K162" s="198">
        <v>0</v>
      </c>
      <c r="L162" s="198">
        <v>0</v>
      </c>
      <c r="M162" s="198">
        <v>0</v>
      </c>
      <c r="N162" s="198">
        <v>0</v>
      </c>
      <c r="O162" s="198">
        <v>0</v>
      </c>
      <c r="P162" s="198">
        <v>0</v>
      </c>
      <c r="Q162" s="198">
        <v>0</v>
      </c>
      <c r="R162" s="198">
        <v>0</v>
      </c>
      <c r="S162" s="198">
        <v>0</v>
      </c>
      <c r="T162" s="199">
        <v>0</v>
      </c>
      <c r="U162" s="198"/>
      <c r="V162" s="198"/>
      <c r="W162" s="198"/>
      <c r="X162" s="198"/>
      <c r="Y162" s="198"/>
      <c r="Z162" s="198"/>
    </row>
    <row r="163" spans="6:26" hidden="1">
      <c r="F163" s="187" t="str">
        <f t="shared" si="3"/>
        <v>Rabanco MRF - Commercial</v>
      </c>
      <c r="G163" s="198">
        <v>0</v>
      </c>
      <c r="H163" s="198">
        <v>0</v>
      </c>
      <c r="I163" s="198">
        <v>0</v>
      </c>
      <c r="J163" s="198">
        <v>0</v>
      </c>
      <c r="K163" s="198">
        <v>0</v>
      </c>
      <c r="L163" s="198">
        <v>0</v>
      </c>
      <c r="M163" s="198">
        <v>0</v>
      </c>
      <c r="N163" s="198">
        <v>0</v>
      </c>
      <c r="O163" s="198">
        <v>0</v>
      </c>
      <c r="P163" s="198">
        <v>0</v>
      </c>
      <c r="Q163" s="198">
        <v>0</v>
      </c>
      <c r="R163" s="198">
        <v>0</v>
      </c>
      <c r="S163" s="198">
        <v>0</v>
      </c>
      <c r="T163" s="199">
        <v>0</v>
      </c>
      <c r="U163" s="198"/>
      <c r="V163" s="198"/>
      <c r="W163" s="198"/>
      <c r="X163" s="198"/>
      <c r="Y163" s="198"/>
      <c r="Z163" s="198"/>
    </row>
    <row r="164" spans="6:26" hidden="1">
      <c r="F164" s="187" t="str">
        <f t="shared" si="3"/>
        <v>Rabanco MRF - Resi / MF</v>
      </c>
      <c r="G164" s="198">
        <v>1245.4000000000001</v>
      </c>
      <c r="H164" s="198">
        <v>1278.7000000000003</v>
      </c>
      <c r="I164" s="198">
        <v>964.13</v>
      </c>
      <c r="J164" s="198">
        <v>1195.6799999999998</v>
      </c>
      <c r="K164" s="198">
        <v>1068.58</v>
      </c>
      <c r="L164" s="198">
        <v>1077.8499999999999</v>
      </c>
      <c r="M164" s="198">
        <v>1086.0100000000002</v>
      </c>
      <c r="N164" s="198">
        <v>1069.0600000000002</v>
      </c>
      <c r="O164" s="198">
        <v>1107.8900000000001</v>
      </c>
      <c r="P164" s="198">
        <v>1053.77</v>
      </c>
      <c r="Q164" s="198">
        <v>973.72</v>
      </c>
      <c r="R164" s="198">
        <v>1073.8500000000001</v>
      </c>
      <c r="S164" s="198"/>
      <c r="T164" s="199">
        <v>13194.64</v>
      </c>
      <c r="U164" s="198"/>
      <c r="V164" s="198"/>
      <c r="W164" s="198"/>
      <c r="X164" s="198"/>
      <c r="Y164" s="198"/>
      <c r="Z164" s="198"/>
    </row>
    <row r="165" spans="6:26" hidden="1">
      <c r="F165" s="187" t="str">
        <f t="shared" si="3"/>
        <v>3rd &amp; Lander - MSW</v>
      </c>
      <c r="G165" s="198">
        <v>0</v>
      </c>
      <c r="H165" s="198">
        <v>0</v>
      </c>
      <c r="I165" s="198">
        <v>0</v>
      </c>
      <c r="J165" s="198">
        <v>0</v>
      </c>
      <c r="K165" s="198">
        <v>0</v>
      </c>
      <c r="L165" s="198">
        <v>0</v>
      </c>
      <c r="M165" s="198">
        <v>0</v>
      </c>
      <c r="N165" s="198">
        <v>0</v>
      </c>
      <c r="O165" s="198">
        <v>0</v>
      </c>
      <c r="P165" s="198">
        <v>0</v>
      </c>
      <c r="Q165" s="198">
        <v>0</v>
      </c>
      <c r="R165" s="198">
        <v>0</v>
      </c>
      <c r="S165" s="198">
        <v>0</v>
      </c>
      <c r="T165" s="199">
        <v>0</v>
      </c>
      <c r="U165" s="198"/>
      <c r="V165" s="198"/>
      <c r="W165" s="198"/>
      <c r="X165" s="198"/>
      <c r="Y165" s="198"/>
      <c r="Z165" s="198"/>
    </row>
    <row r="166" spans="6:26" hidden="1">
      <c r="F166" s="187" t="str">
        <f t="shared" si="3"/>
        <v>3rd &amp; Lander - Yardwaste</v>
      </c>
      <c r="G166" s="198">
        <v>0</v>
      </c>
      <c r="H166" s="198">
        <v>0</v>
      </c>
      <c r="I166" s="198">
        <v>0</v>
      </c>
      <c r="J166" s="198">
        <v>0</v>
      </c>
      <c r="K166" s="198">
        <v>0</v>
      </c>
      <c r="L166" s="198">
        <v>0</v>
      </c>
      <c r="M166" s="198">
        <v>0</v>
      </c>
      <c r="N166" s="198">
        <v>0</v>
      </c>
      <c r="O166" s="198">
        <v>0</v>
      </c>
      <c r="P166" s="198">
        <v>0</v>
      </c>
      <c r="Q166" s="198">
        <v>0</v>
      </c>
      <c r="R166" s="198">
        <v>0</v>
      </c>
      <c r="S166" s="198">
        <v>0</v>
      </c>
      <c r="T166" s="199">
        <v>0</v>
      </c>
      <c r="U166" s="198"/>
      <c r="V166" s="198"/>
      <c r="W166" s="198"/>
      <c r="X166" s="198"/>
      <c r="Y166" s="198"/>
      <c r="Z166" s="198"/>
    </row>
    <row r="167" spans="6:26" hidden="1">
      <c r="F167" s="187" t="str">
        <f t="shared" si="3"/>
        <v>3rd &amp; Lander - Cardboard</v>
      </c>
      <c r="G167" s="198">
        <v>0</v>
      </c>
      <c r="H167" s="198">
        <v>0</v>
      </c>
      <c r="I167" s="198">
        <v>0</v>
      </c>
      <c r="J167" s="198">
        <v>0</v>
      </c>
      <c r="K167" s="198">
        <v>0</v>
      </c>
      <c r="L167" s="198">
        <v>0</v>
      </c>
      <c r="M167" s="198">
        <v>0</v>
      </c>
      <c r="N167" s="198">
        <v>0</v>
      </c>
      <c r="O167" s="198">
        <v>0</v>
      </c>
      <c r="P167" s="198">
        <v>0</v>
      </c>
      <c r="Q167" s="198">
        <v>0</v>
      </c>
      <c r="R167" s="198">
        <v>0</v>
      </c>
      <c r="S167" s="198">
        <v>0</v>
      </c>
      <c r="T167" s="199">
        <v>0</v>
      </c>
      <c r="U167" s="198"/>
      <c r="V167" s="198"/>
      <c r="W167" s="198"/>
      <c r="X167" s="198"/>
      <c r="Y167" s="198"/>
      <c r="Z167" s="198"/>
    </row>
    <row r="168" spans="6:26" hidden="1">
      <c r="F168" s="187" t="str">
        <f t="shared" si="3"/>
        <v>City Contract Street Sweeping</v>
      </c>
      <c r="G168" s="198">
        <v>0</v>
      </c>
      <c r="H168" s="198">
        <v>0</v>
      </c>
      <c r="I168" s="198">
        <v>0</v>
      </c>
      <c r="J168" s="198">
        <v>0</v>
      </c>
      <c r="K168" s="198">
        <v>0</v>
      </c>
      <c r="L168" s="198">
        <v>0</v>
      </c>
      <c r="M168" s="198">
        <v>0</v>
      </c>
      <c r="N168" s="198">
        <v>0</v>
      </c>
      <c r="O168" s="198">
        <v>0</v>
      </c>
      <c r="P168" s="198">
        <v>0</v>
      </c>
      <c r="Q168" s="198">
        <v>0</v>
      </c>
      <c r="R168" s="198">
        <v>0</v>
      </c>
      <c r="S168" s="198">
        <v>0</v>
      </c>
      <c r="T168" s="199">
        <v>0</v>
      </c>
      <c r="U168" s="198"/>
      <c r="V168" s="198"/>
      <c r="W168" s="198"/>
      <c r="X168" s="198"/>
      <c r="Y168" s="198"/>
      <c r="Z168" s="198"/>
    </row>
    <row r="169" spans="6:26" hidden="1">
      <c r="F169" s="187" t="str">
        <f t="shared" si="3"/>
        <v>King County Transfer</v>
      </c>
      <c r="G169" s="198">
        <v>0</v>
      </c>
      <c r="H169" s="198">
        <v>0</v>
      </c>
      <c r="I169" s="198">
        <v>0</v>
      </c>
      <c r="J169" s="198">
        <v>0</v>
      </c>
      <c r="K169" s="198">
        <v>0</v>
      </c>
      <c r="L169" s="198">
        <v>0</v>
      </c>
      <c r="M169" s="198">
        <v>0</v>
      </c>
      <c r="N169" s="198">
        <v>0</v>
      </c>
      <c r="O169" s="198">
        <v>0</v>
      </c>
      <c r="P169" s="198">
        <v>0</v>
      </c>
      <c r="Q169" s="198">
        <v>0</v>
      </c>
      <c r="R169" s="198">
        <v>0</v>
      </c>
      <c r="S169" s="198"/>
      <c r="T169" s="199">
        <v>0</v>
      </c>
      <c r="U169" s="198"/>
      <c r="V169" s="198"/>
      <c r="W169" s="198"/>
      <c r="X169" s="198"/>
      <c r="Y169" s="198"/>
      <c r="Z169" s="198"/>
    </row>
    <row r="170" spans="6:26" hidden="1">
      <c r="F170" s="187" t="str">
        <f>+F144</f>
        <v>Rabanco Sand Blasting</v>
      </c>
      <c r="G170" s="198">
        <v>0</v>
      </c>
      <c r="H170" s="198">
        <v>0</v>
      </c>
      <c r="I170" s="198">
        <v>0</v>
      </c>
      <c r="J170" s="198">
        <v>0</v>
      </c>
      <c r="K170" s="198">
        <v>0</v>
      </c>
      <c r="L170" s="198">
        <v>0</v>
      </c>
      <c r="M170" s="198">
        <v>0</v>
      </c>
      <c r="N170" s="198">
        <v>0</v>
      </c>
      <c r="O170" s="198">
        <v>0</v>
      </c>
      <c r="P170" s="198">
        <v>0</v>
      </c>
      <c r="Q170" s="198">
        <v>0</v>
      </c>
      <c r="R170" s="198">
        <v>0</v>
      </c>
      <c r="S170" s="198">
        <v>0</v>
      </c>
      <c r="T170" s="199">
        <v>0</v>
      </c>
      <c r="U170" s="198"/>
      <c r="V170" s="198"/>
      <c r="W170" s="198"/>
      <c r="X170" s="198"/>
      <c r="Y170" s="198"/>
      <c r="Z170" s="198"/>
    </row>
    <row r="171" spans="6:26" hidden="1">
      <c r="G171" s="216">
        <v>1245.4000000000001</v>
      </c>
      <c r="H171" s="216">
        <v>1278.7000000000003</v>
      </c>
      <c r="I171" s="216">
        <v>964.13</v>
      </c>
      <c r="J171" s="216">
        <v>1195.6799999999998</v>
      </c>
      <c r="K171" s="216">
        <v>1068.58</v>
      </c>
      <c r="L171" s="216">
        <v>1077.8499999999999</v>
      </c>
      <c r="M171" s="216">
        <v>1086.0100000000002</v>
      </c>
      <c r="N171" s="216">
        <v>1069.0600000000002</v>
      </c>
      <c r="O171" s="216">
        <v>1107.8900000000001</v>
      </c>
      <c r="P171" s="216">
        <v>1053.77</v>
      </c>
      <c r="Q171" s="216">
        <v>973.72</v>
      </c>
      <c r="R171" s="216">
        <v>1073.8500000000001</v>
      </c>
      <c r="S171" s="216"/>
      <c r="T171" s="232">
        <v>13194.64</v>
      </c>
      <c r="U171" s="198"/>
      <c r="V171" s="198"/>
      <c r="W171" s="198"/>
      <c r="X171" s="198"/>
      <c r="Y171" s="198"/>
      <c r="Z171" s="198"/>
    </row>
    <row r="172" spans="6:26" hidden="1">
      <c r="G172" s="198"/>
      <c r="H172" s="198"/>
      <c r="I172" s="198"/>
      <c r="J172" s="198"/>
      <c r="K172" s="198"/>
      <c r="L172" s="198"/>
      <c r="M172" s="198"/>
      <c r="N172" s="198"/>
      <c r="O172" s="198"/>
      <c r="P172" s="198"/>
      <c r="Q172" s="198"/>
      <c r="R172" s="198"/>
      <c r="S172" s="198"/>
      <c r="T172" s="220"/>
      <c r="U172" s="198"/>
      <c r="V172" s="198"/>
      <c r="W172" s="198"/>
      <c r="X172" s="198"/>
      <c r="Y172" s="198"/>
      <c r="Z172" s="198"/>
    </row>
    <row r="173" spans="6:26" hidden="1">
      <c r="F173" s="188" t="s">
        <v>271</v>
      </c>
      <c r="G173" s="198"/>
      <c r="H173" s="198"/>
      <c r="I173" s="198"/>
      <c r="J173" s="198"/>
      <c r="K173" s="198"/>
      <c r="L173" s="198"/>
      <c r="M173" s="198"/>
      <c r="N173" s="198"/>
      <c r="O173" s="198"/>
      <c r="P173" s="198"/>
      <c r="Q173" s="198"/>
      <c r="R173" s="198"/>
      <c r="S173" s="198"/>
      <c r="T173" s="220"/>
      <c r="U173" s="198"/>
      <c r="V173" s="198"/>
      <c r="W173" s="198"/>
      <c r="X173" s="198"/>
      <c r="Y173" s="198"/>
      <c r="Z173" s="198"/>
    </row>
    <row r="174" spans="6:26" hidden="1">
      <c r="F174" s="187" t="str">
        <f>+F162</f>
        <v>Rabanco MRF - Mixed Comm</v>
      </c>
      <c r="G174" s="198">
        <v>0</v>
      </c>
      <c r="H174" s="198">
        <v>0</v>
      </c>
      <c r="I174" s="198">
        <v>0</v>
      </c>
      <c r="J174" s="198">
        <v>0</v>
      </c>
      <c r="K174" s="198">
        <v>0</v>
      </c>
      <c r="L174" s="198">
        <v>0</v>
      </c>
      <c r="M174" s="198">
        <v>0</v>
      </c>
      <c r="N174" s="198">
        <v>0</v>
      </c>
      <c r="O174" s="198">
        <v>0</v>
      </c>
      <c r="P174" s="198">
        <v>0</v>
      </c>
      <c r="Q174" s="198">
        <v>0</v>
      </c>
      <c r="R174" s="198">
        <v>0</v>
      </c>
      <c r="S174" s="198"/>
      <c r="T174" s="199">
        <v>0</v>
      </c>
      <c r="U174" s="198"/>
      <c r="V174" s="198"/>
      <c r="W174" s="198"/>
      <c r="X174" s="198"/>
      <c r="Y174" s="198"/>
      <c r="Z174" s="198"/>
    </row>
    <row r="175" spans="6:26" hidden="1">
      <c r="F175" s="187" t="str">
        <f t="shared" ref="F175:F182" si="4">+F163</f>
        <v>Rabanco MRF - Commercial</v>
      </c>
      <c r="G175" s="198">
        <v>3281.3700000000003</v>
      </c>
      <c r="H175" s="198">
        <v>2989.2000000000003</v>
      </c>
      <c r="I175" s="198">
        <v>2349.17</v>
      </c>
      <c r="J175" s="198">
        <v>2932.63</v>
      </c>
      <c r="K175" s="198">
        <v>2664.7099999999996</v>
      </c>
      <c r="L175" s="198">
        <v>2657.6</v>
      </c>
      <c r="M175" s="198">
        <v>2663.6000000000004</v>
      </c>
      <c r="N175" s="198">
        <v>2476.4500000000003</v>
      </c>
      <c r="O175" s="198">
        <v>2567.6400000000003</v>
      </c>
      <c r="P175" s="198">
        <v>2599.65</v>
      </c>
      <c r="Q175" s="198">
        <v>2516.9700000000003</v>
      </c>
      <c r="R175" s="198">
        <v>2750.4700000000003</v>
      </c>
      <c r="S175" s="198"/>
      <c r="T175" s="199">
        <v>32449.460000000003</v>
      </c>
      <c r="U175" s="198"/>
      <c r="V175" s="198"/>
      <c r="W175" s="198"/>
      <c r="X175" s="198"/>
      <c r="Y175" s="198"/>
      <c r="Z175" s="198"/>
    </row>
    <row r="176" spans="6:26" hidden="1">
      <c r="F176" s="187" t="str">
        <f t="shared" si="4"/>
        <v>Rabanco MRF - Resi / MF</v>
      </c>
      <c r="G176" s="198">
        <v>920.51000000000022</v>
      </c>
      <c r="H176" s="198">
        <v>815.56</v>
      </c>
      <c r="I176" s="198">
        <v>649.6</v>
      </c>
      <c r="J176" s="198">
        <v>817.69</v>
      </c>
      <c r="K176" s="198">
        <v>716.33999999999969</v>
      </c>
      <c r="L176" s="198">
        <v>729.11999999999989</v>
      </c>
      <c r="M176" s="198">
        <v>754.48000000000025</v>
      </c>
      <c r="N176" s="198">
        <v>620.99</v>
      </c>
      <c r="O176" s="198">
        <v>699.68000000000006</v>
      </c>
      <c r="P176" s="198">
        <v>731.2</v>
      </c>
      <c r="Q176" s="198">
        <v>650.40000000000009</v>
      </c>
      <c r="R176" s="198">
        <v>783.81</v>
      </c>
      <c r="S176" s="198"/>
      <c r="T176" s="199">
        <v>8889.3799999999992</v>
      </c>
      <c r="U176" s="198"/>
      <c r="V176" s="198"/>
      <c r="W176" s="198"/>
      <c r="X176" s="198"/>
      <c r="Y176" s="198"/>
      <c r="Z176" s="198"/>
    </row>
    <row r="177" spans="6:26" hidden="1">
      <c r="F177" s="187" t="str">
        <f t="shared" si="4"/>
        <v>3rd &amp; Lander - MSW</v>
      </c>
      <c r="G177" s="198">
        <v>0</v>
      </c>
      <c r="H177" s="198">
        <v>0</v>
      </c>
      <c r="I177" s="198">
        <v>0</v>
      </c>
      <c r="J177" s="198">
        <v>0</v>
      </c>
      <c r="K177" s="198">
        <v>0</v>
      </c>
      <c r="L177" s="198">
        <v>0</v>
      </c>
      <c r="M177" s="198">
        <v>0</v>
      </c>
      <c r="N177" s="198">
        <v>0</v>
      </c>
      <c r="O177" s="198">
        <v>0</v>
      </c>
      <c r="P177" s="198">
        <v>0</v>
      </c>
      <c r="Q177" s="198">
        <v>0</v>
      </c>
      <c r="R177" s="198">
        <v>0</v>
      </c>
      <c r="S177" s="198"/>
      <c r="T177" s="199">
        <v>0</v>
      </c>
      <c r="U177" s="198"/>
      <c r="V177" s="198"/>
      <c r="W177" s="198"/>
      <c r="X177" s="198"/>
      <c r="Y177" s="198"/>
      <c r="Z177" s="198"/>
    </row>
    <row r="178" spans="6:26" hidden="1">
      <c r="F178" s="187" t="str">
        <f t="shared" si="4"/>
        <v>3rd &amp; Lander - Yardwaste</v>
      </c>
      <c r="G178" s="198">
        <v>0</v>
      </c>
      <c r="H178" s="198">
        <v>0</v>
      </c>
      <c r="I178" s="198">
        <v>0</v>
      </c>
      <c r="J178" s="198">
        <v>0</v>
      </c>
      <c r="K178" s="198">
        <v>0</v>
      </c>
      <c r="L178" s="198">
        <v>0</v>
      </c>
      <c r="M178" s="198">
        <v>0</v>
      </c>
      <c r="N178" s="198">
        <v>0</v>
      </c>
      <c r="O178" s="198">
        <v>0</v>
      </c>
      <c r="P178" s="198">
        <v>0</v>
      </c>
      <c r="Q178" s="198">
        <v>0</v>
      </c>
      <c r="R178" s="198">
        <v>0</v>
      </c>
      <c r="S178" s="198"/>
      <c r="T178" s="199">
        <v>0</v>
      </c>
      <c r="U178" s="198"/>
      <c r="V178" s="198"/>
      <c r="W178" s="198"/>
      <c r="X178" s="198"/>
      <c r="Y178" s="198"/>
      <c r="Z178" s="198"/>
    </row>
    <row r="179" spans="6:26" hidden="1">
      <c r="F179" s="187" t="str">
        <f t="shared" si="4"/>
        <v>3rd &amp; Lander - Cardboard</v>
      </c>
      <c r="G179" s="198">
        <v>709.88</v>
      </c>
      <c r="H179" s="198">
        <v>506.53</v>
      </c>
      <c r="I179" s="198">
        <v>391.44</v>
      </c>
      <c r="J179" s="198">
        <v>521.37</v>
      </c>
      <c r="K179" s="198">
        <v>529.73</v>
      </c>
      <c r="L179" s="198">
        <v>499.78</v>
      </c>
      <c r="M179" s="198">
        <v>455.69000000000005</v>
      </c>
      <c r="N179" s="198">
        <v>446.40999999999997</v>
      </c>
      <c r="O179" s="198">
        <v>392.98</v>
      </c>
      <c r="P179" s="198">
        <v>435.82</v>
      </c>
      <c r="Q179" s="198">
        <v>543.53</v>
      </c>
      <c r="R179" s="198">
        <v>496.31000000000006</v>
      </c>
      <c r="S179" s="198"/>
      <c r="T179" s="199">
        <v>5929.4699999999993</v>
      </c>
      <c r="U179" s="198"/>
      <c r="V179" s="198"/>
      <c r="W179" s="198"/>
      <c r="X179" s="198"/>
      <c r="Y179" s="198"/>
      <c r="Z179" s="198"/>
    </row>
    <row r="180" spans="6:26" hidden="1">
      <c r="F180" s="187" t="str">
        <f t="shared" si="4"/>
        <v>City Contract Street Sweeping</v>
      </c>
      <c r="G180" s="198">
        <v>0</v>
      </c>
      <c r="H180" s="198">
        <v>0</v>
      </c>
      <c r="I180" s="198">
        <v>0</v>
      </c>
      <c r="J180" s="198">
        <v>0</v>
      </c>
      <c r="K180" s="198">
        <v>0</v>
      </c>
      <c r="L180" s="198">
        <v>0</v>
      </c>
      <c r="M180" s="198">
        <v>0</v>
      </c>
      <c r="N180" s="198">
        <v>0</v>
      </c>
      <c r="O180" s="198">
        <v>0</v>
      </c>
      <c r="P180" s="198">
        <v>0</v>
      </c>
      <c r="Q180" s="198">
        <v>0</v>
      </c>
      <c r="R180" s="198">
        <v>0</v>
      </c>
      <c r="S180" s="198"/>
      <c r="T180" s="199">
        <v>0</v>
      </c>
      <c r="U180" s="198"/>
      <c r="V180" s="198"/>
      <c r="W180" s="198"/>
      <c r="X180" s="198"/>
      <c r="Y180" s="198"/>
      <c r="Z180" s="198"/>
    </row>
    <row r="181" spans="6:26" hidden="1">
      <c r="F181" s="187" t="str">
        <f t="shared" si="4"/>
        <v>King County Transfer</v>
      </c>
      <c r="G181" s="198">
        <v>0</v>
      </c>
      <c r="H181" s="198">
        <v>0</v>
      </c>
      <c r="I181" s="198">
        <v>0</v>
      </c>
      <c r="J181" s="198">
        <v>0</v>
      </c>
      <c r="K181" s="198">
        <v>0</v>
      </c>
      <c r="L181" s="198">
        <v>0</v>
      </c>
      <c r="M181" s="198">
        <v>0</v>
      </c>
      <c r="N181" s="198">
        <v>0</v>
      </c>
      <c r="O181" s="198">
        <v>0</v>
      </c>
      <c r="P181" s="198">
        <v>0</v>
      </c>
      <c r="Q181" s="198">
        <v>0</v>
      </c>
      <c r="R181" s="198">
        <v>0</v>
      </c>
      <c r="S181" s="198"/>
      <c r="T181" s="199">
        <v>0</v>
      </c>
      <c r="U181" s="198"/>
      <c r="V181" s="198"/>
      <c r="W181" s="198"/>
      <c r="X181" s="198"/>
      <c r="Y181" s="198"/>
      <c r="Z181" s="198"/>
    </row>
    <row r="182" spans="6:26" hidden="1">
      <c r="F182" s="187" t="str">
        <f t="shared" si="4"/>
        <v>Rabanco Sand Blasting</v>
      </c>
      <c r="G182" s="198">
        <v>0</v>
      </c>
      <c r="H182" s="198">
        <v>0</v>
      </c>
      <c r="I182" s="198">
        <v>0</v>
      </c>
      <c r="J182" s="198">
        <v>0</v>
      </c>
      <c r="K182" s="198">
        <v>0</v>
      </c>
      <c r="L182" s="198">
        <v>0</v>
      </c>
      <c r="M182" s="198">
        <v>0</v>
      </c>
      <c r="N182" s="198">
        <v>0</v>
      </c>
      <c r="O182" s="198">
        <v>0</v>
      </c>
      <c r="P182" s="198">
        <v>0</v>
      </c>
      <c r="Q182" s="198">
        <v>0</v>
      </c>
      <c r="R182" s="198">
        <v>0</v>
      </c>
      <c r="S182" s="198"/>
      <c r="T182" s="199">
        <v>0</v>
      </c>
      <c r="U182" s="198"/>
      <c r="V182" s="198"/>
      <c r="W182" s="198"/>
      <c r="X182" s="198"/>
      <c r="Y182" s="198"/>
      <c r="Z182" s="198"/>
    </row>
    <row r="183" spans="6:26" hidden="1">
      <c r="G183" s="216">
        <v>4911.7600000000011</v>
      </c>
      <c r="H183" s="216">
        <v>4311.29</v>
      </c>
      <c r="I183" s="216">
        <v>3390.21</v>
      </c>
      <c r="J183" s="216">
        <v>4271.6900000000005</v>
      </c>
      <c r="K183" s="216">
        <v>3910.7799999999993</v>
      </c>
      <c r="L183" s="216">
        <v>3886.5</v>
      </c>
      <c r="M183" s="216">
        <v>3873.7700000000009</v>
      </c>
      <c r="N183" s="216">
        <v>3543.8500000000004</v>
      </c>
      <c r="O183" s="216">
        <v>3660.3000000000006</v>
      </c>
      <c r="P183" s="216">
        <v>3766.6700000000005</v>
      </c>
      <c r="Q183" s="216">
        <v>3710.9000000000005</v>
      </c>
      <c r="R183" s="216">
        <v>4030.59</v>
      </c>
      <c r="S183" s="216"/>
      <c r="T183" s="232">
        <v>47268.310000000012</v>
      </c>
      <c r="U183" s="198"/>
      <c r="V183" s="198"/>
      <c r="W183" s="198"/>
      <c r="X183" s="198"/>
      <c r="Y183" s="198"/>
      <c r="Z183" s="198"/>
    </row>
    <row r="184" spans="6:26">
      <c r="G184" s="198"/>
      <c r="H184" s="198"/>
      <c r="I184" s="198"/>
      <c r="J184" s="198"/>
      <c r="K184" s="198"/>
      <c r="L184" s="198"/>
      <c r="M184" s="198"/>
      <c r="N184" s="198"/>
      <c r="O184" s="198"/>
      <c r="P184" s="198"/>
      <c r="Q184" s="198"/>
      <c r="R184" s="198"/>
      <c r="S184" s="198"/>
      <c r="T184" s="220"/>
      <c r="U184" s="198"/>
      <c r="V184" s="198"/>
      <c r="W184" s="198"/>
      <c r="X184" s="198"/>
      <c r="Y184" s="198"/>
      <c r="Z184" s="198"/>
    </row>
    <row r="185" spans="6:26">
      <c r="G185" s="198"/>
      <c r="H185" s="198"/>
      <c r="I185" s="198"/>
      <c r="J185" s="198"/>
      <c r="K185" s="198"/>
      <c r="L185" s="198"/>
      <c r="M185" s="198"/>
      <c r="N185" s="198"/>
      <c r="O185" s="198"/>
      <c r="P185" s="198"/>
      <c r="Q185" s="198"/>
      <c r="R185" s="198"/>
      <c r="S185" s="198"/>
      <c r="T185" s="220"/>
      <c r="U185" s="198"/>
      <c r="V185" s="198"/>
      <c r="W185" s="198"/>
      <c r="X185" s="198"/>
      <c r="Y185" s="198"/>
      <c r="Z185" s="198"/>
    </row>
    <row r="186" spans="6:26">
      <c r="G186" s="198"/>
      <c r="H186" s="198"/>
      <c r="I186" s="198"/>
      <c r="J186" s="198"/>
      <c r="K186" s="198"/>
      <c r="L186" s="198"/>
      <c r="M186" s="198"/>
      <c r="N186" s="198"/>
      <c r="O186" s="198"/>
      <c r="P186" s="198"/>
      <c r="Q186" s="198"/>
      <c r="R186" s="198"/>
      <c r="S186" s="198"/>
      <c r="T186" s="220"/>
      <c r="U186" s="198"/>
      <c r="V186" s="198"/>
      <c r="W186" s="198"/>
      <c r="X186" s="198"/>
      <c r="Y186" s="198"/>
      <c r="Z186" s="198"/>
    </row>
    <row r="187" spans="6:26">
      <c r="G187" s="198"/>
      <c r="H187" s="198"/>
      <c r="I187" s="198"/>
      <c r="J187" s="198"/>
      <c r="K187" s="198"/>
      <c r="L187" s="198"/>
      <c r="M187" s="198"/>
      <c r="N187" s="198"/>
      <c r="O187" s="198"/>
      <c r="P187" s="198"/>
      <c r="Q187" s="198"/>
      <c r="R187" s="198"/>
      <c r="S187" s="198"/>
      <c r="T187" s="220"/>
      <c r="U187" s="198"/>
      <c r="V187" s="198"/>
      <c r="W187" s="198"/>
      <c r="X187" s="198"/>
      <c r="Y187" s="198"/>
      <c r="Z187" s="198"/>
    </row>
    <row r="188" spans="6:26">
      <c r="G188" s="198"/>
      <c r="H188" s="198"/>
      <c r="I188" s="198"/>
      <c r="J188" s="198"/>
      <c r="K188" s="198"/>
      <c r="L188" s="198"/>
      <c r="M188" s="198"/>
      <c r="N188" s="198"/>
      <c r="O188" s="198"/>
      <c r="P188" s="198"/>
      <c r="Q188" s="198"/>
      <c r="R188" s="198"/>
      <c r="S188" s="198"/>
      <c r="T188" s="220"/>
      <c r="U188" s="198"/>
      <c r="V188" s="198"/>
      <c r="W188" s="198"/>
      <c r="X188" s="198"/>
      <c r="Y188" s="198"/>
      <c r="Z188" s="198"/>
    </row>
    <row r="189" spans="6:26">
      <c r="G189" s="198"/>
      <c r="H189" s="198"/>
      <c r="I189" s="198"/>
      <c r="J189" s="198"/>
      <c r="K189" s="198"/>
      <c r="L189" s="198"/>
      <c r="M189" s="198"/>
      <c r="N189" s="198"/>
      <c r="O189" s="198"/>
      <c r="P189" s="198"/>
      <c r="Q189" s="198"/>
      <c r="R189" s="198"/>
      <c r="S189" s="198"/>
      <c r="T189" s="220"/>
      <c r="U189" s="198"/>
      <c r="V189" s="198"/>
      <c r="W189" s="198"/>
      <c r="X189" s="198"/>
      <c r="Y189" s="198"/>
      <c r="Z189" s="198"/>
    </row>
    <row r="190" spans="6:26">
      <c r="G190" s="198"/>
      <c r="H190" s="198"/>
      <c r="I190" s="198"/>
      <c r="J190" s="198"/>
      <c r="K190" s="198"/>
      <c r="L190" s="198"/>
      <c r="M190" s="198"/>
      <c r="N190" s="198"/>
      <c r="O190" s="198"/>
      <c r="P190" s="198"/>
      <c r="Q190" s="198"/>
      <c r="R190" s="198"/>
      <c r="S190" s="198"/>
      <c r="T190" s="220"/>
      <c r="U190" s="198"/>
      <c r="V190" s="198"/>
      <c r="W190" s="198"/>
      <c r="X190" s="198"/>
      <c r="Y190" s="198"/>
      <c r="Z190" s="198"/>
    </row>
    <row r="191" spans="6:26">
      <c r="G191" s="198"/>
      <c r="H191" s="198"/>
      <c r="I191" s="198"/>
      <c r="J191" s="198"/>
      <c r="K191" s="198"/>
      <c r="L191" s="198"/>
      <c r="M191" s="198"/>
      <c r="N191" s="198"/>
      <c r="O191" s="198"/>
      <c r="P191" s="198"/>
      <c r="Q191" s="198"/>
      <c r="R191" s="198"/>
      <c r="S191" s="198"/>
      <c r="T191" s="220"/>
      <c r="U191" s="198"/>
      <c r="V191" s="198"/>
      <c r="W191" s="198"/>
      <c r="X191" s="198"/>
      <c r="Y191" s="198"/>
      <c r="Z191" s="198"/>
    </row>
    <row r="192" spans="6:26">
      <c r="G192" s="198"/>
      <c r="H192" s="198"/>
      <c r="I192" s="198"/>
      <c r="J192" s="198"/>
      <c r="K192" s="198"/>
      <c r="L192" s="198"/>
      <c r="M192" s="198"/>
      <c r="N192" s="198"/>
      <c r="O192" s="198"/>
      <c r="P192" s="198"/>
      <c r="Q192" s="198"/>
      <c r="R192" s="198"/>
      <c r="S192" s="198"/>
      <c r="T192" s="220"/>
      <c r="U192" s="198"/>
      <c r="V192" s="198"/>
      <c r="W192" s="198"/>
      <c r="X192" s="198"/>
      <c r="Y192" s="198"/>
      <c r="Z192" s="198"/>
    </row>
    <row r="193" spans="7:26">
      <c r="G193" s="198"/>
      <c r="H193" s="198"/>
      <c r="I193" s="198"/>
      <c r="J193" s="198"/>
      <c r="K193" s="198"/>
      <c r="L193" s="198"/>
      <c r="M193" s="198"/>
      <c r="N193" s="198"/>
      <c r="O193" s="198"/>
      <c r="P193" s="198"/>
      <c r="Q193" s="198"/>
      <c r="R193" s="198"/>
      <c r="S193" s="198"/>
      <c r="T193" s="220"/>
      <c r="U193" s="198"/>
      <c r="V193" s="198"/>
      <c r="W193" s="198"/>
      <c r="X193" s="198"/>
      <c r="Y193" s="198"/>
      <c r="Z193" s="198"/>
    </row>
    <row r="194" spans="7:26">
      <c r="G194" s="198"/>
      <c r="H194" s="198"/>
      <c r="I194" s="198"/>
      <c r="J194" s="198"/>
      <c r="K194" s="198"/>
      <c r="L194" s="198"/>
      <c r="M194" s="198"/>
      <c r="N194" s="198"/>
      <c r="O194" s="198"/>
      <c r="P194" s="198"/>
      <c r="Q194" s="198"/>
      <c r="R194" s="198"/>
      <c r="S194" s="198"/>
      <c r="T194" s="220"/>
      <c r="U194" s="198"/>
      <c r="V194" s="198"/>
      <c r="W194" s="198"/>
      <c r="X194" s="198"/>
      <c r="Y194" s="198"/>
      <c r="Z194" s="198"/>
    </row>
    <row r="195" spans="7:26">
      <c r="G195" s="198"/>
      <c r="H195" s="198"/>
      <c r="I195" s="198"/>
      <c r="J195" s="198"/>
      <c r="K195" s="198"/>
      <c r="L195" s="198"/>
      <c r="M195" s="198"/>
      <c r="N195" s="198"/>
      <c r="O195" s="198"/>
      <c r="P195" s="198"/>
      <c r="Q195" s="198"/>
      <c r="R195" s="198"/>
      <c r="S195" s="198"/>
      <c r="T195" s="220"/>
      <c r="U195" s="198"/>
      <c r="V195" s="198"/>
      <c r="W195" s="198"/>
      <c r="X195" s="198"/>
      <c r="Y195" s="198"/>
      <c r="Z195" s="198"/>
    </row>
    <row r="196" spans="7:26">
      <c r="G196" s="198"/>
      <c r="H196" s="198"/>
      <c r="I196" s="198"/>
      <c r="J196" s="198"/>
      <c r="K196" s="198"/>
      <c r="L196" s="198"/>
      <c r="M196" s="198"/>
      <c r="N196" s="198"/>
      <c r="O196" s="198"/>
      <c r="P196" s="198"/>
      <c r="Q196" s="198"/>
      <c r="R196" s="198"/>
      <c r="S196" s="198"/>
      <c r="T196" s="220"/>
      <c r="U196" s="198"/>
      <c r="V196" s="198"/>
      <c r="W196" s="198"/>
      <c r="X196" s="198"/>
      <c r="Y196" s="198"/>
      <c r="Z196" s="198"/>
    </row>
    <row r="197" spans="7:26">
      <c r="G197" s="198"/>
      <c r="H197" s="198"/>
      <c r="I197" s="198"/>
      <c r="J197" s="198"/>
      <c r="K197" s="198"/>
      <c r="L197" s="198"/>
      <c r="M197" s="198"/>
      <c r="N197" s="198"/>
      <c r="O197" s="198"/>
      <c r="P197" s="198"/>
      <c r="Q197" s="198"/>
      <c r="R197" s="198"/>
      <c r="S197" s="198"/>
      <c r="T197" s="220"/>
      <c r="U197" s="198"/>
      <c r="V197" s="198"/>
      <c r="W197" s="198"/>
      <c r="X197" s="198"/>
      <c r="Y197" s="198"/>
      <c r="Z197" s="198"/>
    </row>
    <row r="198" spans="7:26">
      <c r="G198" s="198"/>
      <c r="H198" s="198"/>
      <c r="I198" s="198"/>
      <c r="J198" s="198"/>
      <c r="K198" s="198"/>
      <c r="L198" s="198"/>
      <c r="M198" s="198"/>
      <c r="N198" s="198"/>
      <c r="O198" s="198"/>
      <c r="P198" s="198"/>
      <c r="Q198" s="198"/>
      <c r="R198" s="198"/>
      <c r="S198" s="198"/>
      <c r="T198" s="220"/>
      <c r="U198" s="198"/>
      <c r="V198" s="198"/>
      <c r="W198" s="198"/>
      <c r="X198" s="198"/>
      <c r="Y198" s="198"/>
      <c r="Z198" s="198"/>
    </row>
    <row r="199" spans="7:26">
      <c r="G199" s="198"/>
      <c r="H199" s="198"/>
      <c r="I199" s="198"/>
      <c r="J199" s="198"/>
      <c r="K199" s="198"/>
      <c r="L199" s="198"/>
      <c r="M199" s="198"/>
      <c r="N199" s="198"/>
      <c r="O199" s="198"/>
      <c r="P199" s="198"/>
      <c r="Q199" s="198"/>
      <c r="R199" s="198"/>
      <c r="S199" s="198"/>
      <c r="T199" s="220"/>
      <c r="U199" s="198"/>
      <c r="V199" s="198"/>
      <c r="W199" s="198"/>
      <c r="X199" s="198"/>
      <c r="Y199" s="198"/>
      <c r="Z199" s="198"/>
    </row>
    <row r="200" spans="7:26">
      <c r="G200" s="198"/>
      <c r="H200" s="198"/>
      <c r="I200" s="198"/>
      <c r="J200" s="198"/>
      <c r="K200" s="198"/>
      <c r="L200" s="198"/>
      <c r="M200" s="198"/>
      <c r="N200" s="198"/>
      <c r="O200" s="198"/>
      <c r="P200" s="198"/>
      <c r="Q200" s="198"/>
      <c r="R200" s="198"/>
      <c r="S200" s="198"/>
      <c r="T200" s="220"/>
      <c r="U200" s="198"/>
      <c r="V200" s="198"/>
      <c r="W200" s="198"/>
      <c r="X200" s="198"/>
      <c r="Y200" s="198"/>
      <c r="Z200" s="198"/>
    </row>
    <row r="201" spans="7:26">
      <c r="G201" s="198"/>
      <c r="H201" s="198"/>
      <c r="I201" s="198"/>
      <c r="J201" s="198"/>
      <c r="K201" s="198"/>
      <c r="L201" s="198"/>
      <c r="M201" s="198"/>
      <c r="N201" s="198"/>
      <c r="O201" s="198"/>
      <c r="P201" s="198"/>
      <c r="Q201" s="198"/>
      <c r="R201" s="198"/>
      <c r="S201" s="198"/>
      <c r="T201" s="220"/>
      <c r="U201" s="198"/>
      <c r="V201" s="198"/>
      <c r="W201" s="198"/>
      <c r="X201" s="198"/>
      <c r="Y201" s="198"/>
      <c r="Z201" s="198"/>
    </row>
    <row r="202" spans="7:26">
      <c r="G202" s="198"/>
      <c r="H202" s="198"/>
      <c r="I202" s="198"/>
      <c r="J202" s="198"/>
      <c r="K202" s="198"/>
      <c r="L202" s="198"/>
      <c r="M202" s="198"/>
      <c r="N202" s="198"/>
      <c r="O202" s="198"/>
      <c r="P202" s="198"/>
      <c r="Q202" s="198"/>
      <c r="R202" s="198"/>
      <c r="S202" s="198"/>
      <c r="T202" s="220"/>
      <c r="U202" s="198"/>
      <c r="V202" s="198"/>
      <c r="W202" s="198"/>
      <c r="X202" s="198"/>
      <c r="Y202" s="198"/>
      <c r="Z202" s="198"/>
    </row>
    <row r="203" spans="7:26">
      <c r="G203" s="198"/>
      <c r="H203" s="198"/>
      <c r="I203" s="198"/>
      <c r="J203" s="198"/>
      <c r="K203" s="198"/>
      <c r="L203" s="198"/>
      <c r="M203" s="198"/>
      <c r="N203" s="198"/>
      <c r="O203" s="198"/>
      <c r="P203" s="198"/>
      <c r="Q203" s="198"/>
      <c r="R203" s="198"/>
      <c r="S203" s="198"/>
      <c r="T203" s="220"/>
      <c r="U203" s="198"/>
      <c r="V203" s="198"/>
      <c r="W203" s="198"/>
      <c r="X203" s="198"/>
      <c r="Y203" s="198"/>
      <c r="Z203" s="198"/>
    </row>
    <row r="204" spans="7:26">
      <c r="G204" s="198"/>
      <c r="H204" s="198"/>
      <c r="I204" s="198"/>
      <c r="J204" s="198"/>
      <c r="K204" s="198"/>
      <c r="L204" s="198"/>
      <c r="M204" s="198"/>
      <c r="N204" s="198"/>
      <c r="O204" s="198"/>
      <c r="P204" s="198"/>
      <c r="Q204" s="198"/>
      <c r="R204" s="198"/>
      <c r="S204" s="198"/>
      <c r="T204" s="220"/>
      <c r="U204" s="198"/>
      <c r="V204" s="198"/>
      <c r="W204" s="198"/>
      <c r="X204" s="198"/>
      <c r="Y204" s="198"/>
      <c r="Z204" s="198"/>
    </row>
    <row r="205" spans="7:26">
      <c r="G205" s="198"/>
      <c r="H205" s="198"/>
      <c r="I205" s="198"/>
      <c r="J205" s="198"/>
      <c r="K205" s="198"/>
      <c r="L205" s="198"/>
      <c r="M205" s="198"/>
      <c r="N205" s="198"/>
      <c r="O205" s="198"/>
      <c r="P205" s="198"/>
      <c r="Q205" s="198"/>
      <c r="R205" s="198"/>
      <c r="S205" s="198"/>
      <c r="T205" s="220"/>
      <c r="U205" s="198"/>
      <c r="V205" s="198"/>
      <c r="W205" s="198"/>
      <c r="X205" s="198"/>
      <c r="Y205" s="198"/>
      <c r="Z205" s="198"/>
    </row>
    <row r="206" spans="7:26">
      <c r="G206" s="198"/>
      <c r="H206" s="198"/>
      <c r="I206" s="198"/>
      <c r="J206" s="198"/>
      <c r="K206" s="198"/>
      <c r="L206" s="198"/>
      <c r="M206" s="198"/>
      <c r="N206" s="198"/>
      <c r="O206" s="198"/>
      <c r="P206" s="198"/>
      <c r="Q206" s="198"/>
      <c r="R206" s="198"/>
      <c r="S206" s="198"/>
      <c r="T206" s="220"/>
      <c r="U206" s="198"/>
      <c r="V206" s="198"/>
      <c r="W206" s="198"/>
      <c r="X206" s="198"/>
      <c r="Y206" s="198"/>
      <c r="Z206" s="198"/>
    </row>
    <row r="207" spans="7:26">
      <c r="G207" s="198"/>
      <c r="H207" s="198"/>
      <c r="I207" s="198"/>
      <c r="J207" s="198"/>
      <c r="K207" s="198"/>
      <c r="L207" s="198"/>
      <c r="M207" s="198"/>
      <c r="N207" s="198"/>
      <c r="O207" s="198"/>
      <c r="P207" s="198"/>
      <c r="Q207" s="198"/>
      <c r="R207" s="198"/>
      <c r="S207" s="198"/>
      <c r="T207" s="220"/>
      <c r="U207" s="198"/>
      <c r="V207" s="198"/>
      <c r="W207" s="198"/>
      <c r="X207" s="198"/>
      <c r="Y207" s="198"/>
      <c r="Z207" s="198"/>
    </row>
    <row r="208" spans="7:26">
      <c r="G208" s="198"/>
      <c r="H208" s="198"/>
      <c r="I208" s="198"/>
      <c r="J208" s="198"/>
      <c r="K208" s="198"/>
      <c r="L208" s="198"/>
      <c r="M208" s="198"/>
      <c r="N208" s="198"/>
      <c r="O208" s="198"/>
      <c r="P208" s="198"/>
      <c r="Q208" s="198"/>
      <c r="R208" s="198"/>
      <c r="S208" s="198"/>
      <c r="T208" s="220"/>
      <c r="U208" s="198"/>
      <c r="V208" s="198"/>
      <c r="W208" s="198"/>
      <c r="X208" s="198"/>
      <c r="Y208" s="198"/>
      <c r="Z208" s="198"/>
    </row>
    <row r="209" spans="7:26">
      <c r="G209" s="198"/>
      <c r="H209" s="198"/>
      <c r="I209" s="198"/>
      <c r="J209" s="198"/>
      <c r="K209" s="198"/>
      <c r="L209" s="198"/>
      <c r="M209" s="198"/>
      <c r="N209" s="198"/>
      <c r="O209" s="198"/>
      <c r="P209" s="198"/>
      <c r="Q209" s="198"/>
      <c r="R209" s="198"/>
      <c r="S209" s="198"/>
      <c r="T209" s="220"/>
      <c r="U209" s="198"/>
      <c r="V209" s="198"/>
      <c r="W209" s="198"/>
      <c r="X209" s="198"/>
      <c r="Y209" s="198"/>
      <c r="Z209" s="198"/>
    </row>
    <row r="210" spans="7:26">
      <c r="G210" s="198"/>
      <c r="H210" s="198"/>
      <c r="I210" s="198"/>
      <c r="J210" s="198"/>
      <c r="K210" s="198"/>
      <c r="L210" s="198"/>
      <c r="M210" s="198"/>
      <c r="N210" s="198"/>
      <c r="O210" s="198"/>
      <c r="P210" s="198"/>
      <c r="Q210" s="198"/>
      <c r="R210" s="198"/>
      <c r="S210" s="198"/>
      <c r="T210" s="220"/>
      <c r="U210" s="198"/>
      <c r="V210" s="198"/>
      <c r="W210" s="198"/>
      <c r="X210" s="198"/>
      <c r="Y210" s="198"/>
      <c r="Z210" s="198"/>
    </row>
    <row r="211" spans="7:26">
      <c r="G211" s="198"/>
      <c r="H211" s="198"/>
      <c r="I211" s="198"/>
      <c r="J211" s="198"/>
      <c r="K211" s="198"/>
      <c r="L211" s="198"/>
      <c r="M211" s="198"/>
      <c r="N211" s="198"/>
      <c r="O211" s="198"/>
      <c r="P211" s="198"/>
      <c r="Q211" s="198"/>
      <c r="R211" s="198"/>
      <c r="S211" s="198"/>
      <c r="T211" s="220"/>
      <c r="U211" s="198"/>
      <c r="V211" s="198"/>
      <c r="W211" s="198"/>
      <c r="X211" s="198"/>
      <c r="Y211" s="198"/>
      <c r="Z211" s="198"/>
    </row>
    <row r="212" spans="7:26">
      <c r="G212" s="198"/>
      <c r="H212" s="198"/>
      <c r="I212" s="198"/>
      <c r="J212" s="198"/>
      <c r="K212" s="198"/>
      <c r="L212" s="198"/>
      <c r="M212" s="198"/>
      <c r="N212" s="198"/>
      <c r="O212" s="198"/>
      <c r="P212" s="198"/>
      <c r="Q212" s="198"/>
      <c r="R212" s="198"/>
      <c r="S212" s="198"/>
      <c r="T212" s="220"/>
      <c r="U212" s="198"/>
      <c r="V212" s="198"/>
      <c r="W212" s="198"/>
      <c r="X212" s="198"/>
      <c r="Y212" s="198"/>
      <c r="Z212" s="198"/>
    </row>
    <row r="213" spans="7:26">
      <c r="G213" s="198"/>
      <c r="H213" s="198"/>
      <c r="I213" s="198"/>
      <c r="J213" s="198"/>
      <c r="K213" s="198"/>
      <c r="L213" s="198"/>
      <c r="M213" s="198"/>
      <c r="N213" s="198"/>
      <c r="O213" s="198"/>
      <c r="P213" s="198"/>
      <c r="Q213" s="198"/>
      <c r="R213" s="198"/>
      <c r="S213" s="198"/>
      <c r="T213" s="220"/>
      <c r="U213" s="198"/>
      <c r="V213" s="198"/>
      <c r="W213" s="198"/>
      <c r="X213" s="198"/>
      <c r="Y213" s="198"/>
      <c r="Z213" s="198"/>
    </row>
    <row r="214" spans="7:26">
      <c r="G214" s="198"/>
      <c r="H214" s="198"/>
      <c r="I214" s="198"/>
      <c r="J214" s="198"/>
      <c r="K214" s="198"/>
      <c r="L214" s="198"/>
      <c r="M214" s="198"/>
      <c r="N214" s="198"/>
      <c r="O214" s="198"/>
      <c r="P214" s="198"/>
      <c r="Q214" s="198"/>
      <c r="R214" s="198"/>
      <c r="S214" s="198"/>
      <c r="T214" s="220"/>
      <c r="U214" s="198"/>
      <c r="V214" s="198"/>
      <c r="W214" s="198"/>
      <c r="X214" s="198"/>
      <c r="Y214" s="198"/>
      <c r="Z214" s="198"/>
    </row>
    <row r="215" spans="7:26">
      <c r="G215" s="198"/>
      <c r="H215" s="198"/>
      <c r="I215" s="198"/>
      <c r="J215" s="198"/>
      <c r="K215" s="198"/>
      <c r="L215" s="198"/>
      <c r="M215" s="198"/>
      <c r="N215" s="198"/>
      <c r="O215" s="198"/>
      <c r="P215" s="198"/>
      <c r="Q215" s="198"/>
      <c r="R215" s="198"/>
      <c r="S215" s="198"/>
      <c r="T215" s="220"/>
      <c r="U215" s="198"/>
      <c r="V215" s="198"/>
      <c r="W215" s="198"/>
      <c r="X215" s="198"/>
      <c r="Y215" s="198"/>
      <c r="Z215" s="198"/>
    </row>
    <row r="216" spans="7:26">
      <c r="G216" s="198"/>
      <c r="H216" s="198"/>
      <c r="I216" s="198"/>
      <c r="J216" s="198"/>
      <c r="K216" s="198"/>
      <c r="L216" s="198"/>
      <c r="M216" s="198"/>
      <c r="N216" s="198"/>
      <c r="O216" s="198"/>
      <c r="P216" s="198"/>
      <c r="Q216" s="198"/>
      <c r="R216" s="198"/>
      <c r="S216" s="198"/>
      <c r="T216" s="220"/>
      <c r="U216" s="198"/>
      <c r="V216" s="198"/>
      <c r="W216" s="198"/>
      <c r="X216" s="198"/>
      <c r="Y216" s="198"/>
      <c r="Z216" s="198"/>
    </row>
    <row r="217" spans="7:26">
      <c r="G217" s="198"/>
      <c r="H217" s="198"/>
      <c r="I217" s="198"/>
      <c r="J217" s="198"/>
      <c r="K217" s="198"/>
      <c r="L217" s="198"/>
      <c r="M217" s="198"/>
      <c r="N217" s="198"/>
      <c r="O217" s="198"/>
      <c r="P217" s="198"/>
      <c r="Q217" s="198"/>
      <c r="R217" s="198"/>
      <c r="S217" s="198"/>
      <c r="T217" s="220"/>
      <c r="U217" s="198"/>
      <c r="V217" s="198"/>
      <c r="W217" s="198"/>
      <c r="X217" s="198"/>
      <c r="Y217" s="198"/>
      <c r="Z217" s="198"/>
    </row>
    <row r="218" spans="7:26">
      <c r="G218" s="198"/>
      <c r="H218" s="198"/>
      <c r="I218" s="198"/>
      <c r="J218" s="198"/>
      <c r="K218" s="198"/>
      <c r="L218" s="198"/>
      <c r="M218" s="198"/>
      <c r="N218" s="198"/>
      <c r="O218" s="198"/>
      <c r="P218" s="198"/>
      <c r="Q218" s="198"/>
      <c r="R218" s="198"/>
      <c r="S218" s="198"/>
      <c r="T218" s="220"/>
      <c r="U218" s="198"/>
      <c r="V218" s="198"/>
      <c r="W218" s="198"/>
      <c r="X218" s="198"/>
      <c r="Y218" s="198"/>
      <c r="Z218" s="198"/>
    </row>
    <row r="219" spans="7:26">
      <c r="G219" s="198"/>
      <c r="H219" s="198"/>
      <c r="I219" s="198"/>
      <c r="J219" s="198"/>
      <c r="K219" s="198"/>
      <c r="L219" s="198"/>
      <c r="M219" s="198"/>
      <c r="N219" s="198"/>
      <c r="O219" s="198"/>
      <c r="P219" s="198"/>
      <c r="Q219" s="198"/>
      <c r="R219" s="198"/>
      <c r="S219" s="198"/>
      <c r="T219" s="220"/>
      <c r="U219" s="198"/>
      <c r="V219" s="198"/>
      <c r="W219" s="198"/>
      <c r="X219" s="198"/>
      <c r="Y219" s="198"/>
      <c r="Z219" s="198"/>
    </row>
    <row r="220" spans="7:26">
      <c r="G220" s="198"/>
      <c r="H220" s="198"/>
      <c r="I220" s="198"/>
      <c r="J220" s="198"/>
      <c r="K220" s="198"/>
      <c r="L220" s="198"/>
      <c r="M220" s="198"/>
      <c r="N220" s="198"/>
      <c r="O220" s="198"/>
      <c r="P220" s="198"/>
      <c r="Q220" s="198"/>
      <c r="R220" s="198"/>
      <c r="S220" s="198"/>
      <c r="T220" s="220"/>
      <c r="U220" s="198"/>
      <c r="V220" s="198"/>
      <c r="W220" s="198"/>
      <c r="X220" s="198"/>
      <c r="Y220" s="198"/>
      <c r="Z220" s="198"/>
    </row>
    <row r="221" spans="7:26">
      <c r="G221" s="198"/>
      <c r="H221" s="198"/>
      <c r="I221" s="198"/>
      <c r="J221" s="198"/>
      <c r="K221" s="198"/>
      <c r="L221" s="198"/>
      <c r="M221" s="198"/>
      <c r="N221" s="198"/>
      <c r="O221" s="198"/>
      <c r="P221" s="198"/>
      <c r="Q221" s="198"/>
      <c r="R221" s="198"/>
      <c r="S221" s="198"/>
      <c r="T221" s="220"/>
      <c r="U221" s="198"/>
      <c r="V221" s="198"/>
      <c r="W221" s="198"/>
      <c r="X221" s="198"/>
      <c r="Y221" s="198"/>
      <c r="Z221" s="198"/>
    </row>
    <row r="222" spans="7:26">
      <c r="G222" s="198"/>
      <c r="H222" s="198"/>
      <c r="I222" s="198"/>
      <c r="J222" s="198"/>
      <c r="K222" s="198"/>
      <c r="L222" s="198"/>
      <c r="M222" s="198"/>
      <c r="N222" s="198"/>
      <c r="O222" s="198"/>
      <c r="P222" s="198"/>
      <c r="Q222" s="198"/>
      <c r="R222" s="198"/>
      <c r="S222" s="198"/>
      <c r="T222" s="220"/>
      <c r="U222" s="198"/>
      <c r="V222" s="198"/>
      <c r="W222" s="198"/>
      <c r="X222" s="198"/>
      <c r="Y222" s="198"/>
      <c r="Z222" s="198"/>
    </row>
    <row r="223" spans="7:26">
      <c r="G223" s="198"/>
      <c r="H223" s="198"/>
      <c r="I223" s="198"/>
      <c r="J223" s="198"/>
      <c r="K223" s="198"/>
      <c r="L223" s="198"/>
      <c r="M223" s="198"/>
      <c r="N223" s="198"/>
      <c r="O223" s="198"/>
      <c r="P223" s="198"/>
      <c r="Q223" s="198"/>
      <c r="R223" s="198"/>
      <c r="S223" s="198"/>
      <c r="T223" s="220"/>
      <c r="U223" s="198"/>
      <c r="V223" s="198"/>
      <c r="W223" s="198"/>
      <c r="X223" s="198"/>
      <c r="Y223" s="198"/>
      <c r="Z223" s="198"/>
    </row>
    <row r="224" spans="7:26">
      <c r="G224" s="198"/>
      <c r="H224" s="198"/>
      <c r="I224" s="198"/>
      <c r="J224" s="198"/>
      <c r="K224" s="198"/>
      <c r="L224" s="198"/>
      <c r="M224" s="198"/>
      <c r="N224" s="198"/>
      <c r="O224" s="198"/>
      <c r="P224" s="198"/>
      <c r="Q224" s="198"/>
      <c r="R224" s="198"/>
      <c r="S224" s="198"/>
      <c r="T224" s="220"/>
      <c r="U224" s="198"/>
      <c r="V224" s="198"/>
      <c r="W224" s="198"/>
      <c r="X224" s="198"/>
      <c r="Y224" s="198"/>
      <c r="Z224" s="198"/>
    </row>
    <row r="225" spans="7:26">
      <c r="G225" s="198"/>
      <c r="H225" s="198"/>
      <c r="I225" s="198"/>
      <c r="J225" s="198"/>
      <c r="K225" s="198"/>
      <c r="L225" s="198"/>
      <c r="M225" s="198"/>
      <c r="N225" s="198"/>
      <c r="O225" s="198"/>
      <c r="P225" s="198"/>
      <c r="Q225" s="198"/>
      <c r="R225" s="198"/>
      <c r="S225" s="198"/>
      <c r="T225" s="220"/>
      <c r="U225" s="198"/>
      <c r="V225" s="198"/>
      <c r="W225" s="198"/>
      <c r="X225" s="198"/>
      <c r="Y225" s="198"/>
      <c r="Z225" s="198"/>
    </row>
    <row r="226" spans="7:26">
      <c r="G226" s="198"/>
      <c r="H226" s="198"/>
      <c r="I226" s="198"/>
      <c r="J226" s="198"/>
      <c r="K226" s="198"/>
      <c r="L226" s="198"/>
      <c r="M226" s="198"/>
      <c r="N226" s="198"/>
      <c r="O226" s="198"/>
      <c r="P226" s="198"/>
      <c r="Q226" s="198"/>
      <c r="R226" s="198"/>
      <c r="S226" s="198"/>
      <c r="T226" s="220"/>
      <c r="U226" s="198"/>
      <c r="V226" s="198"/>
      <c r="W226" s="198"/>
      <c r="X226" s="198"/>
      <c r="Y226" s="198"/>
      <c r="Z226" s="198"/>
    </row>
    <row r="227" spans="7:26">
      <c r="G227" s="198"/>
      <c r="H227" s="198"/>
      <c r="I227" s="198"/>
      <c r="J227" s="198"/>
      <c r="K227" s="198"/>
      <c r="L227" s="198"/>
      <c r="M227" s="198"/>
      <c r="N227" s="198"/>
      <c r="O227" s="198"/>
      <c r="P227" s="198"/>
      <c r="Q227" s="198"/>
      <c r="R227" s="198"/>
      <c r="S227" s="198"/>
      <c r="T227" s="220"/>
      <c r="U227" s="198"/>
      <c r="V227" s="198"/>
      <c r="W227" s="198"/>
      <c r="X227" s="198"/>
      <c r="Y227" s="198"/>
      <c r="Z227" s="198"/>
    </row>
    <row r="228" spans="7:26">
      <c r="G228" s="198"/>
      <c r="H228" s="198"/>
      <c r="I228" s="198"/>
      <c r="J228" s="198"/>
      <c r="K228" s="198"/>
      <c r="L228" s="198"/>
      <c r="M228" s="198"/>
      <c r="N228" s="198"/>
      <c r="O228" s="198"/>
      <c r="P228" s="198"/>
      <c r="Q228" s="198"/>
      <c r="R228" s="198"/>
      <c r="S228" s="198"/>
      <c r="T228" s="220"/>
      <c r="U228" s="198"/>
      <c r="V228" s="198"/>
      <c r="W228" s="198"/>
      <c r="X228" s="198"/>
      <c r="Y228" s="198"/>
      <c r="Z228" s="198"/>
    </row>
    <row r="229" spans="7:26">
      <c r="G229" s="198"/>
      <c r="H229" s="198"/>
      <c r="I229" s="198"/>
      <c r="J229" s="198"/>
      <c r="K229" s="198"/>
      <c r="L229" s="198"/>
      <c r="M229" s="198"/>
      <c r="N229" s="198"/>
      <c r="O229" s="198"/>
      <c r="P229" s="198"/>
      <c r="Q229" s="198"/>
      <c r="R229" s="198"/>
      <c r="S229" s="198"/>
      <c r="T229" s="220"/>
      <c r="U229" s="198"/>
      <c r="V229" s="198"/>
      <c r="W229" s="198"/>
      <c r="X229" s="198"/>
      <c r="Y229" s="198"/>
      <c r="Z229" s="198"/>
    </row>
    <row r="230" spans="7:26">
      <c r="G230" s="198"/>
      <c r="H230" s="198"/>
      <c r="I230" s="198"/>
      <c r="J230" s="198"/>
      <c r="K230" s="198"/>
      <c r="L230" s="198"/>
      <c r="M230" s="198"/>
      <c r="N230" s="198"/>
      <c r="O230" s="198"/>
      <c r="P230" s="198"/>
      <c r="Q230" s="198"/>
      <c r="R230" s="198"/>
      <c r="S230" s="198"/>
      <c r="T230" s="220"/>
      <c r="U230" s="198"/>
      <c r="V230" s="198"/>
      <c r="W230" s="198"/>
      <c r="X230" s="198"/>
      <c r="Y230" s="198"/>
      <c r="Z230" s="198"/>
    </row>
    <row r="231" spans="7:26">
      <c r="G231" s="198"/>
      <c r="H231" s="198"/>
      <c r="I231" s="198"/>
      <c r="J231" s="198"/>
      <c r="K231" s="198"/>
      <c r="L231" s="198"/>
      <c r="M231" s="198"/>
      <c r="N231" s="198"/>
      <c r="O231" s="198"/>
      <c r="P231" s="198"/>
      <c r="Q231" s="198"/>
      <c r="R231" s="198"/>
      <c r="S231" s="198"/>
      <c r="T231" s="220"/>
      <c r="U231" s="198"/>
      <c r="V231" s="198"/>
      <c r="W231" s="198"/>
      <c r="X231" s="198"/>
      <c r="Y231" s="198"/>
      <c r="Z231" s="198"/>
    </row>
    <row r="232" spans="7:26">
      <c r="G232" s="198"/>
      <c r="H232" s="198"/>
      <c r="I232" s="198"/>
      <c r="J232" s="198"/>
      <c r="K232" s="198"/>
      <c r="L232" s="198"/>
      <c r="M232" s="198"/>
      <c r="N232" s="198"/>
      <c r="O232" s="198"/>
      <c r="P232" s="198"/>
      <c r="Q232" s="198"/>
      <c r="R232" s="198"/>
      <c r="S232" s="198"/>
      <c r="T232" s="220"/>
      <c r="U232" s="198"/>
      <c r="V232" s="198"/>
      <c r="W232" s="198"/>
      <c r="X232" s="198"/>
      <c r="Y232" s="198"/>
      <c r="Z232" s="198"/>
    </row>
    <row r="233" spans="7:26">
      <c r="G233" s="198"/>
      <c r="H233" s="198"/>
      <c r="I233" s="198"/>
      <c r="J233" s="198"/>
      <c r="K233" s="198"/>
      <c r="L233" s="198"/>
      <c r="M233" s="198"/>
      <c r="N233" s="198"/>
      <c r="O233" s="198"/>
      <c r="P233" s="198"/>
      <c r="Q233" s="198"/>
      <c r="R233" s="198"/>
      <c r="S233" s="198"/>
      <c r="T233" s="220"/>
      <c r="U233" s="198"/>
      <c r="V233" s="198"/>
      <c r="W233" s="198"/>
      <c r="X233" s="198"/>
      <c r="Y233" s="198"/>
      <c r="Z233" s="198"/>
    </row>
    <row r="234" spans="7:26">
      <c r="G234" s="198"/>
      <c r="H234" s="198"/>
      <c r="I234" s="198"/>
      <c r="J234" s="198"/>
      <c r="K234" s="198"/>
      <c r="L234" s="198"/>
      <c r="M234" s="198"/>
      <c r="N234" s="198"/>
      <c r="O234" s="198"/>
      <c r="P234" s="198"/>
      <c r="Q234" s="198"/>
      <c r="R234" s="198"/>
      <c r="S234" s="198"/>
      <c r="T234" s="220"/>
      <c r="U234" s="198"/>
      <c r="V234" s="198"/>
      <c r="W234" s="198"/>
      <c r="X234" s="198"/>
      <c r="Y234" s="198"/>
      <c r="Z234" s="198"/>
    </row>
    <row r="235" spans="7:26">
      <c r="G235" s="198"/>
      <c r="H235" s="198"/>
      <c r="I235" s="198"/>
      <c r="J235" s="198"/>
      <c r="K235" s="198"/>
      <c r="L235" s="198"/>
      <c r="M235" s="198"/>
      <c r="N235" s="198"/>
      <c r="O235" s="198"/>
      <c r="P235" s="198"/>
      <c r="Q235" s="198"/>
      <c r="R235" s="198"/>
      <c r="S235" s="198"/>
      <c r="T235" s="220"/>
      <c r="U235" s="198"/>
      <c r="V235" s="198"/>
      <c r="W235" s="198"/>
      <c r="X235" s="198"/>
      <c r="Y235" s="198"/>
      <c r="Z235" s="198"/>
    </row>
    <row r="236" spans="7:26">
      <c r="G236" s="198"/>
      <c r="H236" s="198"/>
      <c r="I236" s="198"/>
      <c r="J236" s="198"/>
      <c r="K236" s="198"/>
      <c r="L236" s="198"/>
      <c r="M236" s="198"/>
      <c r="N236" s="198"/>
      <c r="O236" s="198"/>
      <c r="P236" s="198"/>
      <c r="Q236" s="198"/>
      <c r="R236" s="198"/>
      <c r="S236" s="198"/>
      <c r="T236" s="220"/>
      <c r="U236" s="198"/>
      <c r="V236" s="198"/>
      <c r="W236" s="198"/>
      <c r="X236" s="198"/>
      <c r="Y236" s="198"/>
      <c r="Z236" s="198"/>
    </row>
    <row r="237" spans="7:26">
      <c r="G237" s="198"/>
      <c r="H237" s="198"/>
      <c r="I237" s="198"/>
      <c r="J237" s="198"/>
      <c r="K237" s="198"/>
      <c r="L237" s="198"/>
      <c r="M237" s="198"/>
      <c r="N237" s="198"/>
      <c r="O237" s="198"/>
      <c r="P237" s="198"/>
      <c r="Q237" s="198"/>
      <c r="R237" s="198"/>
      <c r="S237" s="198"/>
      <c r="T237" s="220"/>
      <c r="U237" s="198"/>
      <c r="V237" s="198"/>
      <c r="W237" s="198"/>
      <c r="X237" s="198"/>
      <c r="Y237" s="198"/>
      <c r="Z237" s="198"/>
    </row>
    <row r="238" spans="7:26">
      <c r="G238" s="198"/>
      <c r="H238" s="198"/>
      <c r="I238" s="198"/>
      <c r="J238" s="198"/>
      <c r="K238" s="198"/>
      <c r="L238" s="198"/>
      <c r="M238" s="198"/>
      <c r="N238" s="198"/>
      <c r="O238" s="198"/>
      <c r="P238" s="198"/>
      <c r="Q238" s="198"/>
      <c r="R238" s="198"/>
      <c r="S238" s="198"/>
      <c r="T238" s="220"/>
      <c r="U238" s="198"/>
      <c r="V238" s="198"/>
      <c r="W238" s="198"/>
      <c r="X238" s="198"/>
      <c r="Y238" s="198"/>
      <c r="Z238" s="198"/>
    </row>
    <row r="239" spans="7:26">
      <c r="G239" s="198"/>
      <c r="H239" s="198"/>
      <c r="I239" s="198"/>
      <c r="J239" s="198"/>
      <c r="K239" s="198"/>
      <c r="L239" s="198"/>
      <c r="M239" s="198"/>
      <c r="N239" s="198"/>
      <c r="O239" s="198"/>
      <c r="P239" s="198"/>
      <c r="Q239" s="198"/>
      <c r="R239" s="198"/>
      <c r="S239" s="198"/>
      <c r="T239" s="220"/>
      <c r="U239" s="198"/>
      <c r="V239" s="198"/>
      <c r="W239" s="198"/>
      <c r="X239" s="198"/>
      <c r="Y239" s="198"/>
      <c r="Z239" s="198"/>
    </row>
    <row r="240" spans="7:26">
      <c r="G240" s="198"/>
      <c r="H240" s="198"/>
      <c r="I240" s="198"/>
      <c r="J240" s="198"/>
      <c r="K240" s="198"/>
      <c r="L240" s="198"/>
      <c r="M240" s="198"/>
      <c r="N240" s="198"/>
      <c r="O240" s="198"/>
      <c r="P240" s="198"/>
      <c r="Q240" s="198"/>
      <c r="R240" s="198"/>
      <c r="S240" s="198"/>
      <c r="T240" s="220"/>
      <c r="U240" s="198"/>
      <c r="V240" s="198"/>
      <c r="W240" s="198"/>
      <c r="X240" s="198"/>
      <c r="Y240" s="198"/>
      <c r="Z240" s="198"/>
    </row>
    <row r="241" spans="7:26">
      <c r="G241" s="198"/>
      <c r="H241" s="198"/>
      <c r="I241" s="198"/>
      <c r="J241" s="198"/>
      <c r="K241" s="198"/>
      <c r="L241" s="198"/>
      <c r="M241" s="198"/>
      <c r="N241" s="198"/>
      <c r="O241" s="198"/>
      <c r="P241" s="198"/>
      <c r="Q241" s="198"/>
      <c r="R241" s="198"/>
      <c r="S241" s="198"/>
      <c r="T241" s="220"/>
      <c r="U241" s="198"/>
      <c r="V241" s="198"/>
      <c r="W241" s="198"/>
      <c r="X241" s="198"/>
      <c r="Y241" s="198"/>
      <c r="Z241" s="198"/>
    </row>
    <row r="242" spans="7:26">
      <c r="G242" s="198"/>
      <c r="H242" s="198"/>
      <c r="I242" s="198"/>
      <c r="J242" s="198"/>
      <c r="K242" s="198"/>
      <c r="L242" s="198"/>
      <c r="M242" s="198"/>
      <c r="N242" s="198"/>
      <c r="O242" s="198"/>
      <c r="P242" s="198"/>
      <c r="Q242" s="198"/>
      <c r="R242" s="198"/>
      <c r="S242" s="198"/>
      <c r="T242" s="220"/>
      <c r="U242" s="198"/>
      <c r="V242" s="198"/>
      <c r="W242" s="198"/>
      <c r="X242" s="198"/>
      <c r="Y242" s="198"/>
      <c r="Z242" s="198"/>
    </row>
    <row r="243" spans="7:26">
      <c r="G243" s="198"/>
      <c r="H243" s="198"/>
      <c r="I243" s="198"/>
      <c r="J243" s="198"/>
      <c r="K243" s="198"/>
      <c r="L243" s="198"/>
      <c r="M243" s="198"/>
      <c r="N243" s="198"/>
      <c r="O243" s="198"/>
      <c r="P243" s="198"/>
      <c r="Q243" s="198"/>
      <c r="R243" s="198"/>
      <c r="S243" s="198"/>
      <c r="T243" s="220"/>
      <c r="U243" s="198"/>
      <c r="V243" s="198"/>
      <c r="W243" s="198"/>
      <c r="X243" s="198"/>
      <c r="Y243" s="198"/>
      <c r="Z243" s="198"/>
    </row>
    <row r="244" spans="7:26">
      <c r="G244" s="198"/>
      <c r="H244" s="198"/>
      <c r="I244" s="198"/>
      <c r="J244" s="198"/>
      <c r="K244" s="198"/>
      <c r="L244" s="198"/>
      <c r="M244" s="198"/>
      <c r="N244" s="198"/>
      <c r="O244" s="198"/>
      <c r="P244" s="198"/>
      <c r="Q244" s="198"/>
      <c r="R244" s="198"/>
      <c r="S244" s="198"/>
      <c r="T244" s="220"/>
      <c r="U244" s="198"/>
      <c r="V244" s="198"/>
      <c r="W244" s="198"/>
      <c r="X244" s="198"/>
      <c r="Y244" s="198"/>
      <c r="Z244" s="198"/>
    </row>
    <row r="245" spans="7:26">
      <c r="G245" s="198"/>
      <c r="H245" s="198"/>
      <c r="I245" s="198"/>
      <c r="J245" s="198"/>
      <c r="K245" s="198"/>
      <c r="L245" s="198"/>
      <c r="M245" s="198"/>
      <c r="N245" s="198"/>
      <c r="O245" s="198"/>
      <c r="P245" s="198"/>
      <c r="Q245" s="198"/>
      <c r="R245" s="198"/>
      <c r="S245" s="198"/>
      <c r="T245" s="220"/>
      <c r="U245" s="198"/>
      <c r="V245" s="198"/>
      <c r="W245" s="198"/>
      <c r="X245" s="198"/>
      <c r="Y245" s="198"/>
      <c r="Z245" s="198"/>
    </row>
    <row r="246" spans="7:26">
      <c r="G246" s="198"/>
      <c r="H246" s="198"/>
      <c r="I246" s="198"/>
      <c r="J246" s="198"/>
      <c r="K246" s="198"/>
      <c r="L246" s="198"/>
      <c r="M246" s="198"/>
      <c r="N246" s="198"/>
      <c r="O246" s="198"/>
      <c r="P246" s="198"/>
      <c r="Q246" s="198"/>
      <c r="R246" s="198"/>
      <c r="S246" s="198"/>
      <c r="T246" s="220"/>
      <c r="U246" s="198"/>
      <c r="V246" s="198"/>
      <c r="W246" s="198"/>
      <c r="X246" s="198"/>
      <c r="Y246" s="198"/>
      <c r="Z246" s="198"/>
    </row>
    <row r="247" spans="7:26">
      <c r="G247" s="198"/>
      <c r="H247" s="198"/>
      <c r="I247" s="198"/>
      <c r="J247" s="198"/>
      <c r="K247" s="198"/>
      <c r="L247" s="198"/>
      <c r="M247" s="198"/>
      <c r="N247" s="198"/>
      <c r="O247" s="198"/>
      <c r="P247" s="198"/>
      <c r="Q247" s="198"/>
      <c r="R247" s="198"/>
      <c r="S247" s="198"/>
      <c r="T247" s="220"/>
      <c r="U247" s="198"/>
      <c r="V247" s="198"/>
      <c r="W247" s="198"/>
      <c r="X247" s="198"/>
      <c r="Y247" s="198"/>
      <c r="Z247" s="198"/>
    </row>
    <row r="248" spans="7:26">
      <c r="G248" s="198"/>
      <c r="H248" s="198"/>
      <c r="I248" s="198"/>
      <c r="J248" s="198"/>
      <c r="K248" s="198"/>
      <c r="L248" s="198"/>
      <c r="M248" s="198"/>
      <c r="N248" s="198"/>
      <c r="O248" s="198"/>
      <c r="P248" s="198"/>
      <c r="Q248" s="198"/>
      <c r="R248" s="198"/>
      <c r="S248" s="198"/>
      <c r="T248" s="220"/>
      <c r="U248" s="198"/>
      <c r="V248" s="198"/>
      <c r="W248" s="198"/>
      <c r="X248" s="198"/>
      <c r="Y248" s="198"/>
      <c r="Z248" s="198"/>
    </row>
    <row r="249" spans="7:26">
      <c r="G249" s="198"/>
      <c r="H249" s="198"/>
      <c r="I249" s="198"/>
      <c r="J249" s="198"/>
      <c r="K249" s="198"/>
      <c r="L249" s="198"/>
      <c r="M249" s="198"/>
      <c r="N249" s="198"/>
      <c r="O249" s="198"/>
      <c r="P249" s="198"/>
      <c r="Q249" s="198"/>
      <c r="R249" s="198"/>
      <c r="S249" s="198"/>
      <c r="T249" s="220"/>
      <c r="U249" s="198"/>
      <c r="V249" s="198"/>
      <c r="W249" s="198"/>
      <c r="X249" s="198"/>
      <c r="Y249" s="198"/>
      <c r="Z249" s="198"/>
    </row>
    <row r="250" spans="7:26">
      <c r="G250" s="198"/>
      <c r="H250" s="198"/>
      <c r="I250" s="198"/>
      <c r="J250" s="198"/>
      <c r="K250" s="198"/>
      <c r="L250" s="198"/>
      <c r="M250" s="198"/>
      <c r="N250" s="198"/>
      <c r="O250" s="198"/>
      <c r="P250" s="198"/>
      <c r="Q250" s="198"/>
      <c r="R250" s="198"/>
      <c r="S250" s="198"/>
      <c r="T250" s="220"/>
      <c r="U250" s="198"/>
      <c r="V250" s="198"/>
      <c r="W250" s="198"/>
      <c r="X250" s="198"/>
      <c r="Y250" s="198"/>
      <c r="Z250" s="198"/>
    </row>
    <row r="251" spans="7:26">
      <c r="G251" s="198"/>
      <c r="H251" s="198"/>
      <c r="I251" s="198"/>
      <c r="J251" s="198"/>
      <c r="K251" s="198"/>
      <c r="L251" s="198"/>
      <c r="M251" s="198"/>
      <c r="N251" s="198"/>
      <c r="O251" s="198"/>
      <c r="P251" s="198"/>
      <c r="Q251" s="198"/>
      <c r="R251" s="198"/>
      <c r="S251" s="198"/>
      <c r="T251" s="220"/>
      <c r="U251" s="198"/>
      <c r="V251" s="198"/>
      <c r="W251" s="198"/>
      <c r="X251" s="198"/>
      <c r="Y251" s="198"/>
      <c r="Z251" s="198"/>
    </row>
    <row r="252" spans="7:26">
      <c r="G252" s="198"/>
      <c r="H252" s="198"/>
      <c r="I252" s="198"/>
      <c r="J252" s="198"/>
      <c r="K252" s="198"/>
      <c r="L252" s="198"/>
      <c r="M252" s="198"/>
      <c r="N252" s="198"/>
      <c r="O252" s="198"/>
      <c r="P252" s="198"/>
      <c r="Q252" s="198"/>
      <c r="R252" s="198"/>
      <c r="S252" s="198"/>
      <c r="T252" s="220"/>
      <c r="U252" s="198"/>
      <c r="V252" s="198"/>
      <c r="W252" s="198"/>
      <c r="X252" s="198"/>
      <c r="Y252" s="198"/>
      <c r="Z252" s="198"/>
    </row>
    <row r="253" spans="7:26">
      <c r="G253" s="198"/>
      <c r="H253" s="198"/>
      <c r="I253" s="198"/>
      <c r="J253" s="198"/>
      <c r="K253" s="198"/>
      <c r="L253" s="198"/>
      <c r="M253" s="198"/>
      <c r="N253" s="198"/>
      <c r="O253" s="198"/>
      <c r="P253" s="198"/>
      <c r="Q253" s="198"/>
      <c r="R253" s="198"/>
      <c r="S253" s="198"/>
      <c r="T253" s="220"/>
      <c r="U253" s="198"/>
      <c r="V253" s="198"/>
      <c r="W253" s="198"/>
      <c r="X253" s="198"/>
      <c r="Y253" s="198"/>
      <c r="Z253" s="198"/>
    </row>
    <row r="254" spans="7:26">
      <c r="G254" s="198"/>
      <c r="H254" s="198"/>
      <c r="I254" s="198"/>
      <c r="J254" s="198"/>
      <c r="K254" s="198"/>
      <c r="L254" s="198"/>
      <c r="M254" s="198"/>
      <c r="N254" s="198"/>
      <c r="O254" s="198"/>
      <c r="P254" s="198"/>
      <c r="Q254" s="198"/>
      <c r="R254" s="198"/>
      <c r="S254" s="198"/>
      <c r="T254" s="220"/>
      <c r="U254" s="198"/>
      <c r="V254" s="198"/>
      <c r="W254" s="198"/>
      <c r="X254" s="198"/>
      <c r="Y254" s="198"/>
      <c r="Z254" s="198"/>
    </row>
    <row r="255" spans="7:26">
      <c r="G255" s="198"/>
      <c r="H255" s="198"/>
      <c r="I255" s="198"/>
      <c r="J255" s="198"/>
      <c r="K255" s="198"/>
      <c r="L255" s="198"/>
      <c r="M255" s="198"/>
      <c r="N255" s="198"/>
      <c r="O255" s="198"/>
      <c r="P255" s="198"/>
      <c r="Q255" s="198"/>
      <c r="R255" s="198"/>
      <c r="S255" s="198"/>
      <c r="T255" s="220"/>
      <c r="U255" s="198"/>
      <c r="V255" s="198"/>
      <c r="W255" s="198"/>
      <c r="X255" s="198"/>
      <c r="Y255" s="198"/>
      <c r="Z255" s="198"/>
    </row>
    <row r="256" spans="7:26">
      <c r="G256" s="198"/>
      <c r="H256" s="198"/>
      <c r="I256" s="198"/>
      <c r="J256" s="198"/>
      <c r="K256" s="198"/>
      <c r="L256" s="198"/>
      <c r="M256" s="198"/>
      <c r="N256" s="198"/>
      <c r="O256" s="198"/>
      <c r="P256" s="198"/>
      <c r="Q256" s="198"/>
      <c r="R256" s="198"/>
      <c r="S256" s="198"/>
      <c r="T256" s="220"/>
      <c r="U256" s="198"/>
      <c r="V256" s="198"/>
      <c r="W256" s="198"/>
      <c r="X256" s="198"/>
      <c r="Y256" s="198"/>
      <c r="Z256" s="198"/>
    </row>
    <row r="257" spans="7:26">
      <c r="G257" s="198"/>
      <c r="H257" s="198"/>
      <c r="I257" s="198"/>
      <c r="J257" s="198"/>
      <c r="K257" s="198"/>
      <c r="L257" s="198"/>
      <c r="M257" s="198"/>
      <c r="N257" s="198"/>
      <c r="O257" s="198"/>
      <c r="P257" s="198"/>
      <c r="Q257" s="198"/>
      <c r="R257" s="198"/>
      <c r="S257" s="198"/>
      <c r="T257" s="220"/>
      <c r="U257" s="198"/>
      <c r="V257" s="198"/>
      <c r="W257" s="198"/>
      <c r="X257" s="198"/>
      <c r="Y257" s="198"/>
      <c r="Z257" s="198"/>
    </row>
    <row r="258" spans="7:26">
      <c r="G258" s="198"/>
      <c r="H258" s="198"/>
      <c r="I258" s="198"/>
      <c r="J258" s="198"/>
      <c r="K258" s="198"/>
      <c r="L258" s="198"/>
      <c r="M258" s="198"/>
      <c r="N258" s="198"/>
      <c r="O258" s="198"/>
      <c r="P258" s="198"/>
      <c r="Q258" s="198"/>
      <c r="R258" s="198"/>
      <c r="S258" s="198"/>
      <c r="T258" s="220"/>
      <c r="U258" s="198"/>
      <c r="V258" s="198"/>
      <c r="W258" s="198"/>
      <c r="X258" s="198"/>
      <c r="Y258" s="198"/>
      <c r="Z258" s="198"/>
    </row>
    <row r="259" spans="7:26">
      <c r="G259" s="198"/>
      <c r="H259" s="198"/>
      <c r="I259" s="198"/>
      <c r="J259" s="198"/>
      <c r="K259" s="198"/>
      <c r="L259" s="198"/>
      <c r="M259" s="198"/>
      <c r="N259" s="198"/>
      <c r="O259" s="198"/>
      <c r="P259" s="198"/>
      <c r="Q259" s="198"/>
      <c r="R259" s="198"/>
      <c r="S259" s="198"/>
      <c r="T259" s="220"/>
      <c r="U259" s="198"/>
      <c r="V259" s="198"/>
      <c r="W259" s="198"/>
      <c r="X259" s="198"/>
      <c r="Y259" s="198"/>
      <c r="Z259" s="198"/>
    </row>
    <row r="260" spans="7:26">
      <c r="G260" s="198"/>
      <c r="H260" s="198"/>
      <c r="I260" s="198"/>
      <c r="J260" s="198"/>
      <c r="K260" s="198"/>
      <c r="L260" s="198"/>
      <c r="M260" s="198"/>
      <c r="N260" s="198"/>
      <c r="O260" s="198"/>
      <c r="P260" s="198"/>
      <c r="Q260" s="198"/>
      <c r="R260" s="198"/>
      <c r="S260" s="198"/>
      <c r="T260" s="220"/>
      <c r="U260" s="198"/>
      <c r="V260" s="198"/>
      <c r="W260" s="198"/>
      <c r="X260" s="198"/>
      <c r="Y260" s="198"/>
      <c r="Z260" s="198"/>
    </row>
    <row r="261" spans="7:26">
      <c r="G261" s="198"/>
      <c r="H261" s="198"/>
      <c r="I261" s="198"/>
      <c r="J261" s="198"/>
      <c r="K261" s="198"/>
      <c r="L261" s="198"/>
      <c r="M261" s="198"/>
      <c r="N261" s="198"/>
      <c r="O261" s="198"/>
      <c r="P261" s="198"/>
      <c r="Q261" s="198"/>
      <c r="R261" s="198"/>
      <c r="S261" s="198"/>
      <c r="T261" s="220"/>
      <c r="U261" s="198"/>
      <c r="V261" s="198"/>
      <c r="W261" s="198"/>
      <c r="X261" s="198"/>
      <c r="Y261" s="198"/>
      <c r="Z261" s="198"/>
    </row>
    <row r="262" spans="7:26">
      <c r="G262" s="198"/>
      <c r="H262" s="198"/>
      <c r="I262" s="198"/>
      <c r="J262" s="198"/>
      <c r="K262" s="198"/>
      <c r="L262" s="198"/>
      <c r="M262" s="198"/>
      <c r="N262" s="198"/>
      <c r="O262" s="198"/>
      <c r="P262" s="198"/>
      <c r="Q262" s="198"/>
      <c r="R262" s="198"/>
      <c r="S262" s="198"/>
      <c r="T262" s="220"/>
      <c r="U262" s="198"/>
      <c r="V262" s="198"/>
      <c r="W262" s="198"/>
      <c r="X262" s="198"/>
      <c r="Y262" s="198"/>
      <c r="Z262" s="198"/>
    </row>
    <row r="263" spans="7:26">
      <c r="G263" s="198"/>
      <c r="H263" s="198"/>
      <c r="I263" s="198"/>
      <c r="J263" s="198"/>
      <c r="K263" s="198"/>
      <c r="L263" s="198"/>
      <c r="M263" s="198"/>
      <c r="N263" s="198"/>
      <c r="O263" s="198"/>
      <c r="P263" s="198"/>
      <c r="Q263" s="198"/>
      <c r="R263" s="198"/>
      <c r="S263" s="198"/>
      <c r="T263" s="220"/>
      <c r="U263" s="198"/>
      <c r="V263" s="198"/>
      <c r="W263" s="198"/>
      <c r="X263" s="198"/>
      <c r="Y263" s="198"/>
      <c r="Z263" s="198"/>
    </row>
    <row r="264" spans="7:26">
      <c r="G264" s="198"/>
      <c r="H264" s="198"/>
      <c r="I264" s="198"/>
      <c r="J264" s="198"/>
      <c r="K264" s="198"/>
      <c r="L264" s="198"/>
      <c r="M264" s="198"/>
      <c r="N264" s="198"/>
      <c r="O264" s="198"/>
      <c r="P264" s="198"/>
      <c r="Q264" s="198"/>
      <c r="R264" s="198"/>
      <c r="S264" s="198"/>
      <c r="T264" s="220"/>
      <c r="U264" s="198"/>
      <c r="V264" s="198"/>
      <c r="W264" s="198"/>
      <c r="X264" s="198"/>
      <c r="Y264" s="198"/>
      <c r="Z264" s="198"/>
    </row>
    <row r="265" spans="7:26">
      <c r="G265" s="198"/>
      <c r="H265" s="198"/>
      <c r="I265" s="198"/>
      <c r="J265" s="198"/>
      <c r="K265" s="198"/>
      <c r="L265" s="198"/>
      <c r="M265" s="198"/>
      <c r="N265" s="198"/>
      <c r="O265" s="198"/>
      <c r="P265" s="198"/>
      <c r="Q265" s="198"/>
      <c r="R265" s="198"/>
      <c r="S265" s="198"/>
      <c r="T265" s="220"/>
      <c r="U265" s="198"/>
      <c r="V265" s="198"/>
      <c r="W265" s="198"/>
      <c r="X265" s="198"/>
      <c r="Y265" s="198"/>
      <c r="Z265" s="198"/>
    </row>
    <row r="266" spans="7:26">
      <c r="G266" s="198"/>
      <c r="H266" s="198"/>
      <c r="I266" s="198"/>
      <c r="J266" s="198"/>
      <c r="K266" s="198"/>
      <c r="L266" s="198"/>
      <c r="M266" s="198"/>
      <c r="N266" s="198"/>
      <c r="O266" s="198"/>
      <c r="P266" s="198"/>
      <c r="Q266" s="198"/>
      <c r="R266" s="198"/>
      <c r="S266" s="198"/>
      <c r="T266" s="220"/>
      <c r="U266" s="198"/>
      <c r="V266" s="198"/>
      <c r="W266" s="198"/>
      <c r="X266" s="198"/>
      <c r="Y266" s="198"/>
      <c r="Z266" s="198"/>
    </row>
    <row r="267" spans="7:26">
      <c r="G267" s="198"/>
      <c r="H267" s="198"/>
      <c r="I267" s="198"/>
      <c r="J267" s="198"/>
      <c r="K267" s="198"/>
      <c r="L267" s="198"/>
      <c r="M267" s="198"/>
      <c r="N267" s="198"/>
      <c r="O267" s="198"/>
      <c r="P267" s="198"/>
      <c r="Q267" s="198"/>
      <c r="R267" s="198"/>
      <c r="S267" s="198"/>
      <c r="T267" s="220"/>
      <c r="U267" s="198"/>
      <c r="V267" s="198"/>
      <c r="W267" s="198"/>
      <c r="X267" s="198"/>
      <c r="Y267" s="198"/>
      <c r="Z267" s="198"/>
    </row>
    <row r="268" spans="7:26">
      <c r="G268" s="198"/>
      <c r="H268" s="198"/>
      <c r="I268" s="198"/>
      <c r="J268" s="198"/>
      <c r="K268" s="198"/>
      <c r="L268" s="198"/>
      <c r="M268" s="198"/>
      <c r="N268" s="198"/>
      <c r="O268" s="198"/>
      <c r="P268" s="198"/>
      <c r="Q268" s="198"/>
      <c r="R268" s="198"/>
      <c r="S268" s="198"/>
      <c r="T268" s="220"/>
      <c r="U268" s="198"/>
      <c r="V268" s="198"/>
      <c r="W268" s="198"/>
      <c r="X268" s="198"/>
      <c r="Y268" s="198"/>
      <c r="Z268" s="198"/>
    </row>
    <row r="269" spans="7:26">
      <c r="G269" s="198"/>
      <c r="H269" s="198"/>
      <c r="I269" s="198"/>
      <c r="J269" s="198"/>
      <c r="K269" s="198"/>
      <c r="L269" s="198"/>
      <c r="M269" s="198"/>
      <c r="N269" s="198"/>
      <c r="O269" s="198"/>
      <c r="P269" s="198"/>
      <c r="Q269" s="198"/>
      <c r="R269" s="198"/>
      <c r="S269" s="198"/>
      <c r="T269" s="220"/>
      <c r="U269" s="198"/>
      <c r="V269" s="198"/>
      <c r="W269" s="198"/>
      <c r="X269" s="198"/>
      <c r="Y269" s="198"/>
      <c r="Z269" s="198"/>
    </row>
    <row r="270" spans="7:26">
      <c r="G270" s="198"/>
      <c r="H270" s="198"/>
      <c r="I270" s="198"/>
      <c r="J270" s="198"/>
      <c r="K270" s="198"/>
      <c r="L270" s="198"/>
      <c r="M270" s="198"/>
      <c r="N270" s="198"/>
      <c r="O270" s="198"/>
      <c r="P270" s="198"/>
      <c r="Q270" s="198"/>
      <c r="R270" s="198"/>
      <c r="S270" s="198"/>
      <c r="T270" s="220"/>
      <c r="U270" s="198"/>
      <c r="V270" s="198"/>
      <c r="W270" s="198"/>
      <c r="X270" s="198"/>
      <c r="Y270" s="198"/>
      <c r="Z270" s="198"/>
    </row>
    <row r="271" spans="7:26">
      <c r="G271" s="198"/>
      <c r="H271" s="198"/>
      <c r="I271" s="198"/>
      <c r="J271" s="198"/>
      <c r="K271" s="198"/>
      <c r="L271" s="198"/>
      <c r="M271" s="198"/>
      <c r="N271" s="198"/>
      <c r="O271" s="198"/>
      <c r="P271" s="198"/>
      <c r="Q271" s="198"/>
      <c r="R271" s="198"/>
      <c r="S271" s="198"/>
      <c r="T271" s="220"/>
      <c r="U271" s="198"/>
      <c r="V271" s="198"/>
      <c r="W271" s="198"/>
      <c r="X271" s="198"/>
      <c r="Y271" s="198"/>
      <c r="Z271" s="198"/>
    </row>
    <row r="272" spans="7:26">
      <c r="G272" s="198"/>
      <c r="H272" s="198"/>
      <c r="I272" s="198"/>
      <c r="J272" s="198"/>
      <c r="K272" s="198"/>
      <c r="L272" s="198"/>
      <c r="M272" s="198"/>
      <c r="N272" s="198"/>
      <c r="O272" s="198"/>
      <c r="P272" s="198"/>
      <c r="Q272" s="198"/>
      <c r="R272" s="198"/>
      <c r="S272" s="198"/>
      <c r="T272" s="220"/>
      <c r="U272" s="198"/>
      <c r="V272" s="198"/>
      <c r="W272" s="198"/>
      <c r="X272" s="198"/>
      <c r="Y272" s="198"/>
      <c r="Z272" s="198"/>
    </row>
    <row r="273" spans="7:26">
      <c r="G273" s="198"/>
      <c r="H273" s="198"/>
      <c r="I273" s="198"/>
      <c r="J273" s="198"/>
      <c r="K273" s="198"/>
      <c r="L273" s="198"/>
      <c r="M273" s="198"/>
      <c r="N273" s="198"/>
      <c r="O273" s="198"/>
      <c r="P273" s="198"/>
      <c r="Q273" s="198"/>
      <c r="R273" s="198"/>
      <c r="S273" s="198"/>
      <c r="T273" s="220"/>
      <c r="U273" s="198"/>
      <c r="V273" s="198"/>
      <c r="W273" s="198"/>
      <c r="X273" s="198"/>
      <c r="Y273" s="198"/>
      <c r="Z273" s="198"/>
    </row>
    <row r="274" spans="7:26">
      <c r="G274" s="198"/>
      <c r="H274" s="198"/>
      <c r="I274" s="198"/>
      <c r="J274" s="198"/>
      <c r="K274" s="198"/>
      <c r="L274" s="198"/>
      <c r="M274" s="198"/>
      <c r="N274" s="198"/>
      <c r="O274" s="198"/>
      <c r="P274" s="198"/>
      <c r="Q274" s="198"/>
      <c r="R274" s="198"/>
      <c r="S274" s="198"/>
      <c r="T274" s="220"/>
      <c r="U274" s="198"/>
      <c r="V274" s="198"/>
      <c r="W274" s="198"/>
      <c r="X274" s="198"/>
      <c r="Y274" s="198"/>
      <c r="Z274" s="198"/>
    </row>
    <row r="275" spans="7:26">
      <c r="G275" s="198"/>
      <c r="H275" s="198"/>
      <c r="I275" s="198"/>
      <c r="J275" s="198"/>
      <c r="K275" s="198"/>
      <c r="L275" s="198"/>
      <c r="M275" s="198"/>
      <c r="N275" s="198"/>
      <c r="O275" s="198"/>
      <c r="P275" s="198"/>
      <c r="Q275" s="198"/>
      <c r="R275" s="198"/>
      <c r="S275" s="198"/>
      <c r="T275" s="220"/>
      <c r="U275" s="198"/>
      <c r="V275" s="198"/>
      <c r="W275" s="198"/>
      <c r="X275" s="198"/>
      <c r="Y275" s="198"/>
      <c r="Z275" s="198"/>
    </row>
    <row r="276" spans="7:26">
      <c r="G276" s="198"/>
      <c r="H276" s="198"/>
      <c r="I276" s="198"/>
      <c r="J276" s="198"/>
      <c r="K276" s="198"/>
      <c r="L276" s="198"/>
      <c r="M276" s="198"/>
      <c r="N276" s="198"/>
      <c r="O276" s="198"/>
      <c r="P276" s="198"/>
      <c r="Q276" s="198"/>
      <c r="R276" s="198"/>
      <c r="S276" s="198"/>
      <c r="T276" s="220"/>
      <c r="U276" s="198"/>
      <c r="V276" s="198"/>
      <c r="W276" s="198"/>
      <c r="X276" s="198"/>
      <c r="Y276" s="198"/>
      <c r="Z276" s="198"/>
    </row>
    <row r="277" spans="7:26">
      <c r="G277" s="198"/>
      <c r="H277" s="198"/>
      <c r="I277" s="198"/>
      <c r="J277" s="198"/>
      <c r="K277" s="198"/>
      <c r="L277" s="198"/>
      <c r="M277" s="198"/>
      <c r="N277" s="198"/>
      <c r="O277" s="198"/>
      <c r="P277" s="198"/>
      <c r="Q277" s="198"/>
      <c r="R277" s="198"/>
      <c r="S277" s="198"/>
      <c r="T277" s="220"/>
      <c r="U277" s="198"/>
      <c r="V277" s="198"/>
      <c r="W277" s="198"/>
      <c r="X277" s="198"/>
      <c r="Y277" s="198"/>
      <c r="Z277" s="198"/>
    </row>
    <row r="278" spans="7:26">
      <c r="G278" s="198"/>
      <c r="H278" s="198"/>
      <c r="I278" s="198"/>
      <c r="J278" s="198"/>
      <c r="K278" s="198"/>
      <c r="L278" s="198"/>
      <c r="M278" s="198"/>
      <c r="N278" s="198"/>
      <c r="O278" s="198"/>
      <c r="P278" s="198"/>
      <c r="Q278" s="198"/>
      <c r="R278" s="198"/>
      <c r="S278" s="198"/>
      <c r="T278" s="220"/>
      <c r="U278" s="198"/>
      <c r="V278" s="198"/>
      <c r="W278" s="198"/>
      <c r="X278" s="198"/>
      <c r="Y278" s="198"/>
      <c r="Z278" s="198"/>
    </row>
    <row r="279" spans="7:26">
      <c r="G279" s="198"/>
      <c r="H279" s="198"/>
      <c r="I279" s="198"/>
      <c r="J279" s="198"/>
      <c r="K279" s="198"/>
      <c r="L279" s="198"/>
      <c r="M279" s="198"/>
      <c r="N279" s="198"/>
      <c r="O279" s="198"/>
      <c r="P279" s="198"/>
      <c r="Q279" s="198"/>
      <c r="R279" s="198"/>
      <c r="S279" s="198"/>
      <c r="T279" s="220"/>
      <c r="U279" s="198"/>
      <c r="V279" s="198"/>
      <c r="W279" s="198"/>
      <c r="X279" s="198"/>
      <c r="Y279" s="198"/>
      <c r="Z279" s="198"/>
    </row>
    <row r="280" spans="7:26">
      <c r="G280" s="198"/>
      <c r="H280" s="198"/>
      <c r="I280" s="198"/>
      <c r="J280" s="198"/>
      <c r="K280" s="198"/>
      <c r="L280" s="198"/>
      <c r="M280" s="198"/>
      <c r="N280" s="198"/>
      <c r="O280" s="198"/>
      <c r="P280" s="198"/>
      <c r="Q280" s="198"/>
      <c r="R280" s="198"/>
      <c r="S280" s="198"/>
      <c r="T280" s="220"/>
      <c r="U280" s="198"/>
      <c r="V280" s="198"/>
      <c r="W280" s="198"/>
      <c r="X280" s="198"/>
      <c r="Y280" s="198"/>
      <c r="Z280" s="198"/>
    </row>
    <row r="281" spans="7:26">
      <c r="G281" s="198"/>
      <c r="H281" s="198"/>
      <c r="I281" s="198"/>
      <c r="J281" s="198"/>
      <c r="K281" s="198"/>
      <c r="L281" s="198"/>
      <c r="M281" s="198"/>
      <c r="N281" s="198"/>
      <c r="O281" s="198"/>
      <c r="P281" s="198"/>
      <c r="Q281" s="198"/>
      <c r="R281" s="198"/>
      <c r="S281" s="198"/>
      <c r="T281" s="220"/>
      <c r="U281" s="198"/>
      <c r="V281" s="198"/>
      <c r="W281" s="198"/>
      <c r="X281" s="198"/>
      <c r="Y281" s="198"/>
      <c r="Z281" s="198"/>
    </row>
    <row r="282" spans="7:26">
      <c r="G282" s="198"/>
      <c r="H282" s="198"/>
      <c r="I282" s="198"/>
      <c r="J282" s="198"/>
      <c r="K282" s="198"/>
      <c r="L282" s="198"/>
      <c r="M282" s="198"/>
      <c r="N282" s="198"/>
      <c r="O282" s="198"/>
      <c r="P282" s="198"/>
      <c r="Q282" s="198"/>
      <c r="R282" s="198"/>
      <c r="S282" s="198"/>
      <c r="T282" s="220"/>
      <c r="U282" s="198"/>
      <c r="V282" s="198"/>
      <c r="W282" s="198"/>
      <c r="X282" s="198"/>
      <c r="Y282" s="198"/>
      <c r="Z282" s="198"/>
    </row>
    <row r="283" spans="7:26">
      <c r="G283" s="198"/>
      <c r="H283" s="198"/>
      <c r="I283" s="198"/>
      <c r="J283" s="198"/>
      <c r="K283" s="198"/>
      <c r="L283" s="198"/>
      <c r="M283" s="198"/>
      <c r="N283" s="198"/>
      <c r="O283" s="198"/>
      <c r="P283" s="198"/>
      <c r="Q283" s="198"/>
      <c r="R283" s="198"/>
      <c r="S283" s="198"/>
      <c r="T283" s="220"/>
      <c r="U283" s="198"/>
      <c r="V283" s="198"/>
      <c r="W283" s="198"/>
      <c r="X283" s="198"/>
      <c r="Y283" s="198"/>
      <c r="Z283" s="198"/>
    </row>
    <row r="284" spans="7:26">
      <c r="G284" s="198"/>
      <c r="H284" s="198"/>
      <c r="I284" s="198"/>
      <c r="J284" s="198"/>
      <c r="K284" s="198"/>
      <c r="L284" s="198"/>
      <c r="M284" s="198"/>
      <c r="N284" s="198"/>
      <c r="O284" s="198"/>
      <c r="P284" s="198"/>
      <c r="Q284" s="198"/>
      <c r="R284" s="198"/>
      <c r="S284" s="198"/>
      <c r="T284" s="220"/>
      <c r="U284" s="198"/>
      <c r="V284" s="198"/>
      <c r="W284" s="198"/>
      <c r="X284" s="198"/>
      <c r="Y284" s="198"/>
      <c r="Z284" s="198"/>
    </row>
    <row r="285" spans="7:26">
      <c r="G285" s="198"/>
      <c r="H285" s="198"/>
      <c r="I285" s="198"/>
      <c r="J285" s="198"/>
      <c r="K285" s="198"/>
      <c r="L285" s="198"/>
      <c r="M285" s="198"/>
      <c r="N285" s="198"/>
      <c r="O285" s="198"/>
      <c r="P285" s="198"/>
      <c r="Q285" s="198"/>
      <c r="R285" s="198"/>
      <c r="S285" s="198"/>
      <c r="T285" s="220"/>
      <c r="U285" s="198"/>
      <c r="V285" s="198"/>
      <c r="W285" s="198"/>
      <c r="X285" s="198"/>
      <c r="Y285" s="198"/>
      <c r="Z285" s="198"/>
    </row>
    <row r="286" spans="7:26">
      <c r="G286" s="198"/>
      <c r="H286" s="198"/>
      <c r="I286" s="198"/>
      <c r="J286" s="198"/>
      <c r="K286" s="198"/>
      <c r="L286" s="198"/>
      <c r="M286" s="198"/>
      <c r="N286" s="198"/>
      <c r="O286" s="198"/>
      <c r="P286" s="198"/>
      <c r="Q286" s="198"/>
      <c r="R286" s="198"/>
      <c r="S286" s="198"/>
      <c r="T286" s="220"/>
      <c r="U286" s="198"/>
      <c r="V286" s="198"/>
      <c r="W286" s="198"/>
      <c r="X286" s="198"/>
      <c r="Y286" s="198"/>
      <c r="Z286" s="198"/>
    </row>
    <row r="287" spans="7:26">
      <c r="G287" s="198"/>
      <c r="H287" s="198"/>
      <c r="I287" s="198"/>
      <c r="J287" s="198"/>
      <c r="K287" s="198"/>
      <c r="L287" s="198"/>
      <c r="M287" s="198"/>
      <c r="N287" s="198"/>
      <c r="O287" s="198"/>
      <c r="P287" s="198"/>
      <c r="Q287" s="198"/>
      <c r="R287" s="198"/>
      <c r="S287" s="198"/>
      <c r="T287" s="220"/>
      <c r="U287" s="198"/>
      <c r="V287" s="198"/>
      <c r="W287" s="198"/>
      <c r="X287" s="198"/>
      <c r="Y287" s="198"/>
      <c r="Z287" s="198"/>
    </row>
    <row r="288" spans="7:26">
      <c r="G288" s="198"/>
      <c r="H288" s="198"/>
      <c r="I288" s="198"/>
      <c r="J288" s="198"/>
      <c r="K288" s="198"/>
      <c r="L288" s="198"/>
      <c r="M288" s="198"/>
      <c r="N288" s="198"/>
      <c r="O288" s="198"/>
      <c r="P288" s="198"/>
      <c r="Q288" s="198"/>
      <c r="R288" s="198"/>
      <c r="S288" s="198"/>
      <c r="T288" s="220"/>
      <c r="U288" s="198"/>
      <c r="V288" s="198"/>
      <c r="W288" s="198"/>
      <c r="X288" s="198"/>
      <c r="Y288" s="198"/>
      <c r="Z288" s="198"/>
    </row>
    <row r="289" spans="7:26">
      <c r="G289" s="198"/>
      <c r="H289" s="198"/>
      <c r="I289" s="198"/>
      <c r="J289" s="198"/>
      <c r="K289" s="198"/>
      <c r="L289" s="198"/>
      <c r="M289" s="198"/>
      <c r="N289" s="198"/>
      <c r="O289" s="198"/>
      <c r="P289" s="198"/>
      <c r="Q289" s="198"/>
      <c r="R289" s="198"/>
      <c r="S289" s="198"/>
      <c r="T289" s="220"/>
      <c r="U289" s="198"/>
      <c r="V289" s="198"/>
      <c r="W289" s="198"/>
      <c r="X289" s="198"/>
      <c r="Y289" s="198"/>
      <c r="Z289" s="198"/>
    </row>
    <row r="290" spans="7:26">
      <c r="G290" s="198"/>
      <c r="H290" s="198"/>
      <c r="I290" s="198"/>
      <c r="J290" s="198"/>
      <c r="K290" s="198"/>
      <c r="L290" s="198"/>
      <c r="M290" s="198"/>
      <c r="N290" s="198"/>
      <c r="O290" s="198"/>
      <c r="P290" s="198"/>
      <c r="Q290" s="198"/>
      <c r="R290" s="198"/>
      <c r="S290" s="198"/>
      <c r="T290" s="220"/>
      <c r="U290" s="198"/>
      <c r="V290" s="198"/>
      <c r="W290" s="198"/>
      <c r="X290" s="198"/>
      <c r="Y290" s="198"/>
      <c r="Z290" s="198"/>
    </row>
    <row r="291" spans="7:26">
      <c r="G291" s="198"/>
      <c r="H291" s="198"/>
      <c r="I291" s="198"/>
      <c r="J291" s="198"/>
      <c r="K291" s="198"/>
      <c r="L291" s="198"/>
      <c r="M291" s="198"/>
      <c r="N291" s="198"/>
      <c r="O291" s="198"/>
      <c r="P291" s="198"/>
      <c r="Q291" s="198"/>
      <c r="R291" s="198"/>
      <c r="S291" s="198"/>
      <c r="T291" s="220"/>
      <c r="U291" s="198"/>
      <c r="V291" s="198"/>
      <c r="W291" s="198"/>
      <c r="X291" s="198"/>
      <c r="Y291" s="198"/>
      <c r="Z291" s="198"/>
    </row>
    <row r="292" spans="7:26">
      <c r="G292" s="198"/>
      <c r="H292" s="198"/>
      <c r="I292" s="198"/>
      <c r="J292" s="198"/>
      <c r="K292" s="198"/>
      <c r="L292" s="198"/>
      <c r="M292" s="198"/>
      <c r="N292" s="198"/>
      <c r="O292" s="198"/>
      <c r="P292" s="198"/>
      <c r="Q292" s="198"/>
      <c r="R292" s="198"/>
      <c r="S292" s="198"/>
      <c r="T292" s="220"/>
      <c r="U292" s="198"/>
      <c r="V292" s="198"/>
      <c r="W292" s="198"/>
      <c r="X292" s="198"/>
      <c r="Y292" s="198"/>
      <c r="Z292" s="198"/>
    </row>
    <row r="293" spans="7:26">
      <c r="G293" s="198"/>
      <c r="H293" s="198"/>
      <c r="I293" s="198"/>
      <c r="J293" s="198"/>
      <c r="K293" s="198"/>
      <c r="L293" s="198"/>
      <c r="M293" s="198"/>
      <c r="N293" s="198"/>
      <c r="O293" s="198"/>
      <c r="P293" s="198"/>
      <c r="Q293" s="198"/>
      <c r="R293" s="198"/>
      <c r="S293" s="198"/>
      <c r="T293" s="220"/>
      <c r="U293" s="198"/>
      <c r="V293" s="198"/>
      <c r="W293" s="198"/>
      <c r="X293" s="198"/>
      <c r="Y293" s="198"/>
      <c r="Z293" s="198"/>
    </row>
    <row r="294" spans="7:26">
      <c r="G294" s="198"/>
      <c r="H294" s="198"/>
      <c r="I294" s="198"/>
      <c r="J294" s="198"/>
      <c r="K294" s="198"/>
      <c r="L294" s="198"/>
      <c r="M294" s="198"/>
      <c r="N294" s="198"/>
      <c r="O294" s="198"/>
      <c r="P294" s="198"/>
      <c r="Q294" s="198"/>
      <c r="R294" s="198"/>
      <c r="S294" s="198"/>
      <c r="T294" s="220"/>
      <c r="U294" s="198"/>
      <c r="V294" s="198"/>
      <c r="W294" s="198"/>
      <c r="X294" s="198"/>
      <c r="Y294" s="198"/>
      <c r="Z294" s="198"/>
    </row>
    <row r="295" spans="7:26">
      <c r="G295" s="198"/>
      <c r="H295" s="198"/>
      <c r="I295" s="198"/>
      <c r="J295" s="198"/>
      <c r="K295" s="198"/>
      <c r="L295" s="198"/>
      <c r="M295" s="198"/>
      <c r="N295" s="198"/>
      <c r="O295" s="198"/>
      <c r="P295" s="198"/>
      <c r="Q295" s="198"/>
      <c r="R295" s="198"/>
      <c r="S295" s="198"/>
      <c r="T295" s="220"/>
      <c r="U295" s="198"/>
      <c r="V295" s="198"/>
      <c r="W295" s="198"/>
      <c r="X295" s="198"/>
      <c r="Y295" s="198"/>
      <c r="Z295" s="198"/>
    </row>
    <row r="296" spans="7:26">
      <c r="G296" s="198"/>
      <c r="H296" s="198"/>
      <c r="I296" s="198"/>
      <c r="J296" s="198"/>
      <c r="K296" s="198"/>
      <c r="L296" s="198"/>
      <c r="M296" s="198"/>
      <c r="N296" s="198"/>
      <c r="O296" s="198"/>
      <c r="P296" s="198"/>
      <c r="Q296" s="198"/>
      <c r="R296" s="198"/>
      <c r="S296" s="198"/>
      <c r="T296" s="220"/>
      <c r="U296" s="198"/>
      <c r="V296" s="198"/>
      <c r="W296" s="198"/>
      <c r="X296" s="198"/>
      <c r="Y296" s="198"/>
      <c r="Z296" s="198"/>
    </row>
    <row r="297" spans="7:26">
      <c r="G297" s="198"/>
      <c r="H297" s="198"/>
      <c r="I297" s="198"/>
      <c r="J297" s="198"/>
      <c r="K297" s="198"/>
      <c r="L297" s="198"/>
      <c r="M297" s="198"/>
      <c r="N297" s="198"/>
      <c r="O297" s="198"/>
      <c r="P297" s="198"/>
      <c r="Q297" s="198"/>
      <c r="R297" s="198"/>
      <c r="S297" s="198"/>
      <c r="T297" s="220"/>
      <c r="U297" s="198"/>
      <c r="V297" s="198"/>
      <c r="W297" s="198"/>
      <c r="X297" s="198"/>
      <c r="Y297" s="198"/>
      <c r="Z297" s="198"/>
    </row>
    <row r="298" spans="7:26">
      <c r="G298" s="198"/>
      <c r="H298" s="198"/>
      <c r="I298" s="198"/>
      <c r="J298" s="198"/>
      <c r="K298" s="198"/>
      <c r="L298" s="198"/>
      <c r="M298" s="198"/>
      <c r="N298" s="198"/>
      <c r="O298" s="198"/>
      <c r="P298" s="198"/>
      <c r="Q298" s="198"/>
      <c r="R298" s="198"/>
      <c r="S298" s="198"/>
      <c r="T298" s="220"/>
      <c r="U298" s="198"/>
      <c r="V298" s="198"/>
      <c r="W298" s="198"/>
      <c r="X298" s="198"/>
      <c r="Y298" s="198"/>
      <c r="Z298" s="198"/>
    </row>
    <row r="299" spans="7:26">
      <c r="G299" s="198"/>
      <c r="H299" s="198"/>
      <c r="I299" s="198"/>
      <c r="J299" s="198"/>
      <c r="K299" s="198"/>
      <c r="L299" s="198"/>
      <c r="M299" s="198"/>
      <c r="N299" s="198"/>
      <c r="O299" s="198"/>
      <c r="P299" s="198"/>
      <c r="Q299" s="198"/>
      <c r="R299" s="198"/>
      <c r="S299" s="198"/>
      <c r="T299" s="220"/>
      <c r="U299" s="198"/>
      <c r="V299" s="198"/>
      <c r="W299" s="198"/>
      <c r="X299" s="198"/>
      <c r="Y299" s="198"/>
      <c r="Z299" s="198"/>
    </row>
    <row r="300" spans="7:26">
      <c r="G300" s="198"/>
      <c r="H300" s="198"/>
      <c r="I300" s="198"/>
      <c r="J300" s="198"/>
      <c r="K300" s="198"/>
      <c r="L300" s="198"/>
      <c r="M300" s="198"/>
      <c r="N300" s="198"/>
      <c r="O300" s="198"/>
      <c r="P300" s="198"/>
      <c r="Q300" s="198"/>
      <c r="R300" s="198"/>
      <c r="S300" s="198"/>
      <c r="T300" s="220"/>
      <c r="U300" s="198"/>
      <c r="V300" s="198"/>
      <c r="W300" s="198"/>
      <c r="X300" s="198"/>
      <c r="Y300" s="198"/>
      <c r="Z300" s="198"/>
    </row>
    <row r="301" spans="7:26">
      <c r="G301" s="198"/>
      <c r="H301" s="198"/>
      <c r="I301" s="198"/>
      <c r="J301" s="198"/>
      <c r="K301" s="198"/>
      <c r="L301" s="198"/>
      <c r="M301" s="198"/>
      <c r="N301" s="198"/>
      <c r="O301" s="198"/>
      <c r="P301" s="198"/>
      <c r="Q301" s="198"/>
      <c r="R301" s="198"/>
      <c r="S301" s="198"/>
      <c r="T301" s="220"/>
      <c r="U301" s="198"/>
      <c r="V301" s="198"/>
      <c r="W301" s="198"/>
      <c r="X301" s="198"/>
      <c r="Y301" s="198"/>
      <c r="Z301" s="198"/>
    </row>
    <row r="302" spans="7:26">
      <c r="G302" s="198"/>
      <c r="H302" s="198"/>
      <c r="I302" s="198"/>
      <c r="J302" s="198"/>
      <c r="K302" s="198"/>
      <c r="L302" s="198"/>
      <c r="M302" s="198"/>
      <c r="N302" s="198"/>
      <c r="O302" s="198"/>
      <c r="P302" s="198"/>
      <c r="Q302" s="198"/>
      <c r="R302" s="198"/>
      <c r="S302" s="198"/>
      <c r="T302" s="220"/>
      <c r="U302" s="198"/>
      <c r="V302" s="198"/>
      <c r="W302" s="198"/>
      <c r="X302" s="198"/>
      <c r="Y302" s="198"/>
      <c r="Z302" s="198"/>
    </row>
    <row r="303" spans="7:26">
      <c r="G303" s="198"/>
      <c r="H303" s="198"/>
      <c r="I303" s="198"/>
      <c r="J303" s="198"/>
      <c r="K303" s="198"/>
      <c r="L303" s="198"/>
      <c r="M303" s="198"/>
      <c r="N303" s="198"/>
      <c r="O303" s="198"/>
      <c r="P303" s="198"/>
      <c r="Q303" s="198"/>
      <c r="R303" s="198"/>
      <c r="S303" s="198"/>
      <c r="T303" s="220"/>
      <c r="U303" s="198"/>
      <c r="V303" s="198"/>
      <c r="W303" s="198"/>
      <c r="X303" s="198"/>
      <c r="Y303" s="198"/>
      <c r="Z303" s="198"/>
    </row>
    <row r="304" spans="7:26">
      <c r="G304" s="198"/>
      <c r="H304" s="198"/>
      <c r="I304" s="198"/>
      <c r="J304" s="198"/>
      <c r="K304" s="198"/>
      <c r="L304" s="198"/>
      <c r="M304" s="198"/>
      <c r="N304" s="198"/>
      <c r="O304" s="198"/>
      <c r="P304" s="198"/>
      <c r="Q304" s="198"/>
      <c r="R304" s="198"/>
      <c r="S304" s="198"/>
      <c r="T304" s="220"/>
      <c r="U304" s="198"/>
      <c r="V304" s="198"/>
      <c r="W304" s="198"/>
      <c r="X304" s="198"/>
      <c r="Y304" s="198"/>
      <c r="Z304" s="198"/>
    </row>
    <row r="305" spans="7:26">
      <c r="G305" s="198"/>
      <c r="H305" s="198"/>
      <c r="I305" s="198"/>
      <c r="J305" s="198"/>
      <c r="K305" s="198"/>
      <c r="L305" s="198"/>
      <c r="M305" s="198"/>
      <c r="N305" s="198"/>
      <c r="O305" s="198"/>
      <c r="P305" s="198"/>
      <c r="Q305" s="198"/>
      <c r="R305" s="198"/>
      <c r="S305" s="198"/>
      <c r="T305" s="220"/>
      <c r="U305" s="198"/>
      <c r="V305" s="198"/>
      <c r="W305" s="198"/>
      <c r="X305" s="198"/>
      <c r="Y305" s="198"/>
      <c r="Z305" s="198"/>
    </row>
    <row r="306" spans="7:26">
      <c r="G306" s="198"/>
      <c r="H306" s="198"/>
      <c r="I306" s="198"/>
      <c r="J306" s="198"/>
      <c r="K306" s="198"/>
      <c r="L306" s="198"/>
      <c r="M306" s="198"/>
      <c r="N306" s="198"/>
      <c r="O306" s="198"/>
      <c r="P306" s="198"/>
      <c r="Q306" s="198"/>
      <c r="R306" s="198"/>
      <c r="S306" s="198"/>
      <c r="T306" s="220"/>
      <c r="U306" s="198"/>
      <c r="V306" s="198"/>
      <c r="W306" s="198"/>
      <c r="X306" s="198"/>
      <c r="Y306" s="198"/>
      <c r="Z306" s="198"/>
    </row>
    <row r="307" spans="7:26">
      <c r="G307" s="198"/>
      <c r="H307" s="198"/>
      <c r="I307" s="198"/>
      <c r="J307" s="198"/>
      <c r="K307" s="198"/>
      <c r="L307" s="198"/>
      <c r="M307" s="198"/>
      <c r="N307" s="198"/>
      <c r="O307" s="198"/>
      <c r="P307" s="198"/>
      <c r="Q307" s="198"/>
      <c r="R307" s="198"/>
      <c r="S307" s="198"/>
      <c r="T307" s="220"/>
      <c r="U307" s="198"/>
      <c r="V307" s="198"/>
      <c r="W307" s="198"/>
      <c r="X307" s="198"/>
      <c r="Y307" s="198"/>
      <c r="Z307" s="198"/>
    </row>
    <row r="308" spans="7:26">
      <c r="G308" s="198"/>
      <c r="H308" s="198"/>
      <c r="I308" s="198"/>
      <c r="J308" s="198"/>
      <c r="K308" s="198"/>
      <c r="L308" s="198"/>
      <c r="M308" s="198"/>
      <c r="N308" s="198"/>
      <c r="O308" s="198"/>
      <c r="P308" s="198"/>
      <c r="Q308" s="198"/>
      <c r="R308" s="198"/>
      <c r="S308" s="198"/>
      <c r="T308" s="220"/>
      <c r="U308" s="198"/>
      <c r="V308" s="198"/>
      <c r="W308" s="198"/>
      <c r="X308" s="198"/>
      <c r="Y308" s="198"/>
      <c r="Z308" s="198"/>
    </row>
    <row r="309" spans="7:26">
      <c r="G309" s="198"/>
      <c r="H309" s="198"/>
      <c r="I309" s="198"/>
      <c r="J309" s="198"/>
      <c r="K309" s="198"/>
      <c r="L309" s="198"/>
      <c r="M309" s="198"/>
      <c r="N309" s="198"/>
      <c r="O309" s="198"/>
      <c r="P309" s="198"/>
      <c r="Q309" s="198"/>
      <c r="R309" s="198"/>
      <c r="S309" s="198"/>
      <c r="T309" s="220"/>
      <c r="U309" s="198"/>
      <c r="V309" s="198"/>
      <c r="W309" s="198"/>
      <c r="X309" s="198"/>
      <c r="Y309" s="198"/>
      <c r="Z309" s="198"/>
    </row>
    <row r="310" spans="7:26">
      <c r="G310" s="198"/>
      <c r="H310" s="198"/>
      <c r="I310" s="198"/>
      <c r="J310" s="198"/>
      <c r="K310" s="198"/>
      <c r="L310" s="198"/>
      <c r="M310" s="198"/>
      <c r="N310" s="198"/>
      <c r="O310" s="198"/>
      <c r="P310" s="198"/>
      <c r="Q310" s="198"/>
      <c r="R310" s="198"/>
      <c r="S310" s="198"/>
      <c r="T310" s="220"/>
      <c r="U310" s="198"/>
      <c r="V310" s="198"/>
      <c r="W310" s="198"/>
      <c r="X310" s="198"/>
      <c r="Y310" s="198"/>
      <c r="Z310" s="198"/>
    </row>
    <row r="311" spans="7:26">
      <c r="G311" s="198"/>
      <c r="H311" s="198"/>
      <c r="I311" s="198"/>
      <c r="J311" s="198"/>
      <c r="K311" s="198"/>
      <c r="L311" s="198"/>
      <c r="M311" s="198"/>
      <c r="N311" s="198"/>
      <c r="O311" s="198"/>
      <c r="P311" s="198"/>
      <c r="Q311" s="198"/>
      <c r="R311" s="198"/>
      <c r="S311" s="198"/>
      <c r="T311" s="220"/>
      <c r="U311" s="198"/>
      <c r="V311" s="198"/>
      <c r="W311" s="198"/>
      <c r="X311" s="198"/>
      <c r="Y311" s="198"/>
      <c r="Z311" s="198"/>
    </row>
    <row r="312" spans="7:26">
      <c r="G312" s="198"/>
      <c r="H312" s="198"/>
      <c r="I312" s="198"/>
      <c r="J312" s="198"/>
      <c r="K312" s="198"/>
      <c r="L312" s="198"/>
      <c r="M312" s="198"/>
      <c r="N312" s="198"/>
      <c r="O312" s="198"/>
      <c r="P312" s="198"/>
      <c r="Q312" s="198"/>
      <c r="R312" s="198"/>
      <c r="S312" s="198"/>
      <c r="T312" s="220"/>
      <c r="U312" s="198"/>
      <c r="V312" s="198"/>
      <c r="W312" s="198"/>
      <c r="X312" s="198"/>
      <c r="Y312" s="198"/>
      <c r="Z312" s="198"/>
    </row>
    <row r="313" spans="7:26">
      <c r="G313" s="198"/>
      <c r="H313" s="198"/>
      <c r="I313" s="198"/>
      <c r="J313" s="198"/>
      <c r="K313" s="198"/>
      <c r="L313" s="198"/>
      <c r="M313" s="198"/>
      <c r="N313" s="198"/>
      <c r="O313" s="198"/>
      <c r="P313" s="198"/>
      <c r="Q313" s="198"/>
      <c r="R313" s="198"/>
      <c r="S313" s="198"/>
      <c r="T313" s="220"/>
      <c r="U313" s="198"/>
      <c r="V313" s="198"/>
      <c r="W313" s="198"/>
      <c r="X313" s="198"/>
      <c r="Y313" s="198"/>
      <c r="Z313" s="198"/>
    </row>
    <row r="314" spans="7:26">
      <c r="G314" s="198"/>
      <c r="H314" s="198"/>
      <c r="I314" s="198"/>
      <c r="J314" s="198"/>
      <c r="K314" s="198"/>
      <c r="L314" s="198"/>
      <c r="M314" s="198"/>
      <c r="N314" s="198"/>
      <c r="O314" s="198"/>
      <c r="P314" s="198"/>
      <c r="Q314" s="198"/>
      <c r="R314" s="198"/>
      <c r="S314" s="198"/>
      <c r="T314" s="220"/>
      <c r="U314" s="198"/>
      <c r="V314" s="198"/>
      <c r="W314" s="198"/>
      <c r="X314" s="198"/>
      <c r="Y314" s="198"/>
      <c r="Z314" s="198"/>
    </row>
    <row r="315" spans="7:26">
      <c r="G315" s="198"/>
      <c r="H315" s="198"/>
      <c r="I315" s="198"/>
      <c r="J315" s="198"/>
      <c r="K315" s="198"/>
      <c r="L315" s="198"/>
      <c r="M315" s="198"/>
      <c r="N315" s="198"/>
      <c r="O315" s="198"/>
      <c r="P315" s="198"/>
      <c r="Q315" s="198"/>
      <c r="R315" s="198"/>
      <c r="S315" s="198"/>
      <c r="T315" s="220"/>
      <c r="U315" s="198"/>
      <c r="V315" s="198"/>
      <c r="W315" s="198"/>
      <c r="X315" s="198"/>
      <c r="Y315" s="198"/>
      <c r="Z315" s="198"/>
    </row>
    <row r="316" spans="7:26">
      <c r="G316" s="198"/>
      <c r="H316" s="198"/>
      <c r="I316" s="198"/>
      <c r="J316" s="198"/>
      <c r="K316" s="198"/>
      <c r="L316" s="198"/>
      <c r="M316" s="198"/>
      <c r="N316" s="198"/>
      <c r="O316" s="198"/>
      <c r="P316" s="198"/>
      <c r="Q316" s="198"/>
      <c r="R316" s="198"/>
      <c r="S316" s="198"/>
      <c r="T316" s="220"/>
      <c r="U316" s="198"/>
      <c r="V316" s="198"/>
      <c r="W316" s="198"/>
      <c r="X316" s="198"/>
      <c r="Y316" s="198"/>
      <c r="Z316" s="198"/>
    </row>
    <row r="317" spans="7:26">
      <c r="G317" s="198"/>
      <c r="H317" s="198"/>
      <c r="I317" s="198"/>
      <c r="J317" s="198"/>
      <c r="K317" s="198"/>
      <c r="L317" s="198"/>
      <c r="M317" s="198"/>
      <c r="N317" s="198"/>
      <c r="O317" s="198"/>
      <c r="P317" s="198"/>
      <c r="Q317" s="198"/>
      <c r="R317" s="198"/>
      <c r="S317" s="198"/>
      <c r="T317" s="220"/>
      <c r="U317" s="198"/>
      <c r="V317" s="198"/>
      <c r="W317" s="198"/>
      <c r="X317" s="198"/>
      <c r="Y317" s="198"/>
      <c r="Z317" s="198"/>
    </row>
    <row r="318" spans="7:26">
      <c r="G318" s="198"/>
      <c r="H318" s="198"/>
      <c r="I318" s="198"/>
      <c r="J318" s="198"/>
      <c r="K318" s="198"/>
      <c r="L318" s="198"/>
      <c r="M318" s="198"/>
      <c r="N318" s="198"/>
      <c r="O318" s="198"/>
      <c r="P318" s="198"/>
      <c r="Q318" s="198"/>
      <c r="R318" s="198"/>
      <c r="S318" s="198"/>
      <c r="T318" s="220"/>
      <c r="U318" s="198"/>
      <c r="V318" s="198"/>
      <c r="W318" s="198"/>
      <c r="X318" s="198"/>
      <c r="Y318" s="198"/>
      <c r="Z318" s="198"/>
    </row>
    <row r="319" spans="7:26">
      <c r="G319" s="198"/>
      <c r="H319" s="198"/>
      <c r="I319" s="198"/>
      <c r="J319" s="198"/>
      <c r="K319" s="198"/>
      <c r="L319" s="198"/>
      <c r="M319" s="198"/>
      <c r="N319" s="198"/>
      <c r="O319" s="198"/>
      <c r="P319" s="198"/>
      <c r="Q319" s="198"/>
      <c r="R319" s="198"/>
      <c r="S319" s="198"/>
      <c r="T319" s="220"/>
      <c r="U319" s="198"/>
      <c r="V319" s="198"/>
      <c r="W319" s="198"/>
      <c r="X319" s="198"/>
      <c r="Y319" s="198"/>
      <c r="Z319" s="198"/>
    </row>
    <row r="320" spans="7:26">
      <c r="G320" s="198"/>
      <c r="H320" s="198"/>
      <c r="I320" s="198"/>
      <c r="J320" s="198"/>
      <c r="K320" s="198"/>
      <c r="L320" s="198"/>
      <c r="M320" s="198"/>
      <c r="N320" s="198"/>
      <c r="O320" s="198"/>
      <c r="P320" s="198"/>
      <c r="Q320" s="198"/>
      <c r="R320" s="198"/>
      <c r="S320" s="198"/>
      <c r="T320" s="220"/>
      <c r="U320" s="198"/>
      <c r="V320" s="198"/>
      <c r="W320" s="198"/>
      <c r="X320" s="198"/>
      <c r="Y320" s="198"/>
      <c r="Z320" s="198"/>
    </row>
    <row r="321" spans="7:26">
      <c r="G321" s="198"/>
      <c r="H321" s="198"/>
      <c r="I321" s="198"/>
      <c r="J321" s="198"/>
      <c r="K321" s="198"/>
      <c r="L321" s="198"/>
      <c r="M321" s="198"/>
      <c r="N321" s="198"/>
      <c r="O321" s="198"/>
      <c r="P321" s="198"/>
      <c r="Q321" s="198"/>
      <c r="R321" s="198"/>
      <c r="S321" s="198"/>
      <c r="T321" s="220"/>
      <c r="U321" s="198"/>
      <c r="V321" s="198"/>
      <c r="W321" s="198"/>
      <c r="X321" s="198"/>
      <c r="Y321" s="198"/>
      <c r="Z321" s="198"/>
    </row>
    <row r="322" spans="7:26">
      <c r="G322" s="198"/>
      <c r="H322" s="198"/>
      <c r="I322" s="198"/>
      <c r="J322" s="198"/>
      <c r="K322" s="198"/>
      <c r="L322" s="198"/>
      <c r="M322" s="198"/>
      <c r="N322" s="198"/>
      <c r="O322" s="198"/>
      <c r="P322" s="198"/>
      <c r="Q322" s="198"/>
      <c r="R322" s="198"/>
      <c r="S322" s="198"/>
      <c r="T322" s="220"/>
      <c r="U322" s="198"/>
      <c r="V322" s="198"/>
      <c r="W322" s="198"/>
      <c r="X322" s="198"/>
      <c r="Y322" s="198"/>
      <c r="Z322" s="198"/>
    </row>
    <row r="323" spans="7:26">
      <c r="G323" s="198"/>
      <c r="H323" s="198"/>
      <c r="I323" s="198"/>
      <c r="J323" s="198"/>
      <c r="K323" s="198"/>
      <c r="L323" s="198"/>
      <c r="M323" s="198"/>
      <c r="N323" s="198"/>
      <c r="O323" s="198"/>
      <c r="P323" s="198"/>
      <c r="Q323" s="198"/>
      <c r="R323" s="198"/>
      <c r="S323" s="198"/>
      <c r="T323" s="220"/>
      <c r="U323" s="198"/>
      <c r="V323" s="198"/>
      <c r="W323" s="198"/>
      <c r="X323" s="198"/>
      <c r="Y323" s="198"/>
      <c r="Z323" s="198"/>
    </row>
    <row r="324" spans="7:26">
      <c r="G324" s="198"/>
      <c r="H324" s="198"/>
      <c r="I324" s="198"/>
      <c r="J324" s="198"/>
      <c r="K324" s="198"/>
      <c r="L324" s="198"/>
      <c r="M324" s="198"/>
      <c r="N324" s="198"/>
      <c r="O324" s="198"/>
      <c r="P324" s="198"/>
      <c r="Q324" s="198"/>
      <c r="R324" s="198"/>
      <c r="S324" s="198"/>
      <c r="T324" s="220"/>
      <c r="U324" s="198"/>
      <c r="V324" s="198"/>
      <c r="W324" s="198"/>
      <c r="X324" s="198"/>
      <c r="Y324" s="198"/>
      <c r="Z324" s="198"/>
    </row>
    <row r="325" spans="7:26">
      <c r="G325" s="198"/>
      <c r="H325" s="198"/>
      <c r="I325" s="198"/>
      <c r="J325" s="198"/>
      <c r="K325" s="198"/>
      <c r="L325" s="198"/>
      <c r="M325" s="198"/>
      <c r="N325" s="198"/>
      <c r="O325" s="198"/>
      <c r="P325" s="198"/>
      <c r="Q325" s="198"/>
      <c r="R325" s="198"/>
      <c r="S325" s="198"/>
      <c r="T325" s="220"/>
      <c r="U325" s="198"/>
      <c r="V325" s="198"/>
      <c r="W325" s="198"/>
      <c r="X325" s="198"/>
      <c r="Y325" s="198"/>
      <c r="Z325" s="198"/>
    </row>
    <row r="326" spans="7:26">
      <c r="G326" s="198"/>
      <c r="H326" s="198"/>
      <c r="I326" s="198"/>
      <c r="J326" s="198"/>
      <c r="K326" s="198"/>
      <c r="L326" s="198"/>
      <c r="M326" s="198"/>
      <c r="N326" s="198"/>
      <c r="O326" s="198"/>
      <c r="P326" s="198"/>
      <c r="Q326" s="198"/>
      <c r="R326" s="198"/>
      <c r="S326" s="198"/>
      <c r="T326" s="220"/>
      <c r="U326" s="198"/>
      <c r="V326" s="198"/>
      <c r="W326" s="198"/>
      <c r="X326" s="198"/>
      <c r="Y326" s="198"/>
      <c r="Z326" s="198"/>
    </row>
    <row r="327" spans="7:26">
      <c r="G327" s="198"/>
      <c r="H327" s="198"/>
      <c r="I327" s="198"/>
      <c r="J327" s="198"/>
      <c r="K327" s="198"/>
      <c r="L327" s="198"/>
      <c r="M327" s="198"/>
      <c r="N327" s="198"/>
      <c r="O327" s="198"/>
      <c r="P327" s="198"/>
      <c r="Q327" s="198"/>
      <c r="R327" s="198"/>
      <c r="S327" s="198"/>
      <c r="T327" s="220"/>
      <c r="U327" s="198"/>
      <c r="V327" s="198"/>
      <c r="W327" s="198"/>
      <c r="X327" s="198"/>
      <c r="Y327" s="198"/>
      <c r="Z327" s="198"/>
    </row>
    <row r="328" spans="7:26">
      <c r="G328" s="198"/>
      <c r="H328" s="198"/>
      <c r="I328" s="198"/>
      <c r="J328" s="198"/>
      <c r="K328" s="198"/>
      <c r="L328" s="198"/>
      <c r="M328" s="198"/>
      <c r="N328" s="198"/>
      <c r="O328" s="198"/>
      <c r="P328" s="198"/>
      <c r="Q328" s="198"/>
      <c r="R328" s="198"/>
      <c r="S328" s="198"/>
      <c r="T328" s="220"/>
      <c r="U328" s="198"/>
      <c r="V328" s="198"/>
      <c r="W328" s="198"/>
      <c r="X328" s="198"/>
      <c r="Y328" s="198"/>
      <c r="Z328" s="198"/>
    </row>
    <row r="329" spans="7:26">
      <c r="G329" s="198"/>
      <c r="H329" s="198"/>
      <c r="I329" s="198"/>
      <c r="J329" s="198"/>
      <c r="K329" s="198"/>
      <c r="L329" s="198"/>
      <c r="M329" s="198"/>
      <c r="N329" s="198"/>
      <c r="O329" s="198"/>
      <c r="P329" s="198"/>
      <c r="Q329" s="198"/>
      <c r="R329" s="198"/>
      <c r="S329" s="198"/>
      <c r="T329" s="220"/>
      <c r="U329" s="198"/>
      <c r="V329" s="198"/>
      <c r="W329" s="198"/>
      <c r="X329" s="198"/>
      <c r="Y329" s="198"/>
      <c r="Z329" s="198"/>
    </row>
    <row r="330" spans="7:26">
      <c r="G330" s="198"/>
      <c r="H330" s="198"/>
      <c r="I330" s="198"/>
      <c r="J330" s="198"/>
      <c r="K330" s="198"/>
      <c r="L330" s="198"/>
      <c r="M330" s="198"/>
      <c r="N330" s="198"/>
      <c r="O330" s="198"/>
      <c r="P330" s="198"/>
      <c r="Q330" s="198"/>
      <c r="R330" s="198"/>
      <c r="S330" s="198"/>
      <c r="T330" s="220"/>
      <c r="U330" s="198"/>
      <c r="V330" s="198"/>
      <c r="W330" s="198"/>
      <c r="X330" s="198"/>
      <c r="Y330" s="198"/>
      <c r="Z330" s="198"/>
    </row>
    <row r="331" spans="7:26">
      <c r="G331" s="198"/>
      <c r="H331" s="198"/>
      <c r="I331" s="198"/>
      <c r="J331" s="198"/>
      <c r="K331" s="198"/>
      <c r="L331" s="198"/>
      <c r="M331" s="198"/>
      <c r="N331" s="198"/>
      <c r="O331" s="198"/>
      <c r="P331" s="198"/>
      <c r="Q331" s="198"/>
      <c r="R331" s="198"/>
      <c r="S331" s="198"/>
      <c r="T331" s="220"/>
      <c r="U331" s="198"/>
      <c r="V331" s="198"/>
      <c r="W331" s="198"/>
      <c r="X331" s="198"/>
      <c r="Y331" s="198"/>
      <c r="Z331" s="198"/>
    </row>
    <row r="332" spans="7:26">
      <c r="G332" s="198"/>
      <c r="H332" s="198"/>
      <c r="I332" s="198"/>
      <c r="J332" s="198"/>
      <c r="K332" s="198"/>
      <c r="L332" s="198"/>
      <c r="M332" s="198"/>
      <c r="N332" s="198"/>
      <c r="O332" s="198"/>
      <c r="P332" s="198"/>
      <c r="Q332" s="198"/>
      <c r="R332" s="198"/>
      <c r="S332" s="198"/>
      <c r="T332" s="220"/>
      <c r="U332" s="198"/>
      <c r="V332" s="198"/>
      <c r="W332" s="198"/>
      <c r="X332" s="198"/>
      <c r="Y332" s="198"/>
      <c r="Z332" s="198"/>
    </row>
    <row r="333" spans="7:26">
      <c r="G333" s="198"/>
      <c r="H333" s="198"/>
      <c r="I333" s="198"/>
      <c r="J333" s="198"/>
      <c r="K333" s="198"/>
      <c r="L333" s="198"/>
      <c r="M333" s="198"/>
      <c r="N333" s="198"/>
      <c r="O333" s="198"/>
      <c r="P333" s="198"/>
      <c r="Q333" s="198"/>
      <c r="R333" s="198"/>
      <c r="S333" s="198"/>
      <c r="T333" s="220"/>
      <c r="U333" s="198"/>
      <c r="V333" s="198"/>
      <c r="W333" s="198"/>
      <c r="X333" s="198"/>
      <c r="Y333" s="198"/>
      <c r="Z333" s="198"/>
    </row>
    <row r="334" spans="7:26">
      <c r="G334" s="198"/>
      <c r="H334" s="198"/>
      <c r="I334" s="198"/>
      <c r="J334" s="198"/>
      <c r="K334" s="198"/>
      <c r="L334" s="198"/>
      <c r="M334" s="198"/>
      <c r="N334" s="198"/>
      <c r="O334" s="198"/>
      <c r="P334" s="198"/>
      <c r="Q334" s="198"/>
      <c r="R334" s="198"/>
      <c r="S334" s="198"/>
      <c r="T334" s="220"/>
      <c r="U334" s="198"/>
      <c r="V334" s="198"/>
      <c r="W334" s="198"/>
      <c r="X334" s="198"/>
      <c r="Y334" s="198"/>
      <c r="Z334" s="198"/>
    </row>
    <row r="335" spans="7:26">
      <c r="G335" s="198"/>
      <c r="H335" s="198"/>
      <c r="I335" s="198"/>
      <c r="J335" s="198"/>
      <c r="K335" s="198"/>
      <c r="L335" s="198"/>
      <c r="M335" s="198"/>
      <c r="N335" s="198"/>
      <c r="O335" s="198"/>
      <c r="P335" s="198"/>
      <c r="Q335" s="198"/>
      <c r="R335" s="198"/>
      <c r="S335" s="198"/>
      <c r="T335" s="220"/>
      <c r="U335" s="198"/>
      <c r="V335" s="198"/>
      <c r="W335" s="198"/>
      <c r="X335" s="198"/>
      <c r="Y335" s="198"/>
      <c r="Z335" s="198"/>
    </row>
    <row r="336" spans="7:26">
      <c r="G336" s="198"/>
      <c r="H336" s="198"/>
      <c r="I336" s="198"/>
      <c r="J336" s="198"/>
      <c r="K336" s="198"/>
      <c r="L336" s="198"/>
      <c r="M336" s="198"/>
      <c r="N336" s="198"/>
      <c r="O336" s="198"/>
      <c r="P336" s="198"/>
      <c r="Q336" s="198"/>
      <c r="R336" s="198"/>
      <c r="S336" s="198"/>
      <c r="T336" s="220"/>
      <c r="U336" s="198"/>
      <c r="V336" s="198"/>
      <c r="W336" s="198"/>
      <c r="X336" s="198"/>
      <c r="Y336" s="198"/>
      <c r="Z336" s="198"/>
    </row>
    <row r="337" spans="7:26">
      <c r="G337" s="198"/>
      <c r="H337" s="198"/>
      <c r="I337" s="198"/>
      <c r="J337" s="198"/>
      <c r="K337" s="198"/>
      <c r="L337" s="198"/>
      <c r="M337" s="198"/>
      <c r="N337" s="198"/>
      <c r="O337" s="198"/>
      <c r="P337" s="198"/>
      <c r="Q337" s="198"/>
      <c r="R337" s="198"/>
      <c r="S337" s="198"/>
      <c r="T337" s="220"/>
      <c r="U337" s="198"/>
      <c r="V337" s="198"/>
      <c r="W337" s="198"/>
      <c r="X337" s="198"/>
      <c r="Y337" s="198"/>
      <c r="Z337" s="198"/>
    </row>
    <row r="338" spans="7:26">
      <c r="G338" s="198"/>
      <c r="H338" s="198"/>
      <c r="I338" s="198"/>
      <c r="J338" s="198"/>
      <c r="K338" s="198"/>
      <c r="L338" s="198"/>
      <c r="M338" s="198"/>
      <c r="N338" s="198"/>
      <c r="O338" s="198"/>
      <c r="P338" s="198"/>
      <c r="Q338" s="198"/>
      <c r="R338" s="198"/>
      <c r="S338" s="198"/>
      <c r="T338" s="220"/>
      <c r="U338" s="198"/>
      <c r="V338" s="198"/>
      <c r="W338" s="198"/>
      <c r="X338" s="198"/>
      <c r="Y338" s="198"/>
      <c r="Z338" s="198"/>
    </row>
    <row r="339" spans="7:26">
      <c r="G339" s="198"/>
      <c r="H339" s="198"/>
      <c r="I339" s="198"/>
      <c r="J339" s="198"/>
      <c r="K339" s="198"/>
      <c r="L339" s="198"/>
      <c r="M339" s="198"/>
      <c r="N339" s="198"/>
      <c r="O339" s="198"/>
      <c r="P339" s="198"/>
      <c r="Q339" s="198"/>
      <c r="R339" s="198"/>
      <c r="S339" s="198"/>
      <c r="T339" s="220"/>
      <c r="U339" s="198"/>
      <c r="V339" s="198"/>
      <c r="W339" s="198"/>
      <c r="X339" s="198"/>
      <c r="Y339" s="198"/>
      <c r="Z339" s="198"/>
    </row>
    <row r="340" spans="7:26">
      <c r="G340" s="198"/>
      <c r="H340" s="198"/>
      <c r="I340" s="198"/>
      <c r="J340" s="198"/>
      <c r="K340" s="198"/>
      <c r="L340" s="198"/>
      <c r="M340" s="198"/>
      <c r="N340" s="198"/>
      <c r="O340" s="198"/>
      <c r="P340" s="198"/>
      <c r="Q340" s="198"/>
      <c r="R340" s="198"/>
      <c r="S340" s="198"/>
      <c r="T340" s="220"/>
      <c r="U340" s="198"/>
      <c r="V340" s="198"/>
      <c r="W340" s="198"/>
      <c r="X340" s="198"/>
      <c r="Y340" s="198"/>
      <c r="Z340" s="198"/>
    </row>
    <row r="341" spans="7:26">
      <c r="G341" s="198"/>
      <c r="H341" s="198"/>
      <c r="I341" s="198"/>
      <c r="J341" s="198"/>
      <c r="K341" s="198"/>
      <c r="L341" s="198"/>
      <c r="M341" s="198"/>
      <c r="N341" s="198"/>
      <c r="O341" s="198"/>
      <c r="P341" s="198"/>
      <c r="Q341" s="198"/>
      <c r="R341" s="198"/>
      <c r="S341" s="198"/>
      <c r="T341" s="220"/>
      <c r="U341" s="198"/>
      <c r="V341" s="198"/>
      <c r="W341" s="198"/>
      <c r="X341" s="198"/>
      <c r="Y341" s="198"/>
      <c r="Z341" s="198"/>
    </row>
    <row r="342" spans="7:26">
      <c r="G342" s="198"/>
      <c r="H342" s="198"/>
      <c r="I342" s="198"/>
      <c r="J342" s="198"/>
      <c r="K342" s="198"/>
      <c r="L342" s="198"/>
      <c r="M342" s="198"/>
      <c r="N342" s="198"/>
      <c r="O342" s="198"/>
      <c r="P342" s="198"/>
      <c r="Q342" s="198"/>
      <c r="R342" s="198"/>
      <c r="S342" s="198"/>
      <c r="T342" s="220"/>
      <c r="U342" s="198"/>
      <c r="V342" s="198"/>
      <c r="W342" s="198"/>
      <c r="X342" s="198"/>
      <c r="Y342" s="198"/>
      <c r="Z342" s="198"/>
    </row>
    <row r="343" spans="7:26">
      <c r="G343" s="198"/>
      <c r="H343" s="198"/>
      <c r="I343" s="198"/>
      <c r="J343" s="198"/>
      <c r="K343" s="198"/>
      <c r="L343" s="198"/>
      <c r="M343" s="198"/>
      <c r="N343" s="198"/>
      <c r="O343" s="198"/>
      <c r="P343" s="198"/>
      <c r="Q343" s="198"/>
      <c r="R343" s="198"/>
      <c r="S343" s="198"/>
      <c r="T343" s="220"/>
      <c r="U343" s="198"/>
      <c r="V343" s="198"/>
      <c r="W343" s="198"/>
      <c r="X343" s="198"/>
      <c r="Y343" s="198"/>
      <c r="Z343" s="198"/>
    </row>
    <row r="344" spans="7:26">
      <c r="G344" s="198"/>
      <c r="H344" s="198"/>
      <c r="I344" s="198"/>
      <c r="J344" s="198"/>
      <c r="K344" s="198"/>
      <c r="L344" s="198"/>
      <c r="M344" s="198"/>
      <c r="N344" s="198"/>
      <c r="O344" s="198"/>
      <c r="P344" s="198"/>
      <c r="Q344" s="198"/>
      <c r="R344" s="198"/>
      <c r="S344" s="198"/>
      <c r="T344" s="220"/>
      <c r="U344" s="198"/>
      <c r="V344" s="198"/>
      <c r="W344" s="198"/>
      <c r="X344" s="198"/>
      <c r="Y344" s="198"/>
      <c r="Z344" s="198"/>
    </row>
    <row r="345" spans="7:26">
      <c r="G345" s="198"/>
      <c r="H345" s="198"/>
      <c r="I345" s="198"/>
      <c r="J345" s="198"/>
      <c r="K345" s="198"/>
      <c r="L345" s="198"/>
      <c r="M345" s="198"/>
      <c r="N345" s="198"/>
      <c r="O345" s="198"/>
      <c r="P345" s="198"/>
      <c r="Q345" s="198"/>
      <c r="R345" s="198"/>
      <c r="S345" s="198"/>
      <c r="T345" s="220"/>
      <c r="U345" s="198"/>
      <c r="V345" s="198"/>
      <c r="W345" s="198"/>
      <c r="X345" s="198"/>
      <c r="Y345" s="198"/>
      <c r="Z345" s="198"/>
    </row>
    <row r="346" spans="7:26">
      <c r="G346" s="198"/>
      <c r="H346" s="198"/>
      <c r="I346" s="198"/>
      <c r="J346" s="198"/>
      <c r="K346" s="198"/>
      <c r="L346" s="198"/>
      <c r="M346" s="198"/>
      <c r="N346" s="198"/>
      <c r="O346" s="198"/>
      <c r="P346" s="198"/>
      <c r="Q346" s="198"/>
      <c r="R346" s="198"/>
      <c r="S346" s="198"/>
      <c r="T346" s="220"/>
      <c r="U346" s="198"/>
      <c r="V346" s="198"/>
      <c r="W346" s="198"/>
      <c r="X346" s="198"/>
      <c r="Y346" s="198"/>
      <c r="Z346" s="198"/>
    </row>
    <row r="347" spans="7:26">
      <c r="G347" s="198"/>
      <c r="H347" s="198"/>
      <c r="I347" s="198"/>
      <c r="J347" s="198"/>
      <c r="K347" s="198"/>
      <c r="L347" s="198"/>
      <c r="M347" s="198"/>
      <c r="N347" s="198"/>
      <c r="O347" s="198"/>
      <c r="P347" s="198"/>
      <c r="Q347" s="198"/>
      <c r="R347" s="198"/>
      <c r="S347" s="198"/>
      <c r="T347" s="220"/>
      <c r="U347" s="198"/>
      <c r="V347" s="198"/>
      <c r="W347" s="198"/>
      <c r="X347" s="198"/>
      <c r="Y347" s="198"/>
      <c r="Z347" s="198"/>
    </row>
    <row r="348" spans="7:26">
      <c r="G348" s="198"/>
      <c r="H348" s="198"/>
      <c r="I348" s="198"/>
      <c r="J348" s="198"/>
      <c r="K348" s="198"/>
      <c r="L348" s="198"/>
      <c r="M348" s="198"/>
      <c r="N348" s="198"/>
      <c r="O348" s="198"/>
      <c r="P348" s="198"/>
      <c r="Q348" s="198"/>
      <c r="R348" s="198"/>
      <c r="S348" s="198"/>
      <c r="T348" s="220"/>
      <c r="U348" s="198"/>
      <c r="V348" s="198"/>
      <c r="W348" s="198"/>
      <c r="X348" s="198"/>
      <c r="Y348" s="198"/>
      <c r="Z348" s="198"/>
    </row>
    <row r="349" spans="7:26">
      <c r="G349" s="198"/>
      <c r="H349" s="198"/>
      <c r="I349" s="198"/>
      <c r="J349" s="198"/>
      <c r="K349" s="198"/>
      <c r="L349" s="198"/>
      <c r="M349" s="198"/>
      <c r="N349" s="198"/>
      <c r="O349" s="198"/>
      <c r="P349" s="198"/>
      <c r="Q349" s="198"/>
      <c r="R349" s="198"/>
      <c r="S349" s="198"/>
      <c r="T349" s="220"/>
      <c r="U349" s="198"/>
      <c r="V349" s="198"/>
      <c r="W349" s="198"/>
      <c r="X349" s="198"/>
      <c r="Y349" s="198"/>
      <c r="Z349" s="198"/>
    </row>
    <row r="350" spans="7:26">
      <c r="G350" s="198"/>
      <c r="H350" s="198"/>
      <c r="I350" s="198"/>
      <c r="J350" s="198"/>
      <c r="K350" s="198"/>
      <c r="L350" s="198"/>
      <c r="M350" s="198"/>
      <c r="N350" s="198"/>
      <c r="O350" s="198"/>
      <c r="P350" s="198"/>
      <c r="Q350" s="198"/>
      <c r="R350" s="198"/>
      <c r="S350" s="198"/>
      <c r="T350" s="220"/>
      <c r="U350" s="198"/>
      <c r="V350" s="198"/>
      <c r="W350" s="198"/>
      <c r="X350" s="198"/>
      <c r="Y350" s="198"/>
      <c r="Z350" s="198"/>
    </row>
    <row r="351" spans="7:26">
      <c r="G351" s="198"/>
      <c r="H351" s="198"/>
      <c r="I351" s="198"/>
      <c r="J351" s="198"/>
      <c r="K351" s="198"/>
      <c r="L351" s="198"/>
      <c r="M351" s="198"/>
      <c r="N351" s="198"/>
      <c r="O351" s="198"/>
      <c r="P351" s="198"/>
      <c r="Q351" s="198"/>
      <c r="R351" s="198"/>
      <c r="S351" s="198"/>
      <c r="T351" s="220"/>
      <c r="U351" s="198"/>
      <c r="V351" s="198"/>
      <c r="W351" s="198"/>
      <c r="X351" s="198"/>
      <c r="Y351" s="198"/>
      <c r="Z351" s="198"/>
    </row>
    <row r="352" spans="7:26">
      <c r="G352" s="198"/>
      <c r="H352" s="198"/>
      <c r="I352" s="198"/>
      <c r="J352" s="198"/>
      <c r="K352" s="198"/>
      <c r="L352" s="198"/>
      <c r="M352" s="198"/>
      <c r="N352" s="198"/>
      <c r="O352" s="198"/>
      <c r="P352" s="198"/>
      <c r="Q352" s="198"/>
      <c r="R352" s="198"/>
      <c r="S352" s="198"/>
      <c r="T352" s="220"/>
      <c r="U352" s="198"/>
      <c r="V352" s="198"/>
      <c r="W352" s="198"/>
      <c r="X352" s="198"/>
      <c r="Y352" s="198"/>
      <c r="Z352" s="198"/>
    </row>
    <row r="353" spans="7:26">
      <c r="G353" s="198"/>
      <c r="H353" s="198"/>
      <c r="I353" s="198"/>
      <c r="J353" s="198"/>
      <c r="K353" s="198"/>
      <c r="L353" s="198"/>
      <c r="M353" s="198"/>
      <c r="N353" s="198"/>
      <c r="O353" s="198"/>
      <c r="P353" s="198"/>
      <c r="Q353" s="198"/>
      <c r="R353" s="198"/>
      <c r="S353" s="198"/>
      <c r="T353" s="220"/>
      <c r="U353" s="198"/>
      <c r="V353" s="198"/>
      <c r="W353" s="198"/>
      <c r="X353" s="198"/>
      <c r="Y353" s="198"/>
      <c r="Z353" s="198"/>
    </row>
    <row r="354" spans="7:26">
      <c r="G354" s="198"/>
      <c r="H354" s="198"/>
      <c r="I354" s="198"/>
      <c r="J354" s="198"/>
      <c r="K354" s="198"/>
      <c r="L354" s="198"/>
      <c r="M354" s="198"/>
      <c r="N354" s="198"/>
      <c r="O354" s="198"/>
      <c r="P354" s="198"/>
      <c r="Q354" s="198"/>
      <c r="R354" s="198"/>
      <c r="S354" s="198"/>
      <c r="T354" s="220"/>
      <c r="U354" s="198"/>
      <c r="V354" s="198"/>
      <c r="W354" s="198"/>
      <c r="X354" s="198"/>
      <c r="Y354" s="198"/>
      <c r="Z354" s="198"/>
    </row>
    <row r="355" spans="7:26">
      <c r="G355" s="198"/>
      <c r="H355" s="198"/>
      <c r="I355" s="198"/>
      <c r="J355" s="198"/>
      <c r="K355" s="198"/>
      <c r="L355" s="198"/>
      <c r="M355" s="198"/>
      <c r="N355" s="198"/>
      <c r="O355" s="198"/>
      <c r="P355" s="198"/>
      <c r="Q355" s="198"/>
      <c r="R355" s="198"/>
      <c r="S355" s="198"/>
      <c r="T355" s="220"/>
      <c r="U355" s="198"/>
      <c r="V355" s="198"/>
      <c r="W355" s="198"/>
      <c r="X355" s="198"/>
      <c r="Y355" s="198"/>
      <c r="Z355" s="198"/>
    </row>
    <row r="356" spans="7:26">
      <c r="G356" s="198"/>
      <c r="H356" s="198"/>
      <c r="I356" s="198"/>
      <c r="J356" s="198"/>
      <c r="K356" s="198"/>
      <c r="L356" s="198"/>
      <c r="M356" s="198"/>
      <c r="N356" s="198"/>
      <c r="O356" s="198"/>
      <c r="P356" s="198"/>
      <c r="Q356" s="198"/>
      <c r="R356" s="198"/>
      <c r="S356" s="198"/>
      <c r="T356" s="220"/>
      <c r="U356" s="198"/>
      <c r="V356" s="198"/>
      <c r="W356" s="198"/>
      <c r="X356" s="198"/>
      <c r="Y356" s="198"/>
      <c r="Z356" s="198"/>
    </row>
    <row r="357" spans="7:26">
      <c r="G357" s="198"/>
      <c r="H357" s="198"/>
      <c r="I357" s="198"/>
      <c r="J357" s="198"/>
      <c r="K357" s="198"/>
      <c r="L357" s="198"/>
      <c r="M357" s="198"/>
      <c r="N357" s="198"/>
      <c r="O357" s="198"/>
      <c r="P357" s="198"/>
      <c r="Q357" s="198"/>
      <c r="R357" s="198"/>
      <c r="S357" s="198"/>
      <c r="T357" s="220"/>
      <c r="U357" s="198"/>
      <c r="V357" s="198"/>
      <c r="W357" s="198"/>
      <c r="X357" s="198"/>
      <c r="Y357" s="198"/>
      <c r="Z357" s="198"/>
    </row>
    <row r="358" spans="7:26">
      <c r="G358" s="198"/>
      <c r="H358" s="198"/>
      <c r="I358" s="198"/>
      <c r="J358" s="198"/>
      <c r="K358" s="198"/>
      <c r="L358" s="198"/>
      <c r="M358" s="198"/>
      <c r="N358" s="198"/>
      <c r="O358" s="198"/>
      <c r="P358" s="198"/>
      <c r="Q358" s="198"/>
      <c r="R358" s="198"/>
      <c r="S358" s="198"/>
      <c r="T358" s="220"/>
      <c r="U358" s="198"/>
      <c r="V358" s="198"/>
      <c r="W358" s="198"/>
      <c r="X358" s="198"/>
      <c r="Y358" s="198"/>
      <c r="Z358" s="198"/>
    </row>
    <row r="359" spans="7:26">
      <c r="G359" s="198"/>
      <c r="H359" s="198"/>
      <c r="I359" s="198"/>
      <c r="J359" s="198"/>
      <c r="K359" s="198"/>
      <c r="L359" s="198"/>
      <c r="M359" s="198"/>
      <c r="N359" s="198"/>
      <c r="O359" s="198"/>
      <c r="P359" s="198"/>
      <c r="Q359" s="198"/>
      <c r="R359" s="198"/>
      <c r="S359" s="198"/>
      <c r="T359" s="220"/>
      <c r="U359" s="198"/>
      <c r="V359" s="198"/>
      <c r="W359" s="198"/>
      <c r="X359" s="198"/>
      <c r="Y359" s="198"/>
      <c r="Z359" s="198"/>
    </row>
    <row r="360" spans="7:26">
      <c r="G360" s="198"/>
      <c r="H360" s="198"/>
      <c r="I360" s="198"/>
      <c r="J360" s="198"/>
      <c r="K360" s="198"/>
      <c r="L360" s="198"/>
      <c r="M360" s="198"/>
      <c r="N360" s="198"/>
      <c r="O360" s="198"/>
      <c r="P360" s="198"/>
      <c r="Q360" s="198"/>
      <c r="R360" s="198"/>
      <c r="S360" s="198"/>
      <c r="T360" s="220"/>
      <c r="U360" s="198"/>
      <c r="V360" s="198"/>
      <c r="W360" s="198"/>
      <c r="X360" s="198"/>
      <c r="Y360" s="198"/>
      <c r="Z360" s="198"/>
    </row>
    <row r="361" spans="7:26">
      <c r="G361" s="198"/>
      <c r="H361" s="198"/>
      <c r="I361" s="198"/>
      <c r="J361" s="198"/>
      <c r="K361" s="198"/>
      <c r="L361" s="198"/>
      <c r="M361" s="198"/>
      <c r="N361" s="198"/>
      <c r="O361" s="198"/>
      <c r="P361" s="198"/>
      <c r="Q361" s="198"/>
      <c r="R361" s="198"/>
      <c r="S361" s="198"/>
      <c r="T361" s="220"/>
      <c r="U361" s="198"/>
      <c r="V361" s="198"/>
      <c r="W361" s="198"/>
      <c r="X361" s="198"/>
      <c r="Y361" s="198"/>
      <c r="Z361" s="198"/>
    </row>
    <row r="362" spans="7:26">
      <c r="G362" s="198"/>
      <c r="H362" s="198"/>
      <c r="I362" s="198"/>
      <c r="J362" s="198"/>
      <c r="K362" s="198"/>
      <c r="L362" s="198"/>
      <c r="M362" s="198"/>
      <c r="N362" s="198"/>
      <c r="O362" s="198"/>
      <c r="P362" s="198"/>
      <c r="Q362" s="198"/>
      <c r="R362" s="198"/>
      <c r="S362" s="198"/>
      <c r="T362" s="220"/>
      <c r="U362" s="198"/>
      <c r="V362" s="198"/>
      <c r="W362" s="198"/>
      <c r="X362" s="198"/>
      <c r="Y362" s="198"/>
      <c r="Z362" s="198"/>
    </row>
    <row r="363" spans="7:26">
      <c r="G363" s="198"/>
      <c r="H363" s="198"/>
      <c r="I363" s="198"/>
      <c r="J363" s="198"/>
      <c r="K363" s="198"/>
      <c r="L363" s="198"/>
      <c r="M363" s="198"/>
      <c r="N363" s="198"/>
      <c r="O363" s="198"/>
      <c r="P363" s="198"/>
      <c r="Q363" s="198"/>
      <c r="R363" s="198"/>
      <c r="S363" s="198"/>
      <c r="T363" s="220"/>
      <c r="U363" s="198"/>
      <c r="V363" s="198"/>
      <c r="W363" s="198"/>
      <c r="X363" s="198"/>
      <c r="Y363" s="198"/>
      <c r="Z363" s="198"/>
    </row>
    <row r="364" spans="7:26">
      <c r="G364" s="198"/>
      <c r="H364" s="198"/>
      <c r="I364" s="198"/>
      <c r="J364" s="198"/>
      <c r="K364" s="198"/>
      <c r="L364" s="198"/>
      <c r="M364" s="198"/>
      <c r="N364" s="198"/>
      <c r="O364" s="198"/>
      <c r="P364" s="198"/>
      <c r="Q364" s="198"/>
      <c r="R364" s="198"/>
      <c r="S364" s="198"/>
      <c r="T364" s="220"/>
      <c r="U364" s="198"/>
      <c r="V364" s="198"/>
      <c r="W364" s="198"/>
      <c r="X364" s="198"/>
      <c r="Y364" s="198"/>
      <c r="Z364" s="198"/>
    </row>
    <row r="365" spans="7:26">
      <c r="G365" s="198"/>
      <c r="H365" s="198"/>
      <c r="I365" s="198"/>
      <c r="J365" s="198"/>
      <c r="K365" s="198"/>
      <c r="L365" s="198"/>
      <c r="M365" s="198"/>
      <c r="N365" s="198"/>
      <c r="O365" s="198"/>
      <c r="P365" s="198"/>
      <c r="Q365" s="198"/>
      <c r="R365" s="198"/>
      <c r="S365" s="198"/>
      <c r="T365" s="220"/>
      <c r="U365" s="198"/>
      <c r="V365" s="198"/>
      <c r="W365" s="198"/>
      <c r="X365" s="198"/>
      <c r="Y365" s="198"/>
      <c r="Z365" s="198"/>
    </row>
    <row r="366" spans="7:26">
      <c r="G366" s="198"/>
      <c r="H366" s="198"/>
      <c r="I366" s="198"/>
      <c r="J366" s="198"/>
      <c r="K366" s="198"/>
      <c r="L366" s="198"/>
      <c r="M366" s="198"/>
      <c r="N366" s="198"/>
      <c r="O366" s="198"/>
      <c r="P366" s="198"/>
      <c r="Q366" s="198"/>
      <c r="R366" s="198"/>
      <c r="S366" s="198"/>
      <c r="T366" s="220"/>
      <c r="U366" s="198"/>
      <c r="V366" s="198"/>
      <c r="W366" s="198"/>
      <c r="X366" s="198"/>
      <c r="Y366" s="198"/>
      <c r="Z366" s="198"/>
    </row>
    <row r="367" spans="7:26">
      <c r="G367" s="198"/>
      <c r="H367" s="198"/>
      <c r="I367" s="198"/>
      <c r="J367" s="198"/>
      <c r="K367" s="198"/>
      <c r="L367" s="198"/>
      <c r="M367" s="198"/>
      <c r="N367" s="198"/>
      <c r="O367" s="198"/>
      <c r="P367" s="198"/>
      <c r="Q367" s="198"/>
      <c r="R367" s="198"/>
      <c r="S367" s="198"/>
      <c r="T367" s="220"/>
      <c r="U367" s="198"/>
      <c r="V367" s="198"/>
      <c r="W367" s="198"/>
      <c r="X367" s="198"/>
      <c r="Y367" s="198"/>
      <c r="Z367" s="198"/>
    </row>
    <row r="368" spans="7:26">
      <c r="G368" s="198"/>
      <c r="H368" s="198"/>
      <c r="I368" s="198"/>
      <c r="J368" s="198"/>
      <c r="K368" s="198"/>
      <c r="L368" s="198"/>
      <c r="M368" s="198"/>
      <c r="N368" s="198"/>
      <c r="O368" s="198"/>
      <c r="P368" s="198"/>
      <c r="Q368" s="198"/>
      <c r="R368" s="198"/>
      <c r="S368" s="198"/>
      <c r="T368" s="220"/>
      <c r="U368" s="198"/>
      <c r="V368" s="198"/>
      <c r="W368" s="198"/>
      <c r="X368" s="198"/>
      <c r="Y368" s="198"/>
      <c r="Z368" s="198"/>
    </row>
    <row r="369" spans="7:26">
      <c r="G369" s="198"/>
      <c r="H369" s="198"/>
      <c r="I369" s="198"/>
      <c r="J369" s="198"/>
      <c r="K369" s="198"/>
      <c r="L369" s="198"/>
      <c r="M369" s="198"/>
      <c r="N369" s="198"/>
      <c r="O369" s="198"/>
      <c r="P369" s="198"/>
      <c r="Q369" s="198"/>
      <c r="R369" s="198"/>
      <c r="S369" s="198"/>
      <c r="T369" s="220"/>
      <c r="U369" s="198"/>
      <c r="V369" s="198"/>
      <c r="W369" s="198"/>
      <c r="X369" s="198"/>
      <c r="Y369" s="198"/>
      <c r="Z369" s="198"/>
    </row>
    <row r="370" spans="7:26">
      <c r="G370" s="198"/>
      <c r="H370" s="198"/>
      <c r="I370" s="198"/>
      <c r="J370" s="198"/>
      <c r="K370" s="198"/>
      <c r="L370" s="198"/>
      <c r="M370" s="198"/>
      <c r="N370" s="198"/>
      <c r="O370" s="198"/>
      <c r="P370" s="198"/>
      <c r="Q370" s="198"/>
      <c r="R370" s="198"/>
      <c r="S370" s="198"/>
      <c r="T370" s="220"/>
      <c r="U370" s="198"/>
      <c r="V370" s="198"/>
      <c r="W370" s="198"/>
      <c r="X370" s="198"/>
      <c r="Y370" s="198"/>
      <c r="Z370" s="198"/>
    </row>
    <row r="371" spans="7:26">
      <c r="G371" s="198"/>
      <c r="H371" s="198"/>
      <c r="I371" s="198"/>
      <c r="J371" s="198"/>
      <c r="K371" s="198"/>
      <c r="L371" s="198"/>
      <c r="M371" s="198"/>
      <c r="N371" s="198"/>
      <c r="O371" s="198"/>
      <c r="P371" s="198"/>
      <c r="Q371" s="198"/>
      <c r="R371" s="198"/>
      <c r="S371" s="198"/>
      <c r="T371" s="220"/>
      <c r="U371" s="198"/>
      <c r="V371" s="198"/>
      <c r="W371" s="198"/>
      <c r="X371" s="198"/>
      <c r="Y371" s="198"/>
      <c r="Z371" s="198"/>
    </row>
    <row r="372" spans="7:26">
      <c r="G372" s="198"/>
      <c r="H372" s="198"/>
      <c r="I372" s="198"/>
      <c r="J372" s="198"/>
      <c r="K372" s="198"/>
      <c r="L372" s="198"/>
      <c r="M372" s="198"/>
      <c r="N372" s="198"/>
      <c r="O372" s="198"/>
      <c r="P372" s="198"/>
      <c r="Q372" s="198"/>
      <c r="R372" s="198"/>
      <c r="S372" s="198"/>
      <c r="T372" s="220"/>
      <c r="U372" s="198"/>
      <c r="V372" s="198"/>
      <c r="W372" s="198"/>
      <c r="X372" s="198"/>
      <c r="Y372" s="198"/>
      <c r="Z372" s="198"/>
    </row>
    <row r="373" spans="7:26">
      <c r="G373" s="198"/>
      <c r="H373" s="198"/>
      <c r="I373" s="198"/>
      <c r="J373" s="198"/>
      <c r="K373" s="198"/>
      <c r="L373" s="198"/>
      <c r="M373" s="198"/>
      <c r="N373" s="198"/>
      <c r="O373" s="198"/>
      <c r="P373" s="198"/>
      <c r="Q373" s="198"/>
      <c r="R373" s="198"/>
      <c r="S373" s="198"/>
      <c r="T373" s="220"/>
      <c r="U373" s="198"/>
      <c r="V373" s="198"/>
      <c r="W373" s="198"/>
      <c r="X373" s="198"/>
      <c r="Y373" s="198"/>
      <c r="Z373" s="198"/>
    </row>
    <row r="374" spans="7:26">
      <c r="G374" s="198"/>
      <c r="H374" s="198"/>
      <c r="I374" s="198"/>
      <c r="J374" s="198"/>
      <c r="K374" s="198"/>
      <c r="L374" s="198"/>
      <c r="M374" s="198"/>
      <c r="N374" s="198"/>
      <c r="O374" s="198"/>
      <c r="P374" s="198"/>
      <c r="Q374" s="198"/>
      <c r="R374" s="198"/>
      <c r="S374" s="198"/>
      <c r="T374" s="220"/>
      <c r="U374" s="198"/>
      <c r="V374" s="198"/>
      <c r="W374" s="198"/>
      <c r="X374" s="198"/>
      <c r="Y374" s="198"/>
      <c r="Z374" s="198"/>
    </row>
    <row r="375" spans="7:26">
      <c r="G375" s="198"/>
      <c r="H375" s="198"/>
      <c r="I375" s="198"/>
      <c r="J375" s="198"/>
      <c r="K375" s="198"/>
      <c r="L375" s="198"/>
      <c r="M375" s="198"/>
      <c r="N375" s="198"/>
      <c r="O375" s="198"/>
      <c r="P375" s="198"/>
      <c r="Q375" s="198"/>
      <c r="R375" s="198"/>
      <c r="S375" s="198"/>
      <c r="T375" s="220"/>
      <c r="U375" s="198"/>
      <c r="V375" s="198"/>
      <c r="W375" s="198"/>
      <c r="X375" s="198"/>
      <c r="Y375" s="198"/>
      <c r="Z375" s="198"/>
    </row>
    <row r="376" spans="7:26">
      <c r="G376" s="198"/>
      <c r="H376" s="198"/>
      <c r="I376" s="198"/>
      <c r="J376" s="198"/>
      <c r="K376" s="198"/>
      <c r="L376" s="198"/>
      <c r="M376" s="198"/>
      <c r="N376" s="198"/>
      <c r="O376" s="198"/>
      <c r="P376" s="198"/>
      <c r="Q376" s="198"/>
      <c r="R376" s="198"/>
      <c r="S376" s="198"/>
      <c r="T376" s="220"/>
      <c r="U376" s="198"/>
      <c r="V376" s="198"/>
      <c r="W376" s="198"/>
      <c r="X376" s="198"/>
      <c r="Y376" s="198"/>
      <c r="Z376" s="198"/>
    </row>
    <row r="377" spans="7:26">
      <c r="G377" s="198"/>
      <c r="H377" s="198"/>
      <c r="I377" s="198"/>
      <c r="J377" s="198"/>
      <c r="K377" s="198"/>
      <c r="L377" s="198"/>
      <c r="M377" s="198"/>
      <c r="N377" s="198"/>
      <c r="O377" s="198"/>
      <c r="P377" s="198"/>
      <c r="Q377" s="198"/>
      <c r="R377" s="198"/>
      <c r="S377" s="198"/>
      <c r="T377" s="220"/>
      <c r="U377" s="198"/>
      <c r="V377" s="198"/>
      <c r="W377" s="198"/>
      <c r="X377" s="198"/>
      <c r="Y377" s="198"/>
      <c r="Z377" s="198"/>
    </row>
    <row r="378" spans="7:26">
      <c r="G378" s="198"/>
      <c r="H378" s="198"/>
      <c r="I378" s="198"/>
      <c r="J378" s="198"/>
      <c r="K378" s="198"/>
      <c r="L378" s="198"/>
      <c r="M378" s="198"/>
      <c r="N378" s="198"/>
      <c r="O378" s="198"/>
      <c r="P378" s="198"/>
      <c r="Q378" s="198"/>
      <c r="R378" s="198"/>
      <c r="S378" s="198"/>
      <c r="T378" s="220"/>
      <c r="U378" s="198"/>
      <c r="V378" s="198"/>
      <c r="W378" s="198"/>
      <c r="X378" s="198"/>
      <c r="Y378" s="198"/>
      <c r="Z378" s="198"/>
    </row>
    <row r="379" spans="7:26">
      <c r="G379" s="198"/>
      <c r="H379" s="198"/>
      <c r="I379" s="198"/>
      <c r="J379" s="198"/>
      <c r="K379" s="198"/>
      <c r="L379" s="198"/>
      <c r="M379" s="198"/>
      <c r="N379" s="198"/>
      <c r="O379" s="198"/>
      <c r="P379" s="198"/>
      <c r="Q379" s="198"/>
      <c r="R379" s="198"/>
      <c r="S379" s="198"/>
      <c r="T379" s="220"/>
      <c r="U379" s="198"/>
      <c r="V379" s="198"/>
      <c r="W379" s="198"/>
      <c r="X379" s="198"/>
      <c r="Y379" s="198"/>
      <c r="Z379" s="198"/>
    </row>
    <row r="380" spans="7:26">
      <c r="G380" s="198"/>
      <c r="H380" s="198"/>
      <c r="I380" s="198"/>
      <c r="J380" s="198"/>
      <c r="K380" s="198"/>
      <c r="L380" s="198"/>
      <c r="M380" s="198"/>
      <c r="N380" s="198"/>
      <c r="O380" s="198"/>
      <c r="P380" s="198"/>
      <c r="Q380" s="198"/>
      <c r="R380" s="198"/>
      <c r="S380" s="198"/>
      <c r="T380" s="220"/>
      <c r="U380" s="198"/>
      <c r="V380" s="198"/>
      <c r="W380" s="198"/>
      <c r="X380" s="198"/>
      <c r="Y380" s="198"/>
      <c r="Z380" s="198"/>
    </row>
    <row r="381" spans="7:26">
      <c r="G381" s="198"/>
      <c r="H381" s="198"/>
      <c r="I381" s="198"/>
      <c r="J381" s="198"/>
      <c r="K381" s="198"/>
      <c r="L381" s="198"/>
      <c r="M381" s="198"/>
      <c r="N381" s="198"/>
      <c r="O381" s="198"/>
      <c r="P381" s="198"/>
      <c r="Q381" s="198"/>
      <c r="R381" s="198"/>
      <c r="S381" s="198"/>
      <c r="T381" s="220"/>
      <c r="U381" s="198"/>
      <c r="V381" s="198"/>
      <c r="W381" s="198"/>
      <c r="X381" s="198"/>
      <c r="Y381" s="198"/>
      <c r="Z381" s="198"/>
    </row>
    <row r="382" spans="7:26">
      <c r="G382" s="198"/>
      <c r="H382" s="198"/>
      <c r="I382" s="198"/>
      <c r="J382" s="198"/>
      <c r="K382" s="198"/>
      <c r="L382" s="198"/>
      <c r="M382" s="198"/>
      <c r="N382" s="198"/>
      <c r="O382" s="198"/>
      <c r="P382" s="198"/>
      <c r="Q382" s="198"/>
      <c r="R382" s="198"/>
      <c r="S382" s="198"/>
      <c r="T382" s="220"/>
      <c r="U382" s="198"/>
      <c r="V382" s="198"/>
      <c r="W382" s="198"/>
      <c r="X382" s="198"/>
      <c r="Y382" s="198"/>
      <c r="Z382" s="198"/>
    </row>
    <row r="383" spans="7:26">
      <c r="G383" s="198"/>
      <c r="H383" s="198"/>
      <c r="I383" s="198"/>
      <c r="J383" s="198"/>
      <c r="K383" s="198"/>
      <c r="L383" s="198"/>
      <c r="M383" s="198"/>
      <c r="N383" s="198"/>
      <c r="O383" s="198"/>
      <c r="P383" s="198"/>
      <c r="Q383" s="198"/>
      <c r="R383" s="198"/>
      <c r="S383" s="198"/>
      <c r="T383" s="220"/>
      <c r="U383" s="198"/>
      <c r="V383" s="198"/>
      <c r="W383" s="198"/>
      <c r="X383" s="198"/>
      <c r="Y383" s="198"/>
      <c r="Z383" s="198"/>
    </row>
    <row r="384" spans="7:26">
      <c r="G384" s="198"/>
      <c r="H384" s="198"/>
      <c r="I384" s="198"/>
      <c r="J384" s="198"/>
      <c r="K384" s="198"/>
      <c r="L384" s="198"/>
      <c r="M384" s="198"/>
      <c r="N384" s="198"/>
      <c r="O384" s="198"/>
      <c r="P384" s="198"/>
      <c r="Q384" s="198"/>
      <c r="R384" s="198"/>
      <c r="S384" s="198"/>
      <c r="T384" s="220"/>
      <c r="U384" s="198"/>
      <c r="V384" s="198"/>
      <c r="W384" s="198"/>
      <c r="X384" s="198"/>
      <c r="Y384" s="198"/>
      <c r="Z384" s="198"/>
    </row>
    <row r="385" spans="7:26">
      <c r="G385" s="198"/>
      <c r="H385" s="198"/>
      <c r="I385" s="198"/>
      <c r="J385" s="198"/>
      <c r="K385" s="198"/>
      <c r="L385" s="198"/>
      <c r="M385" s="198"/>
      <c r="N385" s="198"/>
      <c r="O385" s="198"/>
      <c r="P385" s="198"/>
      <c r="Q385" s="198"/>
      <c r="R385" s="198"/>
      <c r="S385" s="198"/>
      <c r="T385" s="220"/>
      <c r="U385" s="198"/>
      <c r="V385" s="198"/>
      <c r="W385" s="198"/>
      <c r="X385" s="198"/>
      <c r="Y385" s="198"/>
      <c r="Z385" s="198"/>
    </row>
    <row r="386" spans="7:26">
      <c r="G386" s="198"/>
      <c r="H386" s="198"/>
      <c r="I386" s="198"/>
      <c r="J386" s="198"/>
      <c r="K386" s="198"/>
      <c r="L386" s="198"/>
      <c r="M386" s="198"/>
      <c r="N386" s="198"/>
      <c r="O386" s="198"/>
      <c r="P386" s="198"/>
      <c r="Q386" s="198"/>
      <c r="R386" s="198"/>
      <c r="S386" s="198"/>
      <c r="T386" s="220"/>
      <c r="U386" s="198"/>
      <c r="V386" s="198"/>
      <c r="W386" s="198"/>
      <c r="X386" s="198"/>
      <c r="Y386" s="198"/>
      <c r="Z386" s="198"/>
    </row>
    <row r="387" spans="7:26">
      <c r="G387" s="198"/>
      <c r="H387" s="198"/>
      <c r="I387" s="198"/>
      <c r="J387" s="198"/>
      <c r="K387" s="198"/>
      <c r="L387" s="198"/>
      <c r="M387" s="198"/>
      <c r="N387" s="198"/>
      <c r="O387" s="198"/>
      <c r="P387" s="198"/>
      <c r="Q387" s="198"/>
      <c r="R387" s="198"/>
      <c r="S387" s="198"/>
      <c r="T387" s="220"/>
      <c r="U387" s="198"/>
      <c r="V387" s="198"/>
      <c r="W387" s="198"/>
      <c r="X387" s="198"/>
      <c r="Y387" s="198"/>
      <c r="Z387" s="198"/>
    </row>
    <row r="388" spans="7:26">
      <c r="G388" s="198"/>
      <c r="H388" s="198"/>
      <c r="I388" s="198"/>
      <c r="J388" s="198"/>
      <c r="K388" s="198"/>
      <c r="L388" s="198"/>
      <c r="M388" s="198"/>
      <c r="N388" s="198"/>
      <c r="O388" s="198"/>
      <c r="P388" s="198"/>
      <c r="Q388" s="198"/>
      <c r="R388" s="198"/>
      <c r="S388" s="198"/>
      <c r="T388" s="220"/>
      <c r="U388" s="198"/>
      <c r="V388" s="198"/>
      <c r="W388" s="198"/>
      <c r="X388" s="198"/>
      <c r="Y388" s="198"/>
      <c r="Z388" s="198"/>
    </row>
    <row r="389" spans="7:26">
      <c r="G389" s="198"/>
      <c r="H389" s="198"/>
      <c r="I389" s="198"/>
      <c r="J389" s="198"/>
      <c r="K389" s="198"/>
      <c r="L389" s="198"/>
      <c r="M389" s="198"/>
      <c r="N389" s="198"/>
      <c r="O389" s="198"/>
      <c r="P389" s="198"/>
      <c r="Q389" s="198"/>
      <c r="R389" s="198"/>
      <c r="S389" s="198"/>
      <c r="T389" s="220"/>
      <c r="U389" s="198"/>
      <c r="V389" s="198"/>
      <c r="W389" s="198"/>
      <c r="X389" s="198"/>
      <c r="Y389" s="198"/>
      <c r="Z389" s="198"/>
    </row>
    <row r="390" spans="7:26">
      <c r="G390" s="198"/>
      <c r="H390" s="198"/>
      <c r="I390" s="198"/>
      <c r="J390" s="198"/>
      <c r="K390" s="198"/>
      <c r="L390" s="198"/>
      <c r="M390" s="198"/>
      <c r="N390" s="198"/>
      <c r="O390" s="198"/>
      <c r="P390" s="198"/>
      <c r="Q390" s="198"/>
      <c r="R390" s="198"/>
      <c r="S390" s="198"/>
      <c r="T390" s="220"/>
      <c r="U390" s="198"/>
      <c r="V390" s="198"/>
      <c r="W390" s="198"/>
      <c r="X390" s="198"/>
      <c r="Y390" s="198"/>
      <c r="Z390" s="198"/>
    </row>
    <row r="391" spans="7:26">
      <c r="G391" s="198"/>
      <c r="H391" s="198"/>
      <c r="I391" s="198"/>
      <c r="J391" s="198"/>
      <c r="K391" s="198"/>
      <c r="L391" s="198"/>
      <c r="M391" s="198"/>
      <c r="N391" s="198"/>
      <c r="O391" s="198"/>
      <c r="P391" s="198"/>
      <c r="Q391" s="198"/>
      <c r="R391" s="198"/>
      <c r="S391" s="198"/>
      <c r="T391" s="220"/>
      <c r="U391" s="198"/>
      <c r="V391" s="198"/>
      <c r="W391" s="198"/>
      <c r="X391" s="198"/>
      <c r="Y391" s="198"/>
      <c r="Z391" s="198"/>
    </row>
    <row r="392" spans="7:26">
      <c r="G392" s="198"/>
      <c r="H392" s="198"/>
      <c r="I392" s="198"/>
      <c r="J392" s="198"/>
      <c r="K392" s="198"/>
      <c r="L392" s="198"/>
      <c r="M392" s="198"/>
      <c r="N392" s="198"/>
      <c r="O392" s="198"/>
      <c r="P392" s="198"/>
      <c r="Q392" s="198"/>
      <c r="R392" s="198"/>
      <c r="S392" s="198"/>
      <c r="T392" s="220"/>
      <c r="U392" s="198"/>
      <c r="V392" s="198"/>
      <c r="W392" s="198"/>
      <c r="X392" s="198"/>
      <c r="Y392" s="198"/>
      <c r="Z392" s="198"/>
    </row>
    <row r="393" spans="7:26">
      <c r="G393" s="198"/>
      <c r="H393" s="198"/>
      <c r="I393" s="198"/>
      <c r="J393" s="198"/>
      <c r="K393" s="198"/>
      <c r="L393" s="198"/>
      <c r="M393" s="198"/>
      <c r="N393" s="198"/>
      <c r="O393" s="198"/>
      <c r="P393" s="198"/>
      <c r="Q393" s="198"/>
      <c r="R393" s="198"/>
      <c r="S393" s="198"/>
      <c r="T393" s="220"/>
      <c r="U393" s="198"/>
      <c r="V393" s="198"/>
      <c r="W393" s="198"/>
      <c r="X393" s="198"/>
      <c r="Y393" s="198"/>
      <c r="Z393" s="198"/>
    </row>
    <row r="394" spans="7:26">
      <c r="G394" s="198"/>
      <c r="H394" s="198"/>
      <c r="I394" s="198"/>
      <c r="J394" s="198"/>
      <c r="K394" s="198"/>
      <c r="L394" s="198"/>
      <c r="M394" s="198"/>
      <c r="N394" s="198"/>
      <c r="O394" s="198"/>
      <c r="P394" s="198"/>
      <c r="Q394" s="198"/>
      <c r="R394" s="198"/>
      <c r="S394" s="198"/>
      <c r="T394" s="220"/>
      <c r="U394" s="198"/>
      <c r="V394" s="198"/>
      <c r="W394" s="198"/>
      <c r="X394" s="198"/>
      <c r="Y394" s="198"/>
      <c r="Z394" s="198"/>
    </row>
    <row r="395" spans="7:26">
      <c r="G395" s="198"/>
      <c r="H395" s="198"/>
      <c r="I395" s="198"/>
      <c r="J395" s="198"/>
      <c r="K395" s="198"/>
      <c r="L395" s="198"/>
      <c r="M395" s="198"/>
      <c r="N395" s="198"/>
      <c r="O395" s="198"/>
      <c r="P395" s="198"/>
      <c r="Q395" s="198"/>
      <c r="R395" s="198"/>
      <c r="S395" s="198"/>
      <c r="T395" s="220"/>
      <c r="U395" s="198"/>
      <c r="V395" s="198"/>
      <c r="W395" s="198"/>
      <c r="X395" s="198"/>
      <c r="Y395" s="198"/>
      <c r="Z395" s="198"/>
    </row>
    <row r="396" spans="7:26">
      <c r="G396" s="198"/>
      <c r="H396" s="198"/>
      <c r="I396" s="198"/>
      <c r="J396" s="198"/>
      <c r="K396" s="198"/>
      <c r="L396" s="198"/>
      <c r="M396" s="198"/>
      <c r="N396" s="198"/>
      <c r="O396" s="198"/>
      <c r="P396" s="198"/>
      <c r="Q396" s="198"/>
      <c r="R396" s="198"/>
      <c r="S396" s="198"/>
      <c r="T396" s="220"/>
      <c r="U396" s="198"/>
      <c r="V396" s="198"/>
      <c r="W396" s="198"/>
      <c r="X396" s="198"/>
      <c r="Y396" s="198"/>
      <c r="Z396" s="198"/>
    </row>
    <row r="397" spans="7:26">
      <c r="G397" s="198"/>
      <c r="H397" s="198"/>
      <c r="I397" s="198"/>
      <c r="J397" s="198"/>
      <c r="K397" s="198"/>
      <c r="L397" s="198"/>
      <c r="M397" s="198"/>
      <c r="N397" s="198"/>
      <c r="O397" s="198"/>
      <c r="P397" s="198"/>
      <c r="Q397" s="198"/>
      <c r="R397" s="198"/>
      <c r="S397" s="198"/>
      <c r="T397" s="220"/>
      <c r="U397" s="198"/>
      <c r="V397" s="198"/>
      <c r="W397" s="198"/>
      <c r="X397" s="198"/>
      <c r="Y397" s="198"/>
      <c r="Z397" s="198"/>
    </row>
    <row r="398" spans="7:26">
      <c r="G398" s="198"/>
      <c r="H398" s="198"/>
      <c r="I398" s="198"/>
      <c r="J398" s="198"/>
      <c r="K398" s="198"/>
      <c r="L398" s="198"/>
      <c r="M398" s="198"/>
      <c r="N398" s="198"/>
      <c r="O398" s="198"/>
      <c r="P398" s="198"/>
      <c r="Q398" s="198"/>
      <c r="R398" s="198"/>
      <c r="S398" s="198"/>
      <c r="T398" s="220"/>
      <c r="U398" s="198"/>
      <c r="V398" s="198"/>
      <c r="W398" s="198"/>
      <c r="X398" s="198"/>
      <c r="Y398" s="198"/>
      <c r="Z398" s="198"/>
    </row>
    <row r="399" spans="7:26">
      <c r="G399" s="198"/>
      <c r="H399" s="198"/>
      <c r="I399" s="198"/>
      <c r="J399" s="198"/>
      <c r="K399" s="198"/>
      <c r="L399" s="198"/>
      <c r="M399" s="198"/>
      <c r="N399" s="198"/>
      <c r="O399" s="198"/>
      <c r="P399" s="198"/>
      <c r="Q399" s="198"/>
      <c r="R399" s="198"/>
      <c r="S399" s="198"/>
      <c r="T399" s="220"/>
      <c r="U399" s="198"/>
      <c r="V399" s="198"/>
      <c r="W399" s="198"/>
      <c r="X399" s="198"/>
      <c r="Y399" s="198"/>
      <c r="Z399" s="198"/>
    </row>
    <row r="400" spans="7:26">
      <c r="G400" s="198"/>
      <c r="H400" s="198"/>
      <c r="I400" s="198"/>
      <c r="J400" s="198"/>
      <c r="K400" s="198"/>
      <c r="L400" s="198"/>
      <c r="M400" s="198"/>
      <c r="N400" s="198"/>
      <c r="O400" s="198"/>
      <c r="P400" s="198"/>
      <c r="Q400" s="198"/>
      <c r="R400" s="198"/>
      <c r="S400" s="198"/>
      <c r="T400" s="220"/>
      <c r="U400" s="198"/>
      <c r="V400" s="198"/>
      <c r="W400" s="198"/>
      <c r="X400" s="198"/>
      <c r="Y400" s="198"/>
      <c r="Z400" s="198"/>
    </row>
    <row r="401" spans="7:26">
      <c r="G401" s="198"/>
      <c r="H401" s="198"/>
      <c r="I401" s="198"/>
      <c r="J401" s="198"/>
      <c r="K401" s="198"/>
      <c r="L401" s="198"/>
      <c r="M401" s="198"/>
      <c r="N401" s="198"/>
      <c r="O401" s="198"/>
      <c r="P401" s="198"/>
      <c r="Q401" s="198"/>
      <c r="R401" s="198"/>
      <c r="S401" s="198"/>
      <c r="T401" s="220"/>
      <c r="U401" s="198"/>
      <c r="V401" s="198"/>
      <c r="W401" s="198"/>
      <c r="X401" s="198"/>
      <c r="Y401" s="198"/>
      <c r="Z401" s="198"/>
    </row>
    <row r="402" spans="7:26">
      <c r="G402" s="198"/>
      <c r="H402" s="198"/>
      <c r="I402" s="198"/>
      <c r="J402" s="198"/>
      <c r="K402" s="198"/>
      <c r="L402" s="198"/>
      <c r="M402" s="198"/>
      <c r="N402" s="198"/>
      <c r="O402" s="198"/>
      <c r="P402" s="198"/>
      <c r="Q402" s="198"/>
      <c r="R402" s="198"/>
      <c r="S402" s="198"/>
      <c r="T402" s="220"/>
      <c r="U402" s="198"/>
      <c r="V402" s="198"/>
      <c r="W402" s="198"/>
      <c r="X402" s="198"/>
      <c r="Y402" s="198"/>
      <c r="Z402" s="198"/>
    </row>
    <row r="403" spans="7:26">
      <c r="G403" s="198"/>
      <c r="H403" s="198"/>
      <c r="I403" s="198"/>
      <c r="J403" s="198"/>
      <c r="K403" s="198"/>
      <c r="L403" s="198"/>
      <c r="M403" s="198"/>
      <c r="N403" s="198"/>
      <c r="O403" s="198"/>
      <c r="P403" s="198"/>
      <c r="Q403" s="198"/>
      <c r="R403" s="198"/>
      <c r="S403" s="198"/>
      <c r="T403" s="220"/>
      <c r="U403" s="198"/>
      <c r="V403" s="198"/>
      <c r="W403" s="198"/>
      <c r="X403" s="198"/>
      <c r="Y403" s="198"/>
      <c r="Z403" s="198"/>
    </row>
    <row r="404" spans="7:26">
      <c r="G404" s="198"/>
      <c r="H404" s="198"/>
      <c r="I404" s="198"/>
      <c r="J404" s="198"/>
      <c r="K404" s="198"/>
      <c r="L404" s="198"/>
      <c r="M404" s="198"/>
      <c r="N404" s="198"/>
      <c r="O404" s="198"/>
      <c r="P404" s="198"/>
      <c r="Q404" s="198"/>
      <c r="R404" s="198"/>
      <c r="S404" s="198"/>
      <c r="T404" s="220"/>
      <c r="U404" s="198"/>
      <c r="V404" s="198"/>
      <c r="W404" s="198"/>
      <c r="X404" s="198"/>
      <c r="Y404" s="198"/>
      <c r="Z404" s="198"/>
    </row>
    <row r="405" spans="7:26">
      <c r="G405" s="198"/>
      <c r="H405" s="198"/>
      <c r="I405" s="198"/>
      <c r="J405" s="198"/>
      <c r="K405" s="198"/>
      <c r="L405" s="198"/>
      <c r="M405" s="198"/>
      <c r="N405" s="198"/>
      <c r="O405" s="198"/>
      <c r="P405" s="198"/>
      <c r="Q405" s="198"/>
      <c r="R405" s="198"/>
      <c r="S405" s="198"/>
      <c r="T405" s="220"/>
      <c r="U405" s="198"/>
      <c r="V405" s="198"/>
      <c r="W405" s="198"/>
      <c r="X405" s="198"/>
      <c r="Y405" s="198"/>
      <c r="Z405" s="198"/>
    </row>
    <row r="406" spans="7:26">
      <c r="G406" s="198"/>
      <c r="H406" s="198"/>
      <c r="I406" s="198"/>
      <c r="J406" s="198"/>
      <c r="K406" s="198"/>
      <c r="L406" s="198"/>
      <c r="M406" s="198"/>
      <c r="N406" s="198"/>
      <c r="O406" s="198"/>
      <c r="P406" s="198"/>
      <c r="Q406" s="198"/>
      <c r="R406" s="198"/>
      <c r="S406" s="198"/>
      <c r="T406" s="220"/>
      <c r="U406" s="198"/>
      <c r="V406" s="198"/>
      <c r="W406" s="198"/>
      <c r="X406" s="198"/>
      <c r="Y406" s="198"/>
      <c r="Z406" s="198"/>
    </row>
    <row r="407" spans="7:26">
      <c r="G407" s="198"/>
      <c r="H407" s="198"/>
      <c r="I407" s="198"/>
      <c r="J407" s="198"/>
      <c r="K407" s="198"/>
      <c r="L407" s="198"/>
      <c r="M407" s="198"/>
      <c r="N407" s="198"/>
      <c r="O407" s="198"/>
      <c r="P407" s="198"/>
      <c r="Q407" s="198"/>
      <c r="R407" s="198"/>
      <c r="S407" s="198"/>
      <c r="T407" s="220"/>
      <c r="U407" s="198"/>
      <c r="V407" s="198"/>
      <c r="W407" s="198"/>
      <c r="X407" s="198"/>
      <c r="Y407" s="198"/>
      <c r="Z407" s="198"/>
    </row>
    <row r="408" spans="7:26">
      <c r="G408" s="198"/>
      <c r="H408" s="198"/>
      <c r="I408" s="198"/>
      <c r="J408" s="198"/>
      <c r="K408" s="198"/>
      <c r="L408" s="198"/>
      <c r="M408" s="198"/>
      <c r="N408" s="198"/>
      <c r="O408" s="198"/>
      <c r="P408" s="198"/>
      <c r="Q408" s="198"/>
      <c r="R408" s="198"/>
      <c r="S408" s="198"/>
      <c r="T408" s="220"/>
      <c r="U408" s="198"/>
      <c r="V408" s="198"/>
      <c r="W408" s="198"/>
      <c r="X408" s="198"/>
      <c r="Y408" s="198"/>
      <c r="Z408" s="198"/>
    </row>
    <row r="409" spans="7:26">
      <c r="G409" s="198"/>
      <c r="H409" s="198"/>
      <c r="I409" s="198"/>
      <c r="J409" s="198"/>
      <c r="K409" s="198"/>
      <c r="L409" s="198"/>
      <c r="M409" s="198"/>
      <c r="N409" s="198"/>
      <c r="O409" s="198"/>
      <c r="P409" s="198"/>
      <c r="Q409" s="198"/>
      <c r="R409" s="198"/>
      <c r="S409" s="198"/>
      <c r="T409" s="220"/>
      <c r="U409" s="198"/>
      <c r="V409" s="198"/>
      <c r="W409" s="198"/>
      <c r="X409" s="198"/>
      <c r="Y409" s="198"/>
      <c r="Z409" s="198"/>
    </row>
    <row r="410" spans="7:26">
      <c r="G410" s="198"/>
      <c r="H410" s="198"/>
      <c r="I410" s="198"/>
      <c r="J410" s="198"/>
      <c r="K410" s="198"/>
      <c r="L410" s="198"/>
      <c r="M410" s="198"/>
      <c r="N410" s="198"/>
      <c r="O410" s="198"/>
      <c r="P410" s="198"/>
      <c r="Q410" s="198"/>
      <c r="R410" s="198"/>
      <c r="S410" s="198"/>
      <c r="T410" s="220"/>
      <c r="U410" s="198"/>
      <c r="V410" s="198"/>
      <c r="W410" s="198"/>
      <c r="X410" s="198"/>
      <c r="Y410" s="198"/>
      <c r="Z410" s="198"/>
    </row>
    <row r="411" spans="7:26">
      <c r="G411" s="198"/>
      <c r="H411" s="198"/>
      <c r="I411" s="198"/>
      <c r="J411" s="198"/>
      <c r="K411" s="198"/>
      <c r="L411" s="198"/>
      <c r="M411" s="198"/>
      <c r="N411" s="198"/>
      <c r="O411" s="198"/>
      <c r="P411" s="198"/>
      <c r="Q411" s="198"/>
      <c r="R411" s="198"/>
      <c r="S411" s="198"/>
      <c r="T411" s="220"/>
      <c r="U411" s="198"/>
      <c r="V411" s="198"/>
      <c r="W411" s="198"/>
      <c r="X411" s="198"/>
      <c r="Y411" s="198"/>
      <c r="Z411" s="198"/>
    </row>
    <row r="412" spans="7:26">
      <c r="G412" s="198"/>
      <c r="H412" s="198"/>
      <c r="I412" s="198"/>
      <c r="J412" s="198"/>
      <c r="K412" s="198"/>
      <c r="L412" s="198"/>
      <c r="M412" s="198"/>
      <c r="N412" s="198"/>
      <c r="O412" s="198"/>
      <c r="P412" s="198"/>
      <c r="Q412" s="198"/>
      <c r="R412" s="198"/>
      <c r="S412" s="198"/>
      <c r="T412" s="220"/>
      <c r="U412" s="198"/>
      <c r="V412" s="198"/>
      <c r="W412" s="198"/>
      <c r="X412" s="198"/>
      <c r="Y412" s="198"/>
      <c r="Z412" s="198"/>
    </row>
    <row r="413" spans="7:26">
      <c r="G413" s="198"/>
      <c r="H413" s="198"/>
      <c r="I413" s="198"/>
      <c r="J413" s="198"/>
      <c r="K413" s="198"/>
      <c r="L413" s="198"/>
      <c r="M413" s="198"/>
      <c r="N413" s="198"/>
      <c r="O413" s="198"/>
      <c r="P413" s="198"/>
      <c r="Q413" s="198"/>
      <c r="R413" s="198"/>
      <c r="S413" s="198"/>
      <c r="T413" s="220"/>
      <c r="U413" s="198"/>
      <c r="V413" s="198"/>
      <c r="W413" s="198"/>
      <c r="X413" s="198"/>
      <c r="Y413" s="198"/>
      <c r="Z413" s="198"/>
    </row>
    <row r="414" spans="7:26">
      <c r="G414" s="198"/>
      <c r="H414" s="198"/>
      <c r="I414" s="198"/>
      <c r="J414" s="198"/>
      <c r="K414" s="198"/>
      <c r="L414" s="198"/>
      <c r="M414" s="198"/>
      <c r="N414" s="198"/>
      <c r="O414" s="198"/>
      <c r="P414" s="198"/>
      <c r="Q414" s="198"/>
      <c r="R414" s="198"/>
      <c r="S414" s="198"/>
      <c r="T414" s="220"/>
      <c r="U414" s="198"/>
      <c r="V414" s="198"/>
      <c r="W414" s="198"/>
      <c r="X414" s="198"/>
      <c r="Y414" s="198"/>
      <c r="Z414" s="198"/>
    </row>
    <row r="415" spans="7:26">
      <c r="G415" s="198"/>
      <c r="H415" s="198"/>
      <c r="I415" s="198"/>
      <c r="J415" s="198"/>
      <c r="K415" s="198"/>
      <c r="L415" s="198"/>
      <c r="M415" s="198"/>
      <c r="N415" s="198"/>
      <c r="O415" s="198"/>
      <c r="P415" s="198"/>
      <c r="Q415" s="198"/>
      <c r="R415" s="198"/>
      <c r="S415" s="198"/>
      <c r="T415" s="220"/>
      <c r="U415" s="198"/>
      <c r="V415" s="198"/>
      <c r="W415" s="198"/>
      <c r="X415" s="198"/>
      <c r="Y415" s="198"/>
      <c r="Z415" s="198"/>
    </row>
    <row r="416" spans="7:26">
      <c r="G416" s="198"/>
      <c r="H416" s="198"/>
      <c r="I416" s="198"/>
      <c r="J416" s="198"/>
      <c r="K416" s="198"/>
      <c r="L416" s="198"/>
      <c r="M416" s="198"/>
      <c r="N416" s="198"/>
      <c r="O416" s="198"/>
      <c r="P416" s="198"/>
      <c r="Q416" s="198"/>
      <c r="R416" s="198"/>
      <c r="S416" s="198"/>
      <c r="T416" s="220"/>
      <c r="U416" s="198"/>
      <c r="V416" s="198"/>
      <c r="W416" s="198"/>
      <c r="X416" s="198"/>
      <c r="Y416" s="198"/>
      <c r="Z416" s="198"/>
    </row>
    <row r="417" spans="7:26">
      <c r="G417" s="198"/>
      <c r="H417" s="198"/>
      <c r="I417" s="198"/>
      <c r="J417" s="198"/>
      <c r="K417" s="198"/>
      <c r="L417" s="198"/>
      <c r="M417" s="198"/>
      <c r="N417" s="198"/>
      <c r="O417" s="198"/>
      <c r="P417" s="198"/>
      <c r="Q417" s="198"/>
      <c r="R417" s="198"/>
      <c r="S417" s="198"/>
      <c r="T417" s="220"/>
      <c r="U417" s="198"/>
      <c r="V417" s="198"/>
      <c r="W417" s="198"/>
      <c r="X417" s="198"/>
      <c r="Y417" s="198"/>
      <c r="Z417" s="198"/>
    </row>
    <row r="418" spans="7:26">
      <c r="G418" s="198"/>
      <c r="H418" s="198"/>
      <c r="I418" s="198"/>
      <c r="J418" s="198"/>
      <c r="K418" s="198"/>
      <c r="L418" s="198"/>
      <c r="M418" s="198"/>
      <c r="N418" s="198"/>
      <c r="O418" s="198"/>
      <c r="P418" s="198"/>
      <c r="Q418" s="198"/>
      <c r="R418" s="198"/>
      <c r="S418" s="198"/>
      <c r="T418" s="220"/>
      <c r="U418" s="198"/>
      <c r="V418" s="198"/>
      <c r="W418" s="198"/>
      <c r="X418" s="198"/>
      <c r="Y418" s="198"/>
      <c r="Z418" s="198"/>
    </row>
    <row r="419" spans="7:26">
      <c r="G419" s="198"/>
      <c r="H419" s="198"/>
      <c r="I419" s="198"/>
      <c r="J419" s="198"/>
      <c r="K419" s="198"/>
      <c r="L419" s="198"/>
      <c r="M419" s="198"/>
      <c r="N419" s="198"/>
      <c r="O419" s="198"/>
      <c r="P419" s="198"/>
      <c r="Q419" s="198"/>
      <c r="R419" s="198"/>
      <c r="S419" s="198"/>
      <c r="T419" s="220"/>
      <c r="U419" s="198"/>
      <c r="V419" s="198"/>
      <c r="W419" s="198"/>
      <c r="X419" s="198"/>
      <c r="Y419" s="198"/>
      <c r="Z419" s="198"/>
    </row>
    <row r="420" spans="7:26">
      <c r="G420" s="198"/>
      <c r="H420" s="198"/>
      <c r="I420" s="198"/>
      <c r="J420" s="198"/>
      <c r="K420" s="198"/>
      <c r="L420" s="198"/>
      <c r="M420" s="198"/>
      <c r="N420" s="198"/>
      <c r="O420" s="198"/>
      <c r="P420" s="198"/>
      <c r="Q420" s="198"/>
      <c r="R420" s="198"/>
      <c r="S420" s="198"/>
      <c r="T420" s="220"/>
      <c r="U420" s="198"/>
      <c r="V420" s="198"/>
      <c r="W420" s="198"/>
      <c r="X420" s="198"/>
      <c r="Y420" s="198"/>
      <c r="Z420" s="198"/>
    </row>
    <row r="421" spans="7:26">
      <c r="G421" s="198"/>
      <c r="H421" s="198"/>
      <c r="I421" s="198"/>
      <c r="J421" s="198"/>
      <c r="K421" s="198"/>
      <c r="L421" s="198"/>
      <c r="M421" s="198"/>
      <c r="N421" s="198"/>
      <c r="O421" s="198"/>
      <c r="P421" s="198"/>
      <c r="Q421" s="198"/>
      <c r="R421" s="198"/>
      <c r="S421" s="198"/>
      <c r="T421" s="220"/>
      <c r="U421" s="198"/>
      <c r="V421" s="198"/>
      <c r="W421" s="198"/>
      <c r="X421" s="198"/>
      <c r="Y421" s="198"/>
      <c r="Z421" s="198"/>
    </row>
    <row r="422" spans="7:26">
      <c r="G422" s="198"/>
      <c r="H422" s="198"/>
      <c r="I422" s="198"/>
      <c r="J422" s="198"/>
      <c r="K422" s="198"/>
      <c r="L422" s="198"/>
      <c r="M422" s="198"/>
      <c r="N422" s="198"/>
      <c r="O422" s="198"/>
      <c r="P422" s="198"/>
      <c r="Q422" s="198"/>
      <c r="R422" s="198"/>
      <c r="S422" s="198"/>
      <c r="T422" s="220"/>
      <c r="U422" s="198"/>
      <c r="V422" s="198"/>
      <c r="W422" s="198"/>
      <c r="X422" s="198"/>
      <c r="Y422" s="198"/>
      <c r="Z422" s="198"/>
    </row>
    <row r="423" spans="7:26">
      <c r="G423" s="198"/>
      <c r="H423" s="198"/>
      <c r="I423" s="198"/>
      <c r="J423" s="198"/>
      <c r="K423" s="198"/>
      <c r="L423" s="198"/>
      <c r="M423" s="198"/>
      <c r="N423" s="198"/>
      <c r="O423" s="198"/>
      <c r="P423" s="198"/>
      <c r="Q423" s="198"/>
      <c r="R423" s="198"/>
      <c r="S423" s="198"/>
      <c r="T423" s="220"/>
      <c r="U423" s="198"/>
      <c r="V423" s="198"/>
      <c r="W423" s="198"/>
      <c r="X423" s="198"/>
      <c r="Y423" s="198"/>
      <c r="Z423" s="198"/>
    </row>
    <row r="424" spans="7:26">
      <c r="G424" s="198"/>
      <c r="H424" s="198"/>
      <c r="I424" s="198"/>
      <c r="J424" s="198"/>
      <c r="K424" s="198"/>
      <c r="L424" s="198"/>
      <c r="M424" s="198"/>
      <c r="N424" s="198"/>
      <c r="O424" s="198"/>
      <c r="P424" s="198"/>
      <c r="Q424" s="198"/>
      <c r="R424" s="198"/>
      <c r="S424" s="198"/>
      <c r="T424" s="220"/>
      <c r="U424" s="198"/>
      <c r="V424" s="198"/>
      <c r="W424" s="198"/>
      <c r="X424" s="198"/>
      <c r="Y424" s="198"/>
      <c r="Z424" s="198"/>
    </row>
    <row r="425" spans="7:26">
      <c r="G425" s="198"/>
      <c r="H425" s="198"/>
      <c r="I425" s="198"/>
      <c r="J425" s="198"/>
      <c r="K425" s="198"/>
      <c r="L425" s="198"/>
      <c r="M425" s="198"/>
      <c r="N425" s="198"/>
      <c r="O425" s="198"/>
      <c r="P425" s="198"/>
      <c r="Q425" s="198"/>
      <c r="R425" s="198"/>
      <c r="S425" s="198"/>
      <c r="T425" s="220"/>
      <c r="U425" s="198"/>
      <c r="V425" s="198"/>
      <c r="W425" s="198"/>
      <c r="X425" s="198"/>
      <c r="Y425" s="198"/>
      <c r="Z425" s="198"/>
    </row>
    <row r="426" spans="7:26">
      <c r="G426" s="198"/>
      <c r="H426" s="198"/>
      <c r="I426" s="198"/>
      <c r="J426" s="198"/>
      <c r="K426" s="198"/>
      <c r="L426" s="198"/>
      <c r="M426" s="198"/>
      <c r="N426" s="198"/>
      <c r="O426" s="198"/>
      <c r="P426" s="198"/>
      <c r="Q426" s="198"/>
      <c r="R426" s="198"/>
      <c r="S426" s="198"/>
      <c r="T426" s="220"/>
      <c r="U426" s="198"/>
      <c r="V426" s="198"/>
      <c r="W426" s="198"/>
      <c r="X426" s="198"/>
      <c r="Y426" s="198"/>
      <c r="Z426" s="198"/>
    </row>
    <row r="427" spans="7:26">
      <c r="G427" s="198"/>
      <c r="H427" s="198"/>
      <c r="I427" s="198"/>
      <c r="J427" s="198"/>
      <c r="K427" s="198"/>
      <c r="L427" s="198"/>
      <c r="M427" s="198"/>
      <c r="N427" s="198"/>
      <c r="O427" s="198"/>
      <c r="P427" s="198"/>
      <c r="Q427" s="198"/>
      <c r="R427" s="198"/>
      <c r="S427" s="198"/>
      <c r="T427" s="220"/>
      <c r="U427" s="198"/>
      <c r="V427" s="198"/>
      <c r="W427" s="198"/>
      <c r="X427" s="198"/>
      <c r="Y427" s="198"/>
      <c r="Z427" s="198"/>
    </row>
    <row r="428" spans="7:26">
      <c r="G428" s="198"/>
      <c r="H428" s="198"/>
      <c r="I428" s="198"/>
      <c r="J428" s="198"/>
      <c r="K428" s="198"/>
      <c r="L428" s="198"/>
      <c r="M428" s="198"/>
      <c r="N428" s="198"/>
      <c r="O428" s="198"/>
      <c r="P428" s="198"/>
      <c r="Q428" s="198"/>
      <c r="R428" s="198"/>
      <c r="S428" s="198"/>
      <c r="T428" s="220"/>
      <c r="U428" s="198"/>
      <c r="V428" s="198"/>
      <c r="W428" s="198"/>
      <c r="X428" s="198"/>
      <c r="Y428" s="198"/>
      <c r="Z428" s="198"/>
    </row>
    <row r="429" spans="7:26">
      <c r="G429" s="198"/>
      <c r="H429" s="198"/>
      <c r="I429" s="198"/>
      <c r="J429" s="198"/>
      <c r="K429" s="198"/>
      <c r="L429" s="198"/>
      <c r="M429" s="198"/>
      <c r="N429" s="198"/>
      <c r="O429" s="198"/>
      <c r="P429" s="198"/>
      <c r="Q429" s="198"/>
      <c r="R429" s="198"/>
      <c r="S429" s="198"/>
      <c r="T429" s="220"/>
      <c r="U429" s="198"/>
      <c r="V429" s="198"/>
      <c r="W429" s="198"/>
      <c r="X429" s="198"/>
      <c r="Y429" s="198"/>
      <c r="Z429" s="198"/>
    </row>
    <row r="430" spans="7:26">
      <c r="G430" s="198"/>
      <c r="H430" s="198"/>
      <c r="I430" s="198"/>
      <c r="J430" s="198"/>
      <c r="K430" s="198"/>
      <c r="L430" s="198"/>
      <c r="M430" s="198"/>
      <c r="N430" s="198"/>
      <c r="O430" s="198"/>
      <c r="P430" s="198"/>
      <c r="Q430" s="198"/>
      <c r="R430" s="198"/>
      <c r="S430" s="198"/>
      <c r="T430" s="220"/>
      <c r="U430" s="198"/>
      <c r="V430" s="198"/>
      <c r="W430" s="198"/>
      <c r="X430" s="198"/>
      <c r="Y430" s="198"/>
      <c r="Z430" s="198"/>
    </row>
    <row r="431" spans="7:26">
      <c r="G431" s="198"/>
      <c r="H431" s="198"/>
      <c r="I431" s="198"/>
      <c r="J431" s="198"/>
      <c r="K431" s="198"/>
      <c r="L431" s="198"/>
      <c r="M431" s="198"/>
      <c r="N431" s="198"/>
      <c r="O431" s="198"/>
      <c r="P431" s="198"/>
      <c r="Q431" s="198"/>
      <c r="R431" s="198"/>
      <c r="S431" s="198"/>
      <c r="T431" s="220"/>
      <c r="U431" s="198"/>
      <c r="V431" s="198"/>
      <c r="W431" s="198"/>
      <c r="X431" s="198"/>
      <c r="Y431" s="198"/>
      <c r="Z431" s="198"/>
    </row>
    <row r="432" spans="7:26">
      <c r="G432" s="198"/>
      <c r="H432" s="198"/>
      <c r="I432" s="198"/>
      <c r="J432" s="198"/>
      <c r="K432" s="198"/>
      <c r="L432" s="198"/>
      <c r="M432" s="198"/>
      <c r="N432" s="198"/>
      <c r="O432" s="198"/>
      <c r="P432" s="198"/>
      <c r="Q432" s="198"/>
      <c r="R432" s="198"/>
      <c r="S432" s="198"/>
      <c r="T432" s="220"/>
      <c r="U432" s="198"/>
      <c r="V432" s="198"/>
      <c r="W432" s="198"/>
      <c r="X432" s="198"/>
      <c r="Y432" s="198"/>
      <c r="Z432" s="198"/>
    </row>
    <row r="433" spans="7:26">
      <c r="G433" s="198"/>
      <c r="H433" s="198"/>
      <c r="I433" s="198"/>
      <c r="J433" s="198"/>
      <c r="K433" s="198"/>
      <c r="L433" s="198"/>
      <c r="M433" s="198"/>
      <c r="N433" s="198"/>
      <c r="O433" s="198"/>
      <c r="P433" s="198"/>
      <c r="Q433" s="198"/>
      <c r="R433" s="198"/>
      <c r="S433" s="198"/>
      <c r="T433" s="220"/>
      <c r="U433" s="198"/>
      <c r="V433" s="198"/>
      <c r="W433" s="198"/>
      <c r="X433" s="198"/>
      <c r="Y433" s="198"/>
      <c r="Z433" s="198"/>
    </row>
    <row r="434" spans="7:26">
      <c r="G434" s="198"/>
      <c r="H434" s="198"/>
      <c r="I434" s="198"/>
      <c r="J434" s="198"/>
      <c r="K434" s="198"/>
      <c r="L434" s="198"/>
      <c r="M434" s="198"/>
      <c r="N434" s="198"/>
      <c r="O434" s="198"/>
      <c r="P434" s="198"/>
      <c r="Q434" s="198"/>
      <c r="R434" s="198"/>
      <c r="S434" s="198"/>
      <c r="T434" s="220"/>
      <c r="U434" s="198"/>
      <c r="V434" s="198"/>
      <c r="W434" s="198"/>
      <c r="X434" s="198"/>
      <c r="Y434" s="198"/>
      <c r="Z434" s="198"/>
    </row>
    <row r="435" spans="7:26">
      <c r="G435" s="198"/>
      <c r="H435" s="198"/>
      <c r="I435" s="198"/>
      <c r="J435" s="198"/>
      <c r="K435" s="198"/>
      <c r="L435" s="198"/>
      <c r="M435" s="198"/>
      <c r="N435" s="198"/>
      <c r="O435" s="198"/>
      <c r="P435" s="198"/>
      <c r="Q435" s="198"/>
      <c r="R435" s="198"/>
      <c r="S435" s="198"/>
      <c r="T435" s="220"/>
      <c r="U435" s="198"/>
      <c r="V435" s="198"/>
      <c r="W435" s="198"/>
      <c r="X435" s="198"/>
      <c r="Y435" s="198"/>
      <c r="Z435" s="198"/>
    </row>
    <row r="436" spans="7:26">
      <c r="G436" s="198"/>
      <c r="H436" s="198"/>
      <c r="I436" s="198"/>
      <c r="J436" s="198"/>
      <c r="K436" s="198"/>
      <c r="L436" s="198"/>
      <c r="M436" s="198"/>
      <c r="N436" s="198"/>
      <c r="O436" s="198"/>
      <c r="P436" s="198"/>
      <c r="Q436" s="198"/>
      <c r="R436" s="198"/>
      <c r="S436" s="198"/>
      <c r="T436" s="220"/>
      <c r="U436" s="198"/>
      <c r="V436" s="198"/>
      <c r="W436" s="198"/>
      <c r="X436" s="198"/>
      <c r="Y436" s="198"/>
      <c r="Z436" s="198"/>
    </row>
    <row r="437" spans="7:26">
      <c r="G437" s="198"/>
      <c r="H437" s="198"/>
      <c r="I437" s="198"/>
      <c r="J437" s="198"/>
      <c r="K437" s="198"/>
      <c r="L437" s="198"/>
      <c r="M437" s="198"/>
      <c r="N437" s="198"/>
      <c r="O437" s="198"/>
      <c r="P437" s="198"/>
      <c r="Q437" s="198"/>
      <c r="R437" s="198"/>
      <c r="S437" s="198"/>
      <c r="T437" s="220"/>
      <c r="U437" s="198"/>
      <c r="V437" s="198"/>
      <c r="W437" s="198"/>
      <c r="X437" s="198"/>
      <c r="Y437" s="198"/>
      <c r="Z437" s="198"/>
    </row>
    <row r="438" spans="7:26">
      <c r="G438" s="198"/>
      <c r="H438" s="198"/>
      <c r="I438" s="198"/>
      <c r="J438" s="198"/>
      <c r="K438" s="198"/>
      <c r="L438" s="198"/>
      <c r="M438" s="198"/>
      <c r="N438" s="198"/>
      <c r="O438" s="198"/>
      <c r="P438" s="198"/>
      <c r="Q438" s="198"/>
      <c r="R438" s="198"/>
      <c r="S438" s="198"/>
      <c r="T438" s="220"/>
      <c r="U438" s="198"/>
      <c r="V438" s="198"/>
      <c r="W438" s="198"/>
      <c r="X438" s="198"/>
      <c r="Y438" s="198"/>
      <c r="Z438" s="198"/>
    </row>
    <row r="439" spans="7:26">
      <c r="G439" s="198"/>
      <c r="H439" s="198"/>
      <c r="I439" s="198"/>
      <c r="J439" s="198"/>
      <c r="K439" s="198"/>
      <c r="L439" s="198"/>
      <c r="M439" s="198"/>
      <c r="N439" s="198"/>
      <c r="O439" s="198"/>
      <c r="P439" s="198"/>
      <c r="Q439" s="198"/>
      <c r="R439" s="198"/>
      <c r="S439" s="198"/>
      <c r="T439" s="220"/>
      <c r="U439" s="198"/>
      <c r="V439" s="198"/>
      <c r="W439" s="198"/>
      <c r="X439" s="198"/>
      <c r="Y439" s="198"/>
      <c r="Z439" s="198"/>
    </row>
    <row r="440" spans="7:26">
      <c r="G440" s="198"/>
      <c r="H440" s="198"/>
      <c r="I440" s="198"/>
      <c r="J440" s="198"/>
      <c r="K440" s="198"/>
      <c r="L440" s="198"/>
      <c r="M440" s="198"/>
      <c r="N440" s="198"/>
      <c r="O440" s="198"/>
      <c r="P440" s="198"/>
      <c r="Q440" s="198"/>
      <c r="R440" s="198"/>
      <c r="S440" s="198"/>
      <c r="T440" s="220"/>
      <c r="U440" s="198"/>
      <c r="V440" s="198"/>
      <c r="W440" s="198"/>
      <c r="X440" s="198"/>
      <c r="Y440" s="198"/>
      <c r="Z440" s="198"/>
    </row>
    <row r="441" spans="7:26">
      <c r="G441" s="198"/>
      <c r="H441" s="198"/>
      <c r="I441" s="198"/>
      <c r="J441" s="198"/>
      <c r="K441" s="198"/>
      <c r="L441" s="198"/>
      <c r="M441" s="198"/>
      <c r="N441" s="198"/>
      <c r="O441" s="198"/>
      <c r="P441" s="198"/>
      <c r="Q441" s="198"/>
      <c r="R441" s="198"/>
      <c r="S441" s="198"/>
      <c r="T441" s="220"/>
      <c r="U441" s="198"/>
      <c r="V441" s="198"/>
      <c r="W441" s="198"/>
      <c r="X441" s="198"/>
      <c r="Y441" s="198"/>
      <c r="Z441" s="198"/>
    </row>
    <row r="442" spans="7:26">
      <c r="G442" s="198"/>
      <c r="H442" s="198"/>
      <c r="I442" s="198"/>
      <c r="J442" s="198"/>
      <c r="K442" s="198"/>
      <c r="L442" s="198"/>
      <c r="M442" s="198"/>
      <c r="N442" s="198"/>
      <c r="O442" s="198"/>
      <c r="P442" s="198"/>
      <c r="Q442" s="198"/>
      <c r="R442" s="198"/>
      <c r="S442" s="198"/>
      <c r="T442" s="220"/>
      <c r="U442" s="198"/>
      <c r="V442" s="198"/>
      <c r="W442" s="198"/>
      <c r="X442" s="198"/>
      <c r="Y442" s="198"/>
      <c r="Z442" s="198"/>
    </row>
    <row r="443" spans="7:26">
      <c r="G443" s="198"/>
      <c r="H443" s="198"/>
      <c r="I443" s="198"/>
      <c r="J443" s="198"/>
      <c r="K443" s="198"/>
      <c r="L443" s="198"/>
      <c r="M443" s="198"/>
      <c r="N443" s="198"/>
      <c r="O443" s="198"/>
      <c r="P443" s="198"/>
      <c r="Q443" s="198"/>
      <c r="R443" s="198"/>
      <c r="S443" s="198"/>
      <c r="T443" s="220"/>
      <c r="U443" s="198"/>
      <c r="V443" s="198"/>
      <c r="W443" s="198"/>
      <c r="X443" s="198"/>
      <c r="Y443" s="198"/>
      <c r="Z443" s="198"/>
    </row>
    <row r="444" spans="7:26">
      <c r="G444" s="198"/>
      <c r="H444" s="198"/>
      <c r="I444" s="198"/>
      <c r="J444" s="198"/>
      <c r="K444" s="198"/>
      <c r="L444" s="198"/>
      <c r="M444" s="198"/>
      <c r="N444" s="198"/>
      <c r="O444" s="198"/>
      <c r="P444" s="198"/>
      <c r="Q444" s="198"/>
      <c r="R444" s="198"/>
      <c r="S444" s="198"/>
      <c r="T444" s="220"/>
      <c r="U444" s="198"/>
      <c r="V444" s="198"/>
      <c r="W444" s="198"/>
      <c r="X444" s="198"/>
      <c r="Y444" s="198"/>
      <c r="Z444" s="198"/>
    </row>
    <row r="445" spans="7:26">
      <c r="G445" s="198"/>
      <c r="H445" s="198"/>
      <c r="I445" s="198"/>
      <c r="J445" s="198"/>
      <c r="K445" s="198"/>
      <c r="L445" s="198"/>
      <c r="M445" s="198"/>
      <c r="N445" s="198"/>
      <c r="O445" s="198"/>
      <c r="P445" s="198"/>
      <c r="Q445" s="198"/>
      <c r="R445" s="198"/>
      <c r="S445" s="198"/>
      <c r="T445" s="220"/>
      <c r="U445" s="198"/>
      <c r="V445" s="198"/>
      <c r="W445" s="198"/>
      <c r="X445" s="198"/>
      <c r="Y445" s="198"/>
      <c r="Z445" s="198"/>
    </row>
    <row r="446" spans="7:26">
      <c r="G446" s="198"/>
      <c r="H446" s="198"/>
      <c r="I446" s="198"/>
      <c r="J446" s="198"/>
      <c r="K446" s="198"/>
      <c r="L446" s="198"/>
      <c r="M446" s="198"/>
      <c r="N446" s="198"/>
      <c r="O446" s="198"/>
      <c r="P446" s="198"/>
      <c r="Q446" s="198"/>
      <c r="R446" s="198"/>
      <c r="S446" s="198"/>
      <c r="T446" s="220"/>
      <c r="U446" s="198"/>
      <c r="V446" s="198"/>
      <c r="W446" s="198"/>
      <c r="X446" s="198"/>
      <c r="Y446" s="198"/>
      <c r="Z446" s="198"/>
    </row>
    <row r="447" spans="7:26">
      <c r="G447" s="198"/>
      <c r="H447" s="198"/>
      <c r="I447" s="198"/>
      <c r="J447" s="198"/>
      <c r="K447" s="198"/>
      <c r="L447" s="198"/>
      <c r="M447" s="198"/>
      <c r="N447" s="198"/>
      <c r="O447" s="198"/>
      <c r="P447" s="198"/>
      <c r="Q447" s="198"/>
      <c r="R447" s="198"/>
      <c r="S447" s="198"/>
      <c r="T447" s="220"/>
      <c r="U447" s="198"/>
      <c r="V447" s="198"/>
      <c r="W447" s="198"/>
      <c r="X447" s="198"/>
      <c r="Y447" s="198"/>
      <c r="Z447" s="198"/>
    </row>
    <row r="448" spans="7:26">
      <c r="G448" s="198"/>
      <c r="H448" s="198"/>
      <c r="I448" s="198"/>
      <c r="J448" s="198"/>
      <c r="K448" s="198"/>
      <c r="L448" s="198"/>
      <c r="M448" s="198"/>
      <c r="N448" s="198"/>
      <c r="O448" s="198"/>
      <c r="P448" s="198"/>
      <c r="Q448" s="198"/>
      <c r="R448" s="198"/>
      <c r="S448" s="198"/>
      <c r="T448" s="220"/>
      <c r="U448" s="198"/>
      <c r="V448" s="198"/>
      <c r="W448" s="198"/>
      <c r="X448" s="198"/>
      <c r="Y448" s="198"/>
      <c r="Z448" s="198"/>
    </row>
    <row r="449" spans="7:26">
      <c r="G449" s="198"/>
      <c r="H449" s="198"/>
      <c r="I449" s="198"/>
      <c r="J449" s="198"/>
      <c r="K449" s="198"/>
      <c r="L449" s="198"/>
      <c r="M449" s="198"/>
      <c r="N449" s="198"/>
      <c r="O449" s="198"/>
      <c r="P449" s="198"/>
      <c r="Q449" s="198"/>
      <c r="R449" s="198"/>
      <c r="S449" s="198"/>
      <c r="T449" s="220"/>
      <c r="U449" s="198"/>
      <c r="V449" s="198"/>
      <c r="W449" s="198"/>
      <c r="X449" s="198"/>
      <c r="Y449" s="198"/>
      <c r="Z449" s="198"/>
    </row>
    <row r="450" spans="7:26">
      <c r="G450" s="198"/>
      <c r="H450" s="198"/>
      <c r="I450" s="198"/>
      <c r="J450" s="198"/>
      <c r="K450" s="198"/>
      <c r="L450" s="198"/>
      <c r="M450" s="198"/>
      <c r="N450" s="198"/>
      <c r="O450" s="198"/>
      <c r="P450" s="198"/>
      <c r="Q450" s="198"/>
      <c r="R450" s="198"/>
      <c r="S450" s="198"/>
      <c r="T450" s="220"/>
      <c r="U450" s="198"/>
      <c r="V450" s="198"/>
      <c r="W450" s="198"/>
      <c r="X450" s="198"/>
      <c r="Y450" s="198"/>
      <c r="Z450" s="198"/>
    </row>
    <row r="451" spans="7:26">
      <c r="G451" s="198"/>
      <c r="H451" s="198"/>
      <c r="I451" s="198"/>
      <c r="J451" s="198"/>
      <c r="K451" s="198"/>
      <c r="L451" s="198"/>
      <c r="M451" s="198"/>
      <c r="N451" s="198"/>
      <c r="O451" s="198"/>
      <c r="P451" s="198"/>
      <c r="Q451" s="198"/>
      <c r="R451" s="198"/>
      <c r="S451" s="198"/>
      <c r="T451" s="220"/>
      <c r="U451" s="198"/>
      <c r="V451" s="198"/>
      <c r="W451" s="198"/>
      <c r="X451" s="198"/>
      <c r="Y451" s="198"/>
      <c r="Z451" s="198"/>
    </row>
    <row r="452" spans="7:26">
      <c r="G452" s="198"/>
      <c r="H452" s="198"/>
      <c r="I452" s="198"/>
      <c r="J452" s="198"/>
      <c r="K452" s="198"/>
      <c r="L452" s="198"/>
      <c r="M452" s="198"/>
      <c r="N452" s="198"/>
      <c r="O452" s="198"/>
      <c r="P452" s="198"/>
      <c r="Q452" s="198"/>
      <c r="R452" s="198"/>
      <c r="S452" s="198"/>
      <c r="T452" s="220"/>
      <c r="U452" s="198"/>
      <c r="V452" s="198"/>
      <c r="W452" s="198"/>
      <c r="X452" s="198"/>
      <c r="Y452" s="198"/>
      <c r="Z452" s="198"/>
    </row>
    <row r="453" spans="7:26">
      <c r="G453" s="198"/>
      <c r="H453" s="198"/>
      <c r="I453" s="198"/>
      <c r="J453" s="198"/>
      <c r="K453" s="198"/>
      <c r="L453" s="198"/>
      <c r="M453" s="198"/>
      <c r="N453" s="198"/>
      <c r="O453" s="198"/>
      <c r="P453" s="198"/>
      <c r="Q453" s="198"/>
      <c r="R453" s="198"/>
      <c r="S453" s="198"/>
      <c r="T453" s="220"/>
      <c r="U453" s="198"/>
      <c r="V453" s="198"/>
      <c r="W453" s="198"/>
      <c r="X453" s="198"/>
      <c r="Y453" s="198"/>
      <c r="Z453" s="198"/>
    </row>
    <row r="454" spans="7:26">
      <c r="G454" s="198"/>
      <c r="H454" s="198"/>
      <c r="I454" s="198"/>
      <c r="J454" s="198"/>
      <c r="K454" s="198"/>
      <c r="L454" s="198"/>
      <c r="M454" s="198"/>
      <c r="N454" s="198"/>
      <c r="O454" s="198"/>
      <c r="P454" s="198"/>
      <c r="Q454" s="198"/>
      <c r="R454" s="198"/>
      <c r="S454" s="198"/>
      <c r="T454" s="220"/>
      <c r="U454" s="198"/>
      <c r="V454" s="198"/>
      <c r="W454" s="198"/>
      <c r="X454" s="198"/>
      <c r="Y454" s="198"/>
      <c r="Z454" s="198"/>
    </row>
    <row r="455" spans="7:26">
      <c r="G455" s="198"/>
      <c r="H455" s="198"/>
      <c r="I455" s="198"/>
      <c r="J455" s="198"/>
      <c r="K455" s="198"/>
      <c r="L455" s="198"/>
      <c r="M455" s="198"/>
      <c r="N455" s="198"/>
      <c r="O455" s="198"/>
      <c r="P455" s="198"/>
      <c r="Q455" s="198"/>
      <c r="R455" s="198"/>
      <c r="S455" s="198"/>
      <c r="T455" s="220"/>
      <c r="U455" s="198"/>
      <c r="V455" s="198"/>
      <c r="W455" s="198"/>
      <c r="X455" s="198"/>
      <c r="Y455" s="198"/>
      <c r="Z455" s="198"/>
    </row>
    <row r="456" spans="7:26">
      <c r="G456" s="198"/>
      <c r="H456" s="198"/>
      <c r="I456" s="198"/>
      <c r="J456" s="198"/>
      <c r="K456" s="198"/>
      <c r="L456" s="198"/>
      <c r="M456" s="198"/>
      <c r="N456" s="198"/>
      <c r="O456" s="198"/>
      <c r="P456" s="198"/>
      <c r="Q456" s="198"/>
      <c r="R456" s="198"/>
      <c r="S456" s="198"/>
      <c r="T456" s="220"/>
      <c r="U456" s="198"/>
      <c r="V456" s="198"/>
      <c r="W456" s="198"/>
      <c r="X456" s="198"/>
      <c r="Y456" s="198"/>
      <c r="Z456" s="198"/>
    </row>
    <row r="457" spans="7:26">
      <c r="G457" s="198"/>
      <c r="H457" s="198"/>
      <c r="I457" s="198"/>
      <c r="J457" s="198"/>
      <c r="K457" s="198"/>
      <c r="L457" s="198"/>
      <c r="M457" s="198"/>
      <c r="N457" s="198"/>
      <c r="O457" s="198"/>
      <c r="P457" s="198"/>
      <c r="Q457" s="198"/>
      <c r="R457" s="198"/>
      <c r="S457" s="198"/>
      <c r="T457" s="220"/>
      <c r="U457" s="198"/>
      <c r="V457" s="198"/>
      <c r="W457" s="198"/>
      <c r="X457" s="198"/>
      <c r="Y457" s="198"/>
      <c r="Z457" s="198"/>
    </row>
    <row r="458" spans="7:26">
      <c r="G458" s="198"/>
      <c r="H458" s="198"/>
      <c r="I458" s="198"/>
      <c r="J458" s="198"/>
      <c r="K458" s="198"/>
      <c r="L458" s="198"/>
      <c r="M458" s="198"/>
      <c r="N458" s="198"/>
      <c r="O458" s="198"/>
      <c r="P458" s="198"/>
      <c r="Q458" s="198"/>
      <c r="R458" s="198"/>
      <c r="S458" s="198"/>
      <c r="T458" s="220"/>
      <c r="U458" s="198"/>
      <c r="V458" s="198"/>
      <c r="W458" s="198"/>
      <c r="X458" s="198"/>
      <c r="Y458" s="198"/>
      <c r="Z458" s="198"/>
    </row>
    <row r="459" spans="7:26">
      <c r="G459" s="198"/>
      <c r="H459" s="198"/>
      <c r="I459" s="198"/>
      <c r="J459" s="198"/>
      <c r="K459" s="198"/>
      <c r="L459" s="198"/>
      <c r="M459" s="198"/>
      <c r="N459" s="198"/>
      <c r="O459" s="198"/>
      <c r="P459" s="198"/>
      <c r="Q459" s="198"/>
      <c r="R459" s="198"/>
      <c r="S459" s="198"/>
      <c r="T459" s="220"/>
      <c r="U459" s="198"/>
      <c r="V459" s="198"/>
      <c r="W459" s="198"/>
      <c r="X459" s="198"/>
      <c r="Y459" s="198"/>
      <c r="Z459" s="198"/>
    </row>
    <row r="460" spans="7:26">
      <c r="G460" s="198"/>
      <c r="H460" s="198"/>
      <c r="I460" s="198"/>
      <c r="J460" s="198"/>
      <c r="K460" s="198"/>
      <c r="L460" s="198"/>
      <c r="M460" s="198"/>
      <c r="N460" s="198"/>
      <c r="O460" s="198"/>
      <c r="P460" s="198"/>
      <c r="Q460" s="198"/>
      <c r="R460" s="198"/>
      <c r="S460" s="198"/>
      <c r="T460" s="220"/>
      <c r="U460" s="198"/>
      <c r="V460" s="198"/>
      <c r="W460" s="198"/>
      <c r="X460" s="198"/>
      <c r="Y460" s="198"/>
      <c r="Z460" s="198"/>
    </row>
    <row r="461" spans="7:26">
      <c r="G461" s="198"/>
      <c r="H461" s="198"/>
      <c r="I461" s="198"/>
      <c r="J461" s="198"/>
      <c r="K461" s="198"/>
      <c r="L461" s="198"/>
      <c r="M461" s="198"/>
      <c r="N461" s="198"/>
      <c r="O461" s="198"/>
      <c r="P461" s="198"/>
      <c r="Q461" s="198"/>
      <c r="R461" s="198"/>
      <c r="S461" s="198"/>
      <c r="T461" s="220"/>
      <c r="U461" s="198"/>
      <c r="V461" s="198"/>
      <c r="W461" s="198"/>
      <c r="X461" s="198"/>
      <c r="Y461" s="198"/>
      <c r="Z461" s="198"/>
    </row>
    <row r="462" spans="7:26">
      <c r="G462" s="198"/>
      <c r="H462" s="198"/>
      <c r="I462" s="198"/>
      <c r="J462" s="198"/>
      <c r="K462" s="198"/>
      <c r="L462" s="198"/>
      <c r="M462" s="198"/>
      <c r="N462" s="198"/>
      <c r="O462" s="198"/>
      <c r="P462" s="198"/>
      <c r="Q462" s="198"/>
      <c r="R462" s="198"/>
      <c r="S462" s="198"/>
      <c r="T462" s="220"/>
      <c r="U462" s="198"/>
      <c r="V462" s="198"/>
      <c r="W462" s="198"/>
      <c r="X462" s="198"/>
      <c r="Y462" s="198"/>
      <c r="Z462" s="198"/>
    </row>
    <row r="463" spans="7:26">
      <c r="G463" s="198"/>
      <c r="H463" s="198"/>
      <c r="I463" s="198"/>
      <c r="J463" s="198"/>
      <c r="K463" s="198"/>
      <c r="L463" s="198"/>
      <c r="M463" s="198"/>
      <c r="N463" s="198"/>
      <c r="O463" s="198"/>
      <c r="P463" s="198"/>
      <c r="Q463" s="198"/>
      <c r="R463" s="198"/>
      <c r="S463" s="198"/>
      <c r="T463" s="220"/>
      <c r="U463" s="198"/>
      <c r="V463" s="198"/>
      <c r="W463" s="198"/>
      <c r="X463" s="198"/>
      <c r="Y463" s="198"/>
      <c r="Z463" s="198"/>
    </row>
    <row r="464" spans="7:26">
      <c r="G464" s="198"/>
      <c r="H464" s="198"/>
      <c r="I464" s="198"/>
      <c r="J464" s="198"/>
      <c r="K464" s="198"/>
      <c r="L464" s="198"/>
      <c r="M464" s="198"/>
      <c r="N464" s="198"/>
      <c r="O464" s="198"/>
      <c r="P464" s="198"/>
      <c r="Q464" s="198"/>
      <c r="R464" s="198"/>
      <c r="S464" s="198"/>
      <c r="T464" s="220"/>
      <c r="U464" s="198"/>
      <c r="V464" s="198"/>
      <c r="W464" s="198"/>
      <c r="X464" s="198"/>
      <c r="Y464" s="198"/>
      <c r="Z464" s="198"/>
    </row>
    <row r="465" spans="7:26">
      <c r="G465" s="198"/>
      <c r="H465" s="198"/>
      <c r="I465" s="198"/>
      <c r="J465" s="198"/>
      <c r="K465" s="198"/>
      <c r="L465" s="198"/>
      <c r="M465" s="198"/>
      <c r="N465" s="198"/>
      <c r="O465" s="198"/>
      <c r="P465" s="198"/>
      <c r="Q465" s="198"/>
      <c r="R465" s="198"/>
      <c r="S465" s="198"/>
      <c r="T465" s="220"/>
      <c r="U465" s="198"/>
      <c r="V465" s="198"/>
      <c r="W465" s="198"/>
      <c r="X465" s="198"/>
      <c r="Y465" s="198"/>
      <c r="Z465" s="198"/>
    </row>
    <row r="466" spans="7:26">
      <c r="G466" s="198"/>
      <c r="H466" s="198"/>
      <c r="I466" s="198"/>
      <c r="J466" s="198"/>
      <c r="K466" s="198"/>
      <c r="L466" s="198"/>
      <c r="M466" s="198"/>
      <c r="N466" s="198"/>
      <c r="O466" s="198"/>
      <c r="P466" s="198"/>
      <c r="Q466" s="198"/>
      <c r="R466" s="198"/>
      <c r="S466" s="198"/>
      <c r="T466" s="220"/>
      <c r="U466" s="198"/>
      <c r="V466" s="198"/>
      <c r="W466" s="198"/>
      <c r="X466" s="198"/>
      <c r="Y466" s="198"/>
      <c r="Z466" s="198"/>
    </row>
    <row r="467" spans="7:26">
      <c r="G467" s="198"/>
      <c r="H467" s="198"/>
      <c r="I467" s="198"/>
      <c r="J467" s="198"/>
      <c r="K467" s="198"/>
      <c r="L467" s="198"/>
      <c r="M467" s="198"/>
      <c r="N467" s="198"/>
      <c r="O467" s="198"/>
      <c r="P467" s="198"/>
      <c r="Q467" s="198"/>
      <c r="R467" s="198"/>
      <c r="S467" s="198"/>
      <c r="T467" s="220"/>
      <c r="U467" s="198"/>
      <c r="V467" s="198"/>
      <c r="W467" s="198"/>
      <c r="X467" s="198"/>
      <c r="Y467" s="198"/>
      <c r="Z467" s="198"/>
    </row>
    <row r="468" spans="7:26">
      <c r="G468" s="198"/>
      <c r="H468" s="198"/>
      <c r="I468" s="198"/>
      <c r="J468" s="198"/>
      <c r="K468" s="198"/>
      <c r="L468" s="198"/>
      <c r="M468" s="198"/>
      <c r="N468" s="198"/>
      <c r="O468" s="198"/>
      <c r="P468" s="198"/>
      <c r="Q468" s="198"/>
      <c r="R468" s="198"/>
      <c r="S468" s="198"/>
      <c r="T468" s="220"/>
      <c r="U468" s="198"/>
      <c r="V468" s="198"/>
      <c r="W468" s="198"/>
      <c r="X468" s="198"/>
      <c r="Y468" s="198"/>
      <c r="Z468" s="198"/>
    </row>
    <row r="469" spans="7:26">
      <c r="G469" s="198"/>
      <c r="H469" s="198"/>
      <c r="I469" s="198"/>
      <c r="J469" s="198"/>
      <c r="K469" s="198"/>
      <c r="L469" s="198"/>
      <c r="M469" s="198"/>
      <c r="N469" s="198"/>
      <c r="O469" s="198"/>
      <c r="P469" s="198"/>
      <c r="Q469" s="198"/>
      <c r="R469" s="198"/>
      <c r="S469" s="198"/>
      <c r="T469" s="220"/>
      <c r="U469" s="198"/>
      <c r="V469" s="198"/>
      <c r="W469" s="198"/>
      <c r="X469" s="198"/>
      <c r="Y469" s="198"/>
      <c r="Z469" s="198"/>
    </row>
    <row r="470" spans="7:26">
      <c r="G470" s="198"/>
      <c r="H470" s="198"/>
      <c r="I470" s="198"/>
      <c r="J470" s="198"/>
      <c r="K470" s="198"/>
      <c r="L470" s="198"/>
      <c r="M470" s="198"/>
      <c r="N470" s="198"/>
      <c r="O470" s="198"/>
      <c r="P470" s="198"/>
      <c r="Q470" s="198"/>
      <c r="R470" s="198"/>
      <c r="S470" s="198"/>
      <c r="T470" s="220"/>
      <c r="U470" s="198"/>
      <c r="V470" s="198"/>
      <c r="W470" s="198"/>
      <c r="X470" s="198"/>
      <c r="Y470" s="198"/>
      <c r="Z470" s="198"/>
    </row>
    <row r="471" spans="7:26">
      <c r="G471" s="198"/>
      <c r="H471" s="198"/>
      <c r="I471" s="198"/>
      <c r="J471" s="198"/>
      <c r="K471" s="198"/>
      <c r="L471" s="198"/>
      <c r="M471" s="198"/>
      <c r="N471" s="198"/>
      <c r="O471" s="198"/>
      <c r="P471" s="198"/>
      <c r="Q471" s="198"/>
      <c r="R471" s="198"/>
      <c r="S471" s="198"/>
      <c r="T471" s="220"/>
      <c r="U471" s="198"/>
      <c r="V471" s="198"/>
      <c r="W471" s="198"/>
      <c r="X471" s="198"/>
      <c r="Y471" s="198"/>
      <c r="Z471" s="198"/>
    </row>
    <row r="472" spans="7:26">
      <c r="G472" s="198"/>
      <c r="H472" s="198"/>
      <c r="I472" s="198"/>
      <c r="J472" s="198"/>
      <c r="K472" s="198"/>
      <c r="L472" s="198"/>
      <c r="M472" s="198"/>
      <c r="N472" s="198"/>
      <c r="O472" s="198"/>
      <c r="P472" s="198"/>
      <c r="Q472" s="198"/>
      <c r="R472" s="198"/>
      <c r="S472" s="198"/>
      <c r="T472" s="220"/>
      <c r="U472" s="198"/>
      <c r="V472" s="198"/>
      <c r="W472" s="198"/>
      <c r="X472" s="198"/>
      <c r="Y472" s="198"/>
      <c r="Z472" s="198"/>
    </row>
    <row r="473" spans="7:26">
      <c r="G473" s="198"/>
      <c r="H473" s="198"/>
      <c r="I473" s="198"/>
      <c r="J473" s="198"/>
      <c r="K473" s="198"/>
      <c r="L473" s="198"/>
      <c r="M473" s="198"/>
      <c r="N473" s="198"/>
      <c r="O473" s="198"/>
      <c r="P473" s="198"/>
      <c r="Q473" s="198"/>
      <c r="R473" s="198"/>
      <c r="S473" s="198"/>
      <c r="T473" s="220"/>
      <c r="U473" s="198"/>
      <c r="V473" s="198"/>
      <c r="W473" s="198"/>
      <c r="X473" s="198"/>
      <c r="Y473" s="198"/>
      <c r="Z473" s="198"/>
    </row>
    <row r="474" spans="7:26">
      <c r="G474" s="198"/>
      <c r="H474" s="198"/>
      <c r="I474" s="198"/>
      <c r="J474" s="198"/>
      <c r="K474" s="198"/>
      <c r="L474" s="198"/>
      <c r="M474" s="198"/>
      <c r="N474" s="198"/>
      <c r="O474" s="198"/>
      <c r="P474" s="198"/>
      <c r="Q474" s="198"/>
      <c r="R474" s="198"/>
      <c r="S474" s="198"/>
      <c r="T474" s="220"/>
      <c r="U474" s="198"/>
      <c r="V474" s="198"/>
      <c r="W474" s="198"/>
      <c r="X474" s="198"/>
      <c r="Y474" s="198"/>
      <c r="Z474" s="198"/>
    </row>
    <row r="475" spans="7:26">
      <c r="G475" s="198"/>
      <c r="H475" s="198"/>
      <c r="I475" s="198"/>
      <c r="J475" s="198"/>
      <c r="K475" s="198"/>
      <c r="L475" s="198"/>
      <c r="M475" s="198"/>
      <c r="N475" s="198"/>
      <c r="O475" s="198"/>
      <c r="P475" s="198"/>
      <c r="Q475" s="198"/>
      <c r="R475" s="198"/>
      <c r="S475" s="198"/>
      <c r="T475" s="220"/>
      <c r="U475" s="198"/>
      <c r="V475" s="198"/>
      <c r="W475" s="198"/>
      <c r="X475" s="198"/>
      <c r="Y475" s="198"/>
      <c r="Z475" s="198"/>
    </row>
    <row r="476" spans="7:26">
      <c r="G476" s="198"/>
      <c r="H476" s="198"/>
      <c r="I476" s="198"/>
      <c r="J476" s="198"/>
      <c r="K476" s="198"/>
      <c r="L476" s="198"/>
      <c r="M476" s="198"/>
      <c r="N476" s="198"/>
      <c r="O476" s="198"/>
      <c r="P476" s="198"/>
      <c r="Q476" s="198"/>
      <c r="R476" s="198"/>
      <c r="S476" s="198"/>
      <c r="T476" s="220"/>
      <c r="U476" s="198"/>
      <c r="V476" s="198"/>
      <c r="W476" s="198"/>
      <c r="X476" s="198"/>
      <c r="Y476" s="198"/>
      <c r="Z476" s="198"/>
    </row>
    <row r="477" spans="7:26">
      <c r="G477" s="198"/>
      <c r="H477" s="198"/>
      <c r="I477" s="198"/>
      <c r="J477" s="198"/>
      <c r="K477" s="198"/>
      <c r="L477" s="198"/>
      <c r="M477" s="198"/>
      <c r="N477" s="198"/>
      <c r="O477" s="198"/>
      <c r="P477" s="198"/>
      <c r="Q477" s="198"/>
      <c r="R477" s="198"/>
      <c r="S477" s="198"/>
      <c r="T477" s="220"/>
      <c r="U477" s="198"/>
      <c r="V477" s="198"/>
      <c r="W477" s="198"/>
      <c r="X477" s="198"/>
      <c r="Y477" s="198"/>
      <c r="Z477" s="198"/>
    </row>
    <row r="478" spans="7:26">
      <c r="G478" s="198"/>
      <c r="H478" s="198"/>
      <c r="I478" s="198"/>
      <c r="J478" s="198"/>
      <c r="K478" s="198"/>
      <c r="L478" s="198"/>
      <c r="M478" s="198"/>
      <c r="N478" s="198"/>
      <c r="O478" s="198"/>
      <c r="P478" s="198"/>
      <c r="Q478" s="198"/>
      <c r="R478" s="198"/>
      <c r="S478" s="198"/>
      <c r="T478" s="220"/>
      <c r="U478" s="198"/>
      <c r="V478" s="198"/>
      <c r="W478" s="198"/>
      <c r="X478" s="198"/>
      <c r="Y478" s="198"/>
      <c r="Z478" s="198"/>
    </row>
    <row r="479" spans="7:26">
      <c r="G479" s="198"/>
      <c r="H479" s="198"/>
      <c r="I479" s="198"/>
      <c r="J479" s="198"/>
      <c r="K479" s="198"/>
      <c r="L479" s="198"/>
      <c r="M479" s="198"/>
      <c r="N479" s="198"/>
      <c r="O479" s="198"/>
      <c r="P479" s="198"/>
      <c r="Q479" s="198"/>
      <c r="R479" s="198"/>
      <c r="S479" s="198"/>
      <c r="T479" s="220"/>
      <c r="U479" s="198"/>
      <c r="V479" s="198"/>
      <c r="W479" s="198"/>
      <c r="X479" s="198"/>
      <c r="Y479" s="198"/>
      <c r="Z479" s="198"/>
    </row>
    <row r="480" spans="7:26">
      <c r="G480" s="198"/>
      <c r="H480" s="198"/>
      <c r="I480" s="198"/>
      <c r="J480" s="198"/>
      <c r="K480" s="198"/>
      <c r="L480" s="198"/>
      <c r="M480" s="198"/>
      <c r="N480" s="198"/>
      <c r="O480" s="198"/>
      <c r="P480" s="198"/>
      <c r="Q480" s="198"/>
      <c r="R480" s="198"/>
      <c r="S480" s="198"/>
      <c r="T480" s="220"/>
      <c r="U480" s="198"/>
      <c r="V480" s="198"/>
      <c r="W480" s="198"/>
      <c r="X480" s="198"/>
      <c r="Y480" s="198"/>
      <c r="Z480" s="198"/>
    </row>
    <row r="481" spans="7:26">
      <c r="G481" s="198"/>
      <c r="H481" s="198"/>
      <c r="I481" s="198"/>
      <c r="J481" s="198"/>
      <c r="K481" s="198"/>
      <c r="L481" s="198"/>
      <c r="M481" s="198"/>
      <c r="N481" s="198"/>
      <c r="O481" s="198"/>
      <c r="P481" s="198"/>
      <c r="Q481" s="198"/>
      <c r="R481" s="198"/>
      <c r="S481" s="198"/>
      <c r="T481" s="220"/>
      <c r="U481" s="198"/>
      <c r="V481" s="198"/>
      <c r="W481" s="198"/>
      <c r="X481" s="198"/>
      <c r="Y481" s="198"/>
      <c r="Z481" s="198"/>
    </row>
    <row r="482" spans="7:26">
      <c r="G482" s="198"/>
      <c r="H482" s="198"/>
      <c r="I482" s="198"/>
      <c r="J482" s="198"/>
      <c r="K482" s="198"/>
      <c r="L482" s="198"/>
      <c r="M482" s="198"/>
      <c r="N482" s="198"/>
      <c r="O482" s="198"/>
      <c r="P482" s="198"/>
      <c r="Q482" s="198"/>
      <c r="R482" s="198"/>
      <c r="S482" s="198"/>
      <c r="T482" s="220"/>
      <c r="U482" s="198"/>
      <c r="V482" s="198"/>
      <c r="W482" s="198"/>
      <c r="X482" s="198"/>
      <c r="Y482" s="198"/>
      <c r="Z482" s="198"/>
    </row>
    <row r="483" spans="7:26">
      <c r="G483" s="198"/>
      <c r="H483" s="198"/>
      <c r="I483" s="198"/>
      <c r="J483" s="198"/>
      <c r="K483" s="198"/>
      <c r="L483" s="198"/>
      <c r="M483" s="198"/>
      <c r="N483" s="198"/>
      <c r="O483" s="198"/>
      <c r="P483" s="198"/>
      <c r="Q483" s="198"/>
      <c r="R483" s="198"/>
      <c r="S483" s="198"/>
      <c r="T483" s="220"/>
      <c r="U483" s="198"/>
      <c r="V483" s="198"/>
      <c r="W483" s="198"/>
      <c r="X483" s="198"/>
      <c r="Y483" s="198"/>
      <c r="Z483" s="198"/>
    </row>
    <row r="484" spans="7:26">
      <c r="G484" s="198"/>
      <c r="H484" s="198"/>
      <c r="I484" s="198"/>
      <c r="J484" s="198"/>
      <c r="K484" s="198"/>
      <c r="L484" s="198"/>
      <c r="M484" s="198"/>
      <c r="N484" s="198"/>
      <c r="O484" s="198"/>
      <c r="P484" s="198"/>
      <c r="Q484" s="198"/>
      <c r="R484" s="198"/>
      <c r="S484" s="198"/>
      <c r="T484" s="220"/>
      <c r="U484" s="198"/>
      <c r="V484" s="198"/>
      <c r="W484" s="198"/>
      <c r="X484" s="198"/>
      <c r="Y484" s="198"/>
      <c r="Z484" s="198"/>
    </row>
    <row r="485" spans="7:26">
      <c r="G485" s="198"/>
      <c r="H485" s="198"/>
      <c r="I485" s="198"/>
      <c r="J485" s="198"/>
      <c r="K485" s="198"/>
      <c r="L485" s="198"/>
      <c r="M485" s="198"/>
      <c r="N485" s="198"/>
      <c r="O485" s="198"/>
      <c r="P485" s="198"/>
      <c r="Q485" s="198"/>
      <c r="R485" s="198"/>
      <c r="S485" s="198"/>
      <c r="T485" s="220"/>
      <c r="U485" s="198"/>
      <c r="V485" s="198"/>
      <c r="W485" s="198"/>
      <c r="X485" s="198"/>
      <c r="Y485" s="198"/>
      <c r="Z485" s="198"/>
    </row>
    <row r="486" spans="7:26">
      <c r="G486" s="198"/>
      <c r="H486" s="198"/>
      <c r="I486" s="198"/>
      <c r="J486" s="198"/>
      <c r="K486" s="198"/>
      <c r="L486" s="198"/>
      <c r="M486" s="198"/>
      <c r="N486" s="198"/>
      <c r="O486" s="198"/>
      <c r="P486" s="198"/>
      <c r="Q486" s="198"/>
      <c r="R486" s="198"/>
      <c r="S486" s="198"/>
      <c r="T486" s="220"/>
      <c r="U486" s="198"/>
      <c r="V486" s="198"/>
      <c r="W486" s="198"/>
      <c r="X486" s="198"/>
      <c r="Y486" s="198"/>
      <c r="Z486" s="198"/>
    </row>
    <row r="487" spans="7:26">
      <c r="G487" s="198"/>
      <c r="H487" s="198"/>
      <c r="I487" s="198"/>
      <c r="J487" s="198"/>
      <c r="K487" s="198"/>
      <c r="L487" s="198"/>
      <c r="M487" s="198"/>
      <c r="N487" s="198"/>
      <c r="O487" s="198"/>
      <c r="P487" s="198"/>
      <c r="Q487" s="198"/>
      <c r="R487" s="198"/>
      <c r="S487" s="198"/>
      <c r="T487" s="220"/>
      <c r="U487" s="198"/>
      <c r="V487" s="198"/>
      <c r="W487" s="198"/>
      <c r="X487" s="198"/>
      <c r="Y487" s="198"/>
      <c r="Z487" s="198"/>
    </row>
    <row r="488" spans="7:26">
      <c r="G488" s="198"/>
      <c r="H488" s="198"/>
      <c r="I488" s="198"/>
      <c r="J488" s="198"/>
      <c r="K488" s="198"/>
      <c r="L488" s="198"/>
      <c r="M488" s="198"/>
      <c r="N488" s="198"/>
      <c r="O488" s="198"/>
      <c r="P488" s="198"/>
      <c r="Q488" s="198"/>
      <c r="R488" s="198"/>
      <c r="S488" s="198"/>
      <c r="T488" s="220"/>
      <c r="U488" s="198"/>
      <c r="V488" s="198"/>
      <c r="W488" s="198"/>
      <c r="X488" s="198"/>
      <c r="Y488" s="198"/>
      <c r="Z488" s="198"/>
    </row>
    <row r="489" spans="7:26">
      <c r="G489" s="198"/>
      <c r="H489" s="198"/>
      <c r="I489" s="198"/>
      <c r="J489" s="198"/>
      <c r="K489" s="198"/>
      <c r="L489" s="198"/>
      <c r="M489" s="198"/>
      <c r="N489" s="198"/>
      <c r="O489" s="198"/>
      <c r="P489" s="198"/>
      <c r="Q489" s="198"/>
      <c r="R489" s="198"/>
      <c r="S489" s="198"/>
      <c r="T489" s="220"/>
      <c r="U489" s="198"/>
      <c r="V489" s="198"/>
      <c r="W489" s="198"/>
      <c r="X489" s="198"/>
      <c r="Y489" s="198"/>
      <c r="Z489" s="198"/>
    </row>
    <row r="490" spans="7:26">
      <c r="G490" s="198"/>
      <c r="H490" s="198"/>
      <c r="I490" s="198"/>
      <c r="J490" s="198"/>
      <c r="K490" s="198"/>
      <c r="L490" s="198"/>
      <c r="M490" s="198"/>
      <c r="N490" s="198"/>
      <c r="O490" s="198"/>
      <c r="P490" s="198"/>
      <c r="Q490" s="198"/>
      <c r="R490" s="198"/>
      <c r="S490" s="198"/>
      <c r="T490" s="220"/>
      <c r="U490" s="198"/>
      <c r="V490" s="198"/>
      <c r="W490" s="198"/>
      <c r="X490" s="198"/>
      <c r="Y490" s="198"/>
      <c r="Z490" s="198"/>
    </row>
    <row r="491" spans="7:26">
      <c r="G491" s="198"/>
      <c r="H491" s="198"/>
      <c r="I491" s="198"/>
      <c r="J491" s="198"/>
      <c r="K491" s="198"/>
      <c r="L491" s="198"/>
      <c r="M491" s="198"/>
      <c r="N491" s="198"/>
      <c r="O491" s="198"/>
      <c r="P491" s="198"/>
      <c r="Q491" s="198"/>
      <c r="R491" s="198"/>
      <c r="S491" s="198"/>
      <c r="T491" s="220"/>
      <c r="U491" s="198"/>
      <c r="V491" s="198"/>
      <c r="W491" s="198"/>
      <c r="X491" s="198"/>
      <c r="Y491" s="198"/>
      <c r="Z491" s="198"/>
    </row>
    <row r="492" spans="7:26">
      <c r="G492" s="198"/>
      <c r="H492" s="198"/>
      <c r="I492" s="198"/>
      <c r="J492" s="198"/>
      <c r="K492" s="198"/>
      <c r="L492" s="198"/>
      <c r="M492" s="198"/>
      <c r="N492" s="198"/>
      <c r="O492" s="198"/>
      <c r="P492" s="198"/>
      <c r="Q492" s="198"/>
      <c r="R492" s="198"/>
      <c r="S492" s="198"/>
      <c r="T492" s="220"/>
      <c r="U492" s="198"/>
      <c r="V492" s="198"/>
      <c r="W492" s="198"/>
      <c r="X492" s="198"/>
      <c r="Y492" s="198"/>
      <c r="Z492" s="198"/>
    </row>
    <row r="493" spans="7:26">
      <c r="G493" s="198"/>
      <c r="H493" s="198"/>
      <c r="I493" s="198"/>
      <c r="J493" s="198"/>
      <c r="K493" s="198"/>
      <c r="L493" s="198"/>
      <c r="M493" s="198"/>
      <c r="N493" s="198"/>
      <c r="O493" s="198"/>
      <c r="P493" s="198"/>
      <c r="Q493" s="198"/>
      <c r="R493" s="198"/>
      <c r="S493" s="198"/>
      <c r="T493" s="220"/>
      <c r="U493" s="198"/>
      <c r="V493" s="198"/>
      <c r="W493" s="198"/>
      <c r="X493" s="198"/>
      <c r="Y493" s="198"/>
      <c r="Z493" s="198"/>
    </row>
    <row r="494" spans="7:26">
      <c r="G494" s="198"/>
      <c r="H494" s="198"/>
      <c r="I494" s="198"/>
      <c r="J494" s="198"/>
      <c r="K494" s="198"/>
      <c r="L494" s="198"/>
      <c r="M494" s="198"/>
      <c r="N494" s="198"/>
      <c r="O494" s="198"/>
      <c r="P494" s="198"/>
      <c r="Q494" s="198"/>
      <c r="R494" s="198"/>
      <c r="S494" s="198"/>
      <c r="T494" s="220"/>
      <c r="U494" s="198"/>
      <c r="V494" s="198"/>
      <c r="W494" s="198"/>
      <c r="X494" s="198"/>
      <c r="Y494" s="198"/>
      <c r="Z494" s="198"/>
    </row>
    <row r="495" spans="7:26">
      <c r="G495" s="198"/>
      <c r="H495" s="198"/>
      <c r="I495" s="198"/>
      <c r="J495" s="198"/>
      <c r="K495" s="198"/>
      <c r="L495" s="198"/>
      <c r="M495" s="198"/>
      <c r="N495" s="198"/>
      <c r="O495" s="198"/>
      <c r="P495" s="198"/>
      <c r="Q495" s="198"/>
      <c r="R495" s="198"/>
      <c r="S495" s="198"/>
      <c r="T495" s="220"/>
      <c r="U495" s="198"/>
      <c r="V495" s="198"/>
      <c r="W495" s="198"/>
      <c r="X495" s="198"/>
      <c r="Y495" s="198"/>
      <c r="Z495" s="198"/>
    </row>
    <row r="496" spans="7:26">
      <c r="G496" s="198"/>
      <c r="H496" s="198"/>
      <c r="I496" s="198"/>
      <c r="J496" s="198"/>
      <c r="K496" s="198"/>
      <c r="L496" s="198"/>
      <c r="M496" s="198"/>
      <c r="N496" s="198"/>
      <c r="O496" s="198"/>
      <c r="P496" s="198"/>
      <c r="Q496" s="198"/>
      <c r="R496" s="198"/>
      <c r="S496" s="198"/>
      <c r="T496" s="220"/>
      <c r="U496" s="198"/>
      <c r="V496" s="198"/>
      <c r="W496" s="198"/>
      <c r="X496" s="198"/>
      <c r="Y496" s="198"/>
      <c r="Z496" s="198"/>
    </row>
    <row r="497" spans="7:26">
      <c r="G497" s="198"/>
      <c r="H497" s="198"/>
      <c r="I497" s="198"/>
      <c r="J497" s="198"/>
      <c r="K497" s="198"/>
      <c r="L497" s="198"/>
      <c r="M497" s="198"/>
      <c r="N497" s="198"/>
      <c r="O497" s="198"/>
      <c r="P497" s="198"/>
      <c r="Q497" s="198"/>
      <c r="R497" s="198"/>
      <c r="S497" s="198"/>
      <c r="T497" s="220"/>
      <c r="U497" s="198"/>
      <c r="V497" s="198"/>
      <c r="W497" s="198"/>
      <c r="X497" s="198"/>
      <c r="Y497" s="198"/>
      <c r="Z497" s="198"/>
    </row>
    <row r="498" spans="7:26">
      <c r="G498" s="198"/>
      <c r="H498" s="198"/>
      <c r="I498" s="198"/>
      <c r="J498" s="198"/>
      <c r="K498" s="198"/>
      <c r="L498" s="198"/>
      <c r="M498" s="198"/>
      <c r="N498" s="198"/>
      <c r="O498" s="198"/>
      <c r="P498" s="198"/>
      <c r="Q498" s="198"/>
      <c r="R498" s="198"/>
      <c r="S498" s="198"/>
      <c r="T498" s="220"/>
      <c r="U498" s="198"/>
      <c r="V498" s="198"/>
      <c r="W498" s="198"/>
      <c r="X498" s="198"/>
      <c r="Y498" s="198"/>
      <c r="Z498" s="198"/>
    </row>
    <row r="499" spans="7:26">
      <c r="G499" s="198"/>
      <c r="H499" s="198"/>
      <c r="I499" s="198"/>
      <c r="J499" s="198"/>
      <c r="K499" s="198"/>
      <c r="L499" s="198"/>
      <c r="M499" s="198"/>
      <c r="N499" s="198"/>
      <c r="O499" s="198"/>
      <c r="P499" s="198"/>
      <c r="Q499" s="198"/>
      <c r="R499" s="198"/>
      <c r="S499" s="198"/>
      <c r="T499" s="220"/>
      <c r="U499" s="198"/>
      <c r="V499" s="198"/>
      <c r="W499" s="198"/>
      <c r="X499" s="198"/>
      <c r="Y499" s="198"/>
      <c r="Z499" s="198"/>
    </row>
    <row r="500" spans="7:26">
      <c r="G500" s="198"/>
      <c r="H500" s="198"/>
      <c r="I500" s="198"/>
      <c r="J500" s="198"/>
      <c r="K500" s="198"/>
      <c r="L500" s="198"/>
      <c r="M500" s="198"/>
      <c r="N500" s="198"/>
      <c r="O500" s="198"/>
      <c r="P500" s="198"/>
      <c r="Q500" s="198"/>
      <c r="R500" s="198"/>
      <c r="S500" s="198"/>
      <c r="T500" s="220"/>
      <c r="U500" s="198"/>
      <c r="V500" s="198"/>
      <c r="W500" s="198"/>
      <c r="X500" s="198"/>
      <c r="Y500" s="198"/>
      <c r="Z500" s="198"/>
    </row>
    <row r="501" spans="7:26">
      <c r="G501" s="198"/>
      <c r="H501" s="198"/>
      <c r="I501" s="198"/>
      <c r="J501" s="198"/>
      <c r="K501" s="198"/>
      <c r="L501" s="198"/>
      <c r="M501" s="198"/>
      <c r="N501" s="198"/>
      <c r="O501" s="198"/>
      <c r="P501" s="198"/>
      <c r="Q501" s="198"/>
      <c r="R501" s="198"/>
      <c r="S501" s="198"/>
      <c r="T501" s="220"/>
      <c r="U501" s="198"/>
      <c r="V501" s="198"/>
      <c r="W501" s="198"/>
      <c r="X501" s="198"/>
      <c r="Y501" s="198"/>
      <c r="Z501" s="198"/>
    </row>
    <row r="502" spans="7:26">
      <c r="G502" s="198"/>
      <c r="H502" s="198"/>
      <c r="I502" s="198"/>
      <c r="J502" s="198"/>
      <c r="K502" s="198"/>
      <c r="L502" s="198"/>
      <c r="M502" s="198"/>
      <c r="N502" s="198"/>
      <c r="O502" s="198"/>
      <c r="P502" s="198"/>
      <c r="Q502" s="198"/>
      <c r="R502" s="198"/>
      <c r="S502" s="198"/>
      <c r="T502" s="220"/>
      <c r="U502" s="198"/>
      <c r="V502" s="198"/>
      <c r="W502" s="198"/>
      <c r="X502" s="198"/>
      <c r="Y502" s="198"/>
      <c r="Z502" s="198"/>
    </row>
    <row r="503" spans="7:26">
      <c r="G503" s="198"/>
      <c r="H503" s="198"/>
      <c r="I503" s="198"/>
      <c r="J503" s="198"/>
      <c r="K503" s="198"/>
      <c r="L503" s="198"/>
      <c r="M503" s="198"/>
      <c r="N503" s="198"/>
      <c r="O503" s="198"/>
      <c r="P503" s="198"/>
      <c r="Q503" s="198"/>
      <c r="R503" s="198"/>
      <c r="S503" s="198"/>
      <c r="T503" s="220"/>
      <c r="U503" s="198"/>
      <c r="V503" s="198"/>
      <c r="W503" s="198"/>
      <c r="X503" s="198"/>
      <c r="Y503" s="198"/>
      <c r="Z503" s="198"/>
    </row>
    <row r="504" spans="7:26">
      <c r="G504" s="198"/>
      <c r="H504" s="198"/>
      <c r="I504" s="198"/>
      <c r="J504" s="198"/>
      <c r="K504" s="198"/>
      <c r="L504" s="198"/>
      <c r="M504" s="198"/>
      <c r="N504" s="198"/>
      <c r="O504" s="198"/>
      <c r="P504" s="198"/>
      <c r="Q504" s="198"/>
      <c r="R504" s="198"/>
      <c r="S504" s="198"/>
      <c r="T504" s="220"/>
      <c r="U504" s="198"/>
      <c r="V504" s="198"/>
      <c r="W504" s="198"/>
      <c r="X504" s="198"/>
      <c r="Y504" s="198"/>
      <c r="Z504" s="198"/>
    </row>
    <row r="505" spans="7:26">
      <c r="G505" s="198"/>
      <c r="H505" s="198"/>
      <c r="I505" s="198"/>
      <c r="J505" s="198"/>
      <c r="K505" s="198"/>
      <c r="L505" s="198"/>
      <c r="M505" s="198"/>
      <c r="N505" s="198"/>
      <c r="O505" s="198"/>
      <c r="P505" s="198"/>
      <c r="Q505" s="198"/>
      <c r="R505" s="198"/>
      <c r="S505" s="198"/>
      <c r="T505" s="220"/>
      <c r="U505" s="198"/>
      <c r="V505" s="198"/>
      <c r="W505" s="198"/>
      <c r="X505" s="198"/>
      <c r="Y505" s="198"/>
      <c r="Z505" s="198"/>
    </row>
    <row r="506" spans="7:26">
      <c r="G506" s="198"/>
      <c r="H506" s="198"/>
      <c r="I506" s="198"/>
      <c r="J506" s="198"/>
      <c r="K506" s="198"/>
      <c r="L506" s="198"/>
      <c r="M506" s="198"/>
      <c r="N506" s="198"/>
      <c r="O506" s="198"/>
      <c r="P506" s="198"/>
      <c r="Q506" s="198"/>
      <c r="R506" s="198"/>
      <c r="S506" s="198"/>
      <c r="T506" s="220"/>
      <c r="U506" s="198"/>
      <c r="V506" s="198"/>
      <c r="W506" s="198"/>
      <c r="X506" s="198"/>
      <c r="Y506" s="198"/>
      <c r="Z506" s="198"/>
    </row>
    <row r="507" spans="7:26">
      <c r="G507" s="198"/>
      <c r="H507" s="198"/>
      <c r="I507" s="198"/>
      <c r="J507" s="198"/>
      <c r="K507" s="198"/>
      <c r="L507" s="198"/>
      <c r="M507" s="198"/>
      <c r="N507" s="198"/>
      <c r="O507" s="198"/>
      <c r="P507" s="198"/>
      <c r="Q507" s="198"/>
      <c r="R507" s="198"/>
      <c r="S507" s="198"/>
      <c r="T507" s="220"/>
      <c r="U507" s="198"/>
      <c r="V507" s="198"/>
      <c r="W507" s="198"/>
      <c r="X507" s="198"/>
      <c r="Y507" s="198"/>
      <c r="Z507" s="198"/>
    </row>
    <row r="508" spans="7:26">
      <c r="G508" s="198"/>
      <c r="H508" s="198"/>
      <c r="I508" s="198"/>
      <c r="J508" s="198"/>
      <c r="K508" s="198"/>
      <c r="L508" s="198"/>
      <c r="M508" s="198"/>
      <c r="N508" s="198"/>
      <c r="O508" s="198"/>
      <c r="P508" s="198"/>
      <c r="Q508" s="198"/>
      <c r="R508" s="198"/>
      <c r="S508" s="198"/>
      <c r="T508" s="220"/>
      <c r="U508" s="198"/>
      <c r="V508" s="198"/>
      <c r="W508" s="198"/>
      <c r="X508" s="198"/>
      <c r="Y508" s="198"/>
      <c r="Z508" s="198"/>
    </row>
    <row r="509" spans="7:26">
      <c r="G509" s="198"/>
      <c r="H509" s="198"/>
      <c r="I509" s="198"/>
      <c r="J509" s="198"/>
      <c r="K509" s="198"/>
      <c r="L509" s="198"/>
      <c r="M509" s="198"/>
      <c r="N509" s="198"/>
      <c r="O509" s="198"/>
      <c r="P509" s="198"/>
      <c r="Q509" s="198"/>
      <c r="R509" s="198"/>
      <c r="S509" s="198"/>
      <c r="T509" s="220"/>
      <c r="U509" s="198"/>
      <c r="V509" s="198"/>
      <c r="W509" s="198"/>
      <c r="X509" s="198"/>
      <c r="Y509" s="198"/>
      <c r="Z509" s="198"/>
    </row>
    <row r="510" spans="7:26">
      <c r="G510" s="198"/>
      <c r="H510" s="198"/>
      <c r="I510" s="198"/>
      <c r="J510" s="198"/>
      <c r="K510" s="198"/>
      <c r="L510" s="198"/>
      <c r="M510" s="198"/>
      <c r="N510" s="198"/>
      <c r="O510" s="198"/>
      <c r="P510" s="198"/>
      <c r="Q510" s="198"/>
      <c r="R510" s="198"/>
      <c r="S510" s="198"/>
      <c r="T510" s="220"/>
      <c r="U510" s="198"/>
      <c r="V510" s="198"/>
      <c r="W510" s="198"/>
      <c r="X510" s="198"/>
      <c r="Y510" s="198"/>
      <c r="Z510" s="198"/>
    </row>
    <row r="511" spans="7:26">
      <c r="G511" s="198"/>
      <c r="H511" s="198"/>
      <c r="I511" s="198"/>
      <c r="J511" s="198"/>
      <c r="K511" s="198"/>
      <c r="L511" s="198"/>
      <c r="M511" s="198"/>
      <c r="N511" s="198"/>
      <c r="O511" s="198"/>
      <c r="P511" s="198"/>
      <c r="Q511" s="198"/>
      <c r="R511" s="198"/>
      <c r="S511" s="198"/>
      <c r="T511" s="220"/>
      <c r="U511" s="198"/>
      <c r="V511" s="198"/>
      <c r="W511" s="198"/>
      <c r="X511" s="198"/>
      <c r="Y511" s="198"/>
      <c r="Z511" s="198"/>
    </row>
    <row r="512" spans="7:26">
      <c r="G512" s="198"/>
      <c r="H512" s="198"/>
      <c r="I512" s="198"/>
      <c r="J512" s="198"/>
      <c r="K512" s="198"/>
      <c r="L512" s="198"/>
      <c r="M512" s="198"/>
      <c r="N512" s="198"/>
      <c r="O512" s="198"/>
      <c r="P512" s="198"/>
      <c r="Q512" s="198"/>
      <c r="R512" s="198"/>
      <c r="S512" s="198"/>
      <c r="T512" s="220"/>
      <c r="U512" s="198"/>
      <c r="V512" s="198"/>
      <c r="W512" s="198"/>
      <c r="X512" s="198"/>
      <c r="Y512" s="198"/>
      <c r="Z512" s="198"/>
    </row>
    <row r="513" spans="7:26">
      <c r="G513" s="198"/>
      <c r="H513" s="198"/>
      <c r="I513" s="198"/>
      <c r="J513" s="198"/>
      <c r="K513" s="198"/>
      <c r="L513" s="198"/>
      <c r="M513" s="198"/>
      <c r="N513" s="198"/>
      <c r="O513" s="198"/>
      <c r="P513" s="198"/>
      <c r="Q513" s="198"/>
      <c r="R513" s="198"/>
      <c r="S513" s="198"/>
      <c r="T513" s="220"/>
      <c r="U513" s="198"/>
      <c r="V513" s="198"/>
      <c r="W513" s="198"/>
      <c r="X513" s="198"/>
      <c r="Y513" s="198"/>
      <c r="Z513" s="198"/>
    </row>
    <row r="514" spans="7:26">
      <c r="G514" s="198"/>
      <c r="H514" s="198"/>
      <c r="I514" s="198"/>
      <c r="J514" s="198"/>
      <c r="K514" s="198"/>
      <c r="L514" s="198"/>
      <c r="M514" s="198"/>
      <c r="N514" s="198"/>
      <c r="O514" s="198"/>
      <c r="P514" s="198"/>
      <c r="Q514" s="198"/>
      <c r="R514" s="198"/>
      <c r="S514" s="198"/>
      <c r="T514" s="220"/>
      <c r="U514" s="198"/>
      <c r="V514" s="198"/>
      <c r="W514" s="198"/>
      <c r="X514" s="198"/>
      <c r="Y514" s="198"/>
      <c r="Z514" s="198"/>
    </row>
    <row r="515" spans="7:26">
      <c r="G515" s="198"/>
      <c r="H515" s="198"/>
      <c r="I515" s="198"/>
      <c r="J515" s="198"/>
      <c r="K515" s="198"/>
      <c r="L515" s="198"/>
      <c r="M515" s="198"/>
      <c r="N515" s="198"/>
      <c r="O515" s="198"/>
      <c r="P515" s="198"/>
      <c r="Q515" s="198"/>
      <c r="R515" s="198"/>
      <c r="S515" s="198"/>
      <c r="T515" s="220"/>
      <c r="U515" s="198"/>
      <c r="V515" s="198"/>
      <c r="W515" s="198"/>
      <c r="X515" s="198"/>
      <c r="Y515" s="198"/>
      <c r="Z515" s="198"/>
    </row>
    <row r="516" spans="7:26">
      <c r="G516" s="198"/>
      <c r="H516" s="198"/>
      <c r="I516" s="198"/>
      <c r="J516" s="198"/>
      <c r="K516" s="198"/>
      <c r="L516" s="198"/>
      <c r="M516" s="198"/>
      <c r="N516" s="198"/>
      <c r="O516" s="198"/>
      <c r="P516" s="198"/>
      <c r="Q516" s="198"/>
      <c r="R516" s="198"/>
      <c r="S516" s="198"/>
      <c r="T516" s="220"/>
      <c r="U516" s="198"/>
      <c r="V516" s="198"/>
      <c r="W516" s="198"/>
      <c r="X516" s="198"/>
      <c r="Y516" s="198"/>
      <c r="Z516" s="198"/>
    </row>
    <row r="517" spans="7:26">
      <c r="G517" s="198"/>
      <c r="H517" s="198"/>
      <c r="I517" s="198"/>
      <c r="J517" s="198"/>
      <c r="K517" s="198"/>
      <c r="L517" s="198"/>
      <c r="M517" s="198"/>
      <c r="N517" s="198"/>
      <c r="O517" s="198"/>
      <c r="P517" s="198"/>
      <c r="Q517" s="198"/>
      <c r="R517" s="198"/>
      <c r="S517" s="198"/>
      <c r="T517" s="220"/>
      <c r="U517" s="198"/>
      <c r="V517" s="198"/>
      <c r="W517" s="198"/>
      <c r="X517" s="198"/>
      <c r="Y517" s="198"/>
      <c r="Z517" s="198"/>
    </row>
  </sheetData>
  <mergeCells count="2">
    <mergeCell ref="A1:F1"/>
    <mergeCell ref="C3:D3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2022-11-09T08:00:00+00:00</OpenedDate>
    <SignificantOrder xmlns="dc463f71-b30c-4ab2-9473-d307f9d35888">false</SignificantOrder>
    <Date1 xmlns="dc463f71-b30c-4ab2-9473-d307f9d35888">2022-11-08T08:00:00+00:00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Kent-Meridian Disposal Company  </CaseCompanyNames>
    <Nickname xmlns="http://schemas.microsoft.com/sharepoint/v3" xsi:nil="true"/>
    <DocketNumber xmlns="dc463f71-b30c-4ab2-9473-d307f9d35888">220820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538D9C62EC05648AAC5D6B6EBBB3973" ma:contentTypeVersion="28" ma:contentTypeDescription="" ma:contentTypeScope="" ma:versionID="dc30a31a430a4b6ab58f4a79ca3eff6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8E4D0A-FB7B-465C-838E-6503BCCC5433}"/>
</file>

<file path=customXml/itemProps2.xml><?xml version="1.0" encoding="utf-8"?>
<ds:datastoreItem xmlns:ds="http://schemas.openxmlformats.org/officeDocument/2006/customXml" ds:itemID="{B67946F6-253B-40F3-ADF9-DBD760147FC0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7429f450-94b4-4416-870d-2c1407281566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A78600F-EE6C-4353-8FF4-6C1FF3C3CE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References</vt:lpstr>
      <vt:lpstr>Staff Calcs </vt:lpstr>
      <vt:lpstr>Tariff Changes</vt:lpstr>
      <vt:lpstr>Disposal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Calcualtions</dc:title>
  <dc:creator>Mike Young</dc:creator>
  <cp:lastModifiedBy>Robinson, Kristen</cp:lastModifiedBy>
  <cp:lastPrinted>2016-12-19T19:27:45Z</cp:lastPrinted>
  <dcterms:created xsi:type="dcterms:W3CDTF">2013-10-29T22:33:54Z</dcterms:created>
  <dcterms:modified xsi:type="dcterms:W3CDTF">2022-11-07T19:11:04Z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0x0101006E56B4D1795A2E4DB2F0B01679ED314A00F538D9C62EC05648AAC5D6B6EBBB3973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