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styles.xml" ContentType="application/vnd.openxmlformats-officedocument.spreadsheetml.styles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charts/colors1.xml" ContentType="application/vnd.ms-office.chartcolorsty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1.xml" ContentType="application/vnd.openxmlformats-officedocument.spreadsheetml.externalLink+xml"/>
  <Override PartName="/xl/comments1.xml" ContentType="application/vnd.openxmlformats-officedocument.spreadsheetml.comment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5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23820"/>
  <mc:AlternateContent xmlns:mc="http://schemas.openxmlformats.org/markup-compatibility/2006">
    <mc:Choice Requires="x15">
      <x15ac:absPath xmlns:x15ac="http://schemas.microsoft.com/office/spreadsheetml/2010/11/ac" url="M:\2022\2022 WA Sch 88 Wildfire Tariff Filing\For Filing\"/>
    </mc:Choice>
  </mc:AlternateContent>
  <xr:revisionPtr revIDLastSave="0" documentId="13_ncr:1_{AC18A41E-475B-469F-8E8E-1154C788182A}" xr6:coauthVersionLast="46" xr6:coauthVersionMax="46" xr10:uidLastSave="{00000000-0000-0000-0000-000000000000}"/>
  <bookViews>
    <workbookView xWindow="4410" yWindow="480" windowWidth="25650" windowHeight="21120" tabRatio="772" xr2:uid="{00000000-000D-0000-FFFF-FFFF00000000}"/>
  </bookViews>
  <sheets>
    <sheet name="WA Wildfire Deferral Baseline" sheetId="19" r:id="rId1"/>
    <sheet name="Wildfire Incremental Expense" sheetId="18" r:id="rId2"/>
    <sheet name="PT Ratio with 2021 Data" sheetId="23" r:id="rId3"/>
    <sheet name="202012 WFRES Depr Entry" sheetId="9" state="hidden" r:id="rId4"/>
    <sheet name="PT Ratio with 2020 Data" sheetId="5" state="hidden" r:id="rId5"/>
    <sheet name="2022 Expected Spend" sheetId="22" r:id="rId6"/>
    <sheet name="202110 WA Revenue Forecast" sheetId="20" r:id="rId7"/>
  </sheets>
  <externalReferences>
    <externalReference r:id="rId8"/>
    <externalReference r:id="rId9"/>
    <externalReference r:id="rId10"/>
    <externalReference r:id="rId11"/>
    <externalReference r:id="rId12"/>
    <externalReference r:id="rId13"/>
    <externalReference r:id="rId14"/>
  </externalReferences>
  <definedNames>
    <definedName name="AcctGrp">[1]Amort!$O$34</definedName>
    <definedName name="Actuals_Mo">[2]Tables!$B$19</definedName>
    <definedName name="CurrDte">[3]Debt!$C$1</definedName>
    <definedName name="CustMos">'[2]Cust Load'!$D$3</definedName>
    <definedName name="dd" hidden="1">{"Print_Detail",#N/A,FALSE,"Redemption_Maturity Extract"}</definedName>
    <definedName name="ddd" hidden="1">{"Full",#N/A,FALSE,"Sec MTN B Summary"}</definedName>
    <definedName name="dddd" hidden="1">{"RedPrem_InitRed View",#N/A,FALSE,"Sec MTN B Summary"}</definedName>
    <definedName name="dddddd" hidden="1">{"Pivot1",#N/A,FALSE,"Redemption_Maturity Extract"}</definedName>
    <definedName name="dddddddd" hidden="1">{"Pivot2",#N/A,FALSE,"Redemption_Maturity Extract"}</definedName>
    <definedName name="DollarType">[1]Amort!$R$1</definedName>
    <definedName name="EndAR">#N/A</definedName>
    <definedName name="EndCash">#N/A</definedName>
    <definedName name="EndCashTCI">#N/A</definedName>
    <definedName name="EndMo">[2]Tables!$B$16</definedName>
    <definedName name="EndSTDebt">#N/A</definedName>
    <definedName name="EndTCI">#N/A</definedName>
    <definedName name="FERC_Lkup">'[3]Interest Accrued-Paid'!$AY$6:$AZ$29</definedName>
    <definedName name="MaxAR">#N/A</definedName>
    <definedName name="MaxCash">#N/A</definedName>
    <definedName name="MaxTCI">#N/A</definedName>
    <definedName name="MinAR">#N/A</definedName>
    <definedName name="MinCash">#N/A</definedName>
    <definedName name="MinTCI">#N/A</definedName>
    <definedName name="NetCash">#N/A</definedName>
    <definedName name="PriceDate_E">[4]Sheet2!$B$5</definedName>
    <definedName name="PriceDate_G">[4]Sheet2!$B$6</definedName>
    <definedName name="_xlnm.Print_Area" localSheetId="4">'PT Ratio with 2020 Data'!$A$1:$F$48</definedName>
    <definedName name="Print_ScenDate">[4]Sheet2!$B$2</definedName>
    <definedName name="_xlnm.Print_Titles" localSheetId="4">'PT Ratio with 2020 Data'!$A:$C</definedName>
    <definedName name="PTRATIO">'PT Ratio with 2020 Data'!$A$1:$F$44</definedName>
    <definedName name="RateDesc">CHOOSE([2]Rev!$B$5, [2]!Rates_WA[RateDesc], [2]!Rates_ID[RateDesc])</definedName>
    <definedName name="RateDesc2">CHOOSE('[2]Manual Rev'!$C1, [2]!Rates_WA[RateDesc], [2]!Rates_ID[RateDesc])</definedName>
    <definedName name="RateID">CHOOSE([2]Rev!$B$5, [2]!Rates_WA[ID], [2]!Rates_ID[ID])</definedName>
    <definedName name="RateID2">CHOOSE('[2]Manual Rev'!$C1, [2]!Rates_WA[ID], [2]!Rates_ID[ID])</definedName>
    <definedName name="RData">CHOOSE([2]Rev!$B$5, [2]!Rates_WA[#Data], [2]!Rates_ID[#Data])</definedName>
    <definedName name="RData2">CHOOSE('[2]Manual Rev'!$C1, [2]!Rates_WA[#Data], [2]!Rates_ID[#Data])</definedName>
    <definedName name="RevMos">[2]Rev!$C$2</definedName>
    <definedName name="RH">CHOOSE([2]Rev!$B$5, [2]!Rates_WA[#Headers], [2]!Rates_ID[#Headers])</definedName>
    <definedName name="RH_2">CHOOSE('[2]Manual Rev'!$C1, [2]!Rates_WA[#Headers], [2]!Rates_ID[#Headers])</definedName>
    <definedName name="Scenario_Name">[4]Sheet2!$B$8</definedName>
    <definedName name="Sch">CHOOSE([2]Rev!$B$5, [2]!Rates_WA[St-Sch], [2]!Rates_ID[St-Sch])</definedName>
    <definedName name="Sch_2">CHOOSE('[2]Manual Rev'!$C1, [2]!Rates_WA[St-Sch], [2]!Rates_ID[St-Sch])</definedName>
    <definedName name="Sched">[2]Rev!$A$3</definedName>
    <definedName name="Start_Page">[4]Sheet2!$B$10</definedName>
    <definedName name="StartMo">[2]Tables!$B$13</definedName>
    <definedName name="UBMos">[2]Unbilled!$C$3</definedName>
    <definedName name="vl_tbl_SchedClass">[2]!tbl_SchedAll[StClSch]</definedName>
    <definedName name="wrn.All._.Sheets." hidden="1">{"IncSt",#N/A,FALSE,"IS";"BalSht",#N/A,FALSE,"BS";"IntCash",#N/A,FALSE,"Int. Cash";"Stats",#N/A,FALSE,"Stats"}</definedName>
    <definedName name="wrn.Detail." hidden="1">{"Print_Detail",#N/A,FALSE,"Redemption_Maturity Extract"}</definedName>
    <definedName name="wrn.Diane._.s._.Version." hidden="1">{"Full",#N/A,FALSE,"Sec MTN B Summary"}</definedName>
    <definedName name="wrn.Distribution._.Version." hidden="1">{"RedPrem_InitRed View",#N/A,FALSE,"Sec MTN B Summary"}</definedName>
    <definedName name="wrn.Pivot1." hidden="1">{"Pivot1",#N/A,FALSE,"Redemption_Maturity Extract"}</definedName>
    <definedName name="wrn.Pivot2." hidden="1">{"Pivot2",#N/A,FALSE,"Redemption_Maturity Extract"}</definedName>
  </definedNames>
  <calcPr calcId="191029"/>
  <webPublishing codePage="125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9" i="22" l="1"/>
  <c r="F10" i="19"/>
  <c r="F9" i="19" l="1"/>
  <c r="F8" i="19"/>
  <c r="F7" i="19"/>
  <c r="F6" i="19" l="1"/>
  <c r="F5" i="19" l="1"/>
  <c r="B32" i="23" l="1"/>
  <c r="B30" i="23"/>
  <c r="E29" i="23"/>
  <c r="F29" i="23" s="1"/>
  <c r="D28" i="23"/>
  <c r="F28" i="23" s="1"/>
  <c r="B27" i="23"/>
  <c r="B25" i="23"/>
  <c r="B23" i="23"/>
  <c r="E22" i="23"/>
  <c r="F22" i="23" s="1"/>
  <c r="E12" i="23"/>
  <c r="D12" i="23"/>
  <c r="E8" i="23"/>
  <c r="E21" i="23" s="1"/>
  <c r="D8" i="23"/>
  <c r="A3" i="23"/>
  <c r="E23" i="23" l="1"/>
  <c r="F12" i="23"/>
  <c r="D14" i="23" s="1"/>
  <c r="D27" i="23"/>
  <c r="F8" i="23"/>
  <c r="E10" i="23" s="1"/>
  <c r="D21" i="23"/>
  <c r="E27" i="23"/>
  <c r="E30" i="23" s="1"/>
  <c r="F27" i="23" l="1"/>
  <c r="F30" i="23" s="1"/>
  <c r="E32" i="23" s="1"/>
  <c r="D30" i="23"/>
  <c r="D23" i="23"/>
  <c r="F21" i="23"/>
  <c r="F23" i="23" s="1"/>
  <c r="E25" i="23" s="1"/>
  <c r="E14" i="23"/>
  <c r="F14" i="23" s="1"/>
  <c r="F15" i="23" s="1"/>
  <c r="D10" i="23"/>
  <c r="D32" i="23" l="1"/>
  <c r="F32" i="23" s="1"/>
  <c r="F33" i="23" s="1"/>
  <c r="D25" i="23"/>
  <c r="E17" i="23"/>
  <c r="E35" i="23"/>
  <c r="D17" i="23"/>
  <c r="F10" i="23"/>
  <c r="F11" i="23" s="1"/>
  <c r="P61" i="18" l="1"/>
  <c r="P62" i="18" s="1"/>
  <c r="Q61" i="18"/>
  <c r="Q62" i="18" s="1"/>
  <c r="N61" i="18"/>
  <c r="N62" i="18" s="1"/>
  <c r="L61" i="18"/>
  <c r="L62" i="18" s="1"/>
  <c r="O61" i="18"/>
  <c r="O62" i="18" s="1"/>
  <c r="K61" i="18"/>
  <c r="K62" i="18" s="1"/>
  <c r="M61" i="18"/>
  <c r="M62" i="18" s="1"/>
  <c r="F17" i="23"/>
  <c r="F18" i="23" s="1"/>
  <c r="D35" i="23"/>
  <c r="Q64" i="18" s="1"/>
  <c r="Q65" i="18" s="1"/>
  <c r="E11" i="19" s="1"/>
  <c r="G11" i="19" s="1"/>
  <c r="F25" i="23"/>
  <c r="F26" i="23" s="1"/>
  <c r="Q67" i="18" l="1"/>
  <c r="P64" i="18"/>
  <c r="N64" i="18"/>
  <c r="N65" i="18" s="1"/>
  <c r="E8" i="19" s="1"/>
  <c r="G8" i="19" s="1"/>
  <c r="K64" i="18"/>
  <c r="K65" i="18" s="1"/>
  <c r="O64" i="18"/>
  <c r="O65" i="18" s="1"/>
  <c r="L64" i="18"/>
  <c r="M64" i="18"/>
  <c r="M65" i="18" s="1"/>
  <c r="E7" i="19" s="1"/>
  <c r="G7" i="19" s="1"/>
  <c r="F35" i="23"/>
  <c r="F4" i="19"/>
  <c r="F3" i="19"/>
  <c r="P65" i="18" l="1"/>
  <c r="P67" i="18" s="1"/>
  <c r="O67" i="18"/>
  <c r="E9" i="19"/>
  <c r="N67" i="18"/>
  <c r="F2" i="19"/>
  <c r="F14" i="19" s="1"/>
  <c r="E10" i="19" l="1"/>
  <c r="M67" i="18"/>
  <c r="B26" i="22"/>
  <c r="C25" i="22"/>
  <c r="B22" i="22"/>
  <c r="C21" i="22"/>
  <c r="C18" i="22"/>
  <c r="C26" i="22" s="1"/>
  <c r="T17" i="22"/>
  <c r="O17" i="22" s="1"/>
  <c r="S17" i="22"/>
  <c r="K17" i="22" s="1"/>
  <c r="R17" i="22"/>
  <c r="G17" i="22" s="1"/>
  <c r="Q17" i="22"/>
  <c r="F17" i="22" s="1"/>
  <c r="N17" i="22"/>
  <c r="M17" i="22"/>
  <c r="L17" i="22"/>
  <c r="J17" i="22"/>
  <c r="I17" i="22"/>
  <c r="H17" i="22"/>
  <c r="D17" i="22"/>
  <c r="L16" i="22"/>
  <c r="L18" i="22" s="1"/>
  <c r="H16" i="22"/>
  <c r="H18" i="22" s="1"/>
  <c r="D16" i="22"/>
  <c r="C16" i="22"/>
  <c r="O15" i="22"/>
  <c r="N15" i="22"/>
  <c r="M15" i="22"/>
  <c r="L15" i="22"/>
  <c r="K15" i="22"/>
  <c r="J15" i="22"/>
  <c r="I15" i="22"/>
  <c r="H15" i="22"/>
  <c r="G15" i="22"/>
  <c r="F15" i="22"/>
  <c r="E15" i="22"/>
  <c r="D15" i="22"/>
  <c r="O14" i="22"/>
  <c r="N14" i="22"/>
  <c r="M14" i="22"/>
  <c r="L14" i="22"/>
  <c r="K14" i="22"/>
  <c r="J14" i="22"/>
  <c r="I14" i="22"/>
  <c r="H14" i="22"/>
  <c r="G14" i="22"/>
  <c r="F14" i="22"/>
  <c r="E14" i="22"/>
  <c r="D14" i="22"/>
  <c r="O13" i="22"/>
  <c r="N13" i="22"/>
  <c r="M13" i="22"/>
  <c r="L13" i="22"/>
  <c r="K13" i="22"/>
  <c r="J13" i="22"/>
  <c r="I13" i="22"/>
  <c r="H13" i="22"/>
  <c r="G13" i="22"/>
  <c r="F13" i="22"/>
  <c r="E13" i="22"/>
  <c r="D13" i="22"/>
  <c r="O12" i="22"/>
  <c r="N12" i="22"/>
  <c r="M12" i="22"/>
  <c r="L12" i="22"/>
  <c r="K12" i="22"/>
  <c r="J12" i="22"/>
  <c r="I12" i="22"/>
  <c r="H12" i="22"/>
  <c r="G12" i="22"/>
  <c r="F12" i="22"/>
  <c r="E12" i="22"/>
  <c r="D12" i="22"/>
  <c r="O11" i="22"/>
  <c r="N11" i="22"/>
  <c r="M11" i="22"/>
  <c r="L11" i="22"/>
  <c r="K11" i="22"/>
  <c r="J11" i="22"/>
  <c r="I11" i="22"/>
  <c r="H11" i="22"/>
  <c r="G11" i="22"/>
  <c r="F11" i="22"/>
  <c r="E11" i="22"/>
  <c r="D11" i="22"/>
  <c r="O10" i="22"/>
  <c r="N10" i="22"/>
  <c r="M10" i="22"/>
  <c r="L10" i="22"/>
  <c r="K10" i="22"/>
  <c r="J10" i="22"/>
  <c r="I10" i="22"/>
  <c r="H10" i="22"/>
  <c r="G10" i="22"/>
  <c r="F10" i="22"/>
  <c r="E10" i="22"/>
  <c r="D10" i="22"/>
  <c r="O9" i="22"/>
  <c r="N9" i="22"/>
  <c r="M9" i="22"/>
  <c r="K9" i="22"/>
  <c r="J9" i="22"/>
  <c r="I9" i="22"/>
  <c r="H9" i="22"/>
  <c r="G9" i="22"/>
  <c r="F9" i="22"/>
  <c r="E9" i="22"/>
  <c r="D9" i="22"/>
  <c r="O8" i="22"/>
  <c r="N8" i="22"/>
  <c r="M8" i="22"/>
  <c r="L8" i="22"/>
  <c r="K8" i="22"/>
  <c r="J8" i="22"/>
  <c r="I8" i="22"/>
  <c r="H8" i="22"/>
  <c r="G8" i="22"/>
  <c r="F8" i="22"/>
  <c r="E8" i="22"/>
  <c r="D8" i="22"/>
  <c r="O7" i="22"/>
  <c r="N7" i="22"/>
  <c r="M7" i="22"/>
  <c r="L7" i="22"/>
  <c r="K7" i="22"/>
  <c r="J7" i="22"/>
  <c r="I7" i="22"/>
  <c r="H7" i="22"/>
  <c r="G7" i="22"/>
  <c r="F7" i="22"/>
  <c r="E7" i="22"/>
  <c r="D7" i="22"/>
  <c r="O6" i="22"/>
  <c r="N6" i="22"/>
  <c r="M6" i="22"/>
  <c r="L6" i="22"/>
  <c r="K6" i="22"/>
  <c r="J6" i="22"/>
  <c r="I6" i="22"/>
  <c r="H6" i="22"/>
  <c r="G6" i="22"/>
  <c r="F6" i="22"/>
  <c r="E6" i="22"/>
  <c r="D6" i="22"/>
  <c r="O5" i="22"/>
  <c r="O16" i="22" s="1"/>
  <c r="O18" i="22" s="1"/>
  <c r="N5" i="22"/>
  <c r="N16" i="22" s="1"/>
  <c r="N18" i="22" s="1"/>
  <c r="M5" i="22"/>
  <c r="M16" i="22" s="1"/>
  <c r="M18" i="22" s="1"/>
  <c r="L5" i="22"/>
  <c r="K5" i="22"/>
  <c r="K16" i="22" s="1"/>
  <c r="K18" i="22" s="1"/>
  <c r="J5" i="22"/>
  <c r="J16" i="22" s="1"/>
  <c r="J18" i="22" s="1"/>
  <c r="I5" i="22"/>
  <c r="I16" i="22" s="1"/>
  <c r="I18" i="22" s="1"/>
  <c r="H5" i="22"/>
  <c r="G5" i="22"/>
  <c r="G16" i="22" s="1"/>
  <c r="F5" i="22"/>
  <c r="F16" i="22" s="1"/>
  <c r="E5" i="22"/>
  <c r="E16" i="22" s="1"/>
  <c r="D5" i="22"/>
  <c r="K26" i="22" l="1"/>
  <c r="K27" i="22" s="1"/>
  <c r="K22" i="22"/>
  <c r="K23" i="22" s="1"/>
  <c r="N22" i="22"/>
  <c r="N23" i="22" s="1"/>
  <c r="N26" i="22"/>
  <c r="N27" i="22" s="1"/>
  <c r="L26" i="22"/>
  <c r="L27" i="22" s="1"/>
  <c r="L22" i="22"/>
  <c r="L23" i="22" s="1"/>
  <c r="E18" i="22"/>
  <c r="G18" i="22"/>
  <c r="I26" i="22"/>
  <c r="I27" i="22" s="1"/>
  <c r="I22" i="22"/>
  <c r="I23" i="22" s="1"/>
  <c r="C19" i="22"/>
  <c r="M22" i="22"/>
  <c r="M23" i="22" s="1"/>
  <c r="M26" i="22"/>
  <c r="M27" i="22" s="1"/>
  <c r="F18" i="22"/>
  <c r="O22" i="22"/>
  <c r="O23" i="22" s="1"/>
  <c r="O26" i="22"/>
  <c r="O27" i="22" s="1"/>
  <c r="J26" i="22"/>
  <c r="J27" i="22" s="1"/>
  <c r="J22" i="22"/>
  <c r="J23" i="22" s="1"/>
  <c r="H22" i="22"/>
  <c r="H23" i="22" s="1"/>
  <c r="H26" i="22"/>
  <c r="H27" i="22" s="1"/>
  <c r="C22" i="22"/>
  <c r="E17" i="22"/>
  <c r="D18" i="22"/>
  <c r="D26" i="22" l="1"/>
  <c r="D27" i="22" s="1"/>
  <c r="C27" i="22" s="1"/>
  <c r="D22" i="22"/>
  <c r="D23" i="22" s="1"/>
  <c r="E22" i="22"/>
  <c r="E23" i="22" s="1"/>
  <c r="E26" i="22"/>
  <c r="E27" i="22" s="1"/>
  <c r="F22" i="22"/>
  <c r="F23" i="22" s="1"/>
  <c r="F26" i="22"/>
  <c r="F27" i="22" s="1"/>
  <c r="G22" i="22"/>
  <c r="G23" i="22" s="1"/>
  <c r="G26" i="22"/>
  <c r="G27" i="22" s="1"/>
  <c r="C23" i="22" l="1"/>
  <c r="AB4" i="20" l="1"/>
  <c r="AA4" i="20"/>
  <c r="Z4" i="20"/>
  <c r="Y4" i="20"/>
  <c r="X4" i="20"/>
  <c r="W4" i="20"/>
  <c r="V4" i="20"/>
  <c r="U4" i="20"/>
  <c r="T4" i="20"/>
  <c r="S4" i="20"/>
  <c r="R4" i="20"/>
  <c r="Q4" i="20"/>
  <c r="P4" i="20"/>
  <c r="O4" i="20"/>
  <c r="N4" i="20"/>
  <c r="M4" i="20"/>
  <c r="L4" i="20"/>
  <c r="K4" i="20"/>
  <c r="J4" i="20"/>
  <c r="I4" i="20"/>
  <c r="H4" i="20"/>
  <c r="G4" i="20"/>
  <c r="F4" i="20"/>
  <c r="E4" i="20"/>
  <c r="D4" i="20"/>
  <c r="C4" i="20"/>
  <c r="B4" i="20"/>
  <c r="AB3" i="20"/>
  <c r="AA3" i="20"/>
  <c r="Z3" i="20"/>
  <c r="Y3" i="20"/>
  <c r="X3" i="20"/>
  <c r="W3" i="20"/>
  <c r="V3" i="20"/>
  <c r="U3" i="20"/>
  <c r="T3" i="20"/>
  <c r="S3" i="20"/>
  <c r="R3" i="20"/>
  <c r="Q3" i="20"/>
  <c r="P3" i="20"/>
  <c r="O3" i="20"/>
  <c r="N3" i="20"/>
  <c r="M3" i="20"/>
  <c r="L3" i="20"/>
  <c r="K3" i="20"/>
  <c r="J3" i="20"/>
  <c r="I3" i="20"/>
  <c r="H3" i="20"/>
  <c r="G3" i="20"/>
  <c r="F3" i="20"/>
  <c r="E3" i="20"/>
  <c r="D3" i="20"/>
  <c r="C3" i="20"/>
  <c r="B3" i="20"/>
  <c r="B14" i="19"/>
  <c r="C12" i="19" s="1"/>
  <c r="D12" i="19" s="1"/>
  <c r="G9" i="19"/>
  <c r="C9" i="19"/>
  <c r="D9" i="19" s="1"/>
  <c r="C2" i="19"/>
  <c r="C3" i="19" l="1"/>
  <c r="D3" i="19" s="1"/>
  <c r="C4" i="19"/>
  <c r="D4" i="19" s="1"/>
  <c r="C7" i="19"/>
  <c r="D7" i="19" s="1"/>
  <c r="C10" i="19"/>
  <c r="D10" i="19" s="1"/>
  <c r="C11" i="19"/>
  <c r="D11" i="19" s="1"/>
  <c r="C5" i="19"/>
  <c r="D5" i="19" s="1"/>
  <c r="C8" i="19"/>
  <c r="D8" i="19" s="1"/>
  <c r="C6" i="19"/>
  <c r="D6" i="19" s="1"/>
  <c r="C13" i="19"/>
  <c r="D13" i="19" s="1"/>
  <c r="D2" i="19"/>
  <c r="C14" i="19" l="1"/>
  <c r="M7" i="9" l="1"/>
  <c r="L7" i="9"/>
  <c r="K7" i="9"/>
  <c r="O6" i="9"/>
  <c r="O5" i="9"/>
  <c r="O4" i="9"/>
  <c r="O3" i="9"/>
  <c r="N2" i="9"/>
  <c r="O2" i="9" s="1"/>
  <c r="O7" i="9" s="1"/>
  <c r="B32" i="5" l="1"/>
  <c r="B30" i="5"/>
  <c r="E29" i="5"/>
  <c r="F29" i="5" s="1"/>
  <c r="D28" i="5"/>
  <c r="F28" i="5" s="1"/>
  <c r="B27" i="5"/>
  <c r="B25" i="5"/>
  <c r="B23" i="5"/>
  <c r="E22" i="5"/>
  <c r="F22" i="5" s="1"/>
  <c r="E12" i="5"/>
  <c r="E27" i="5" s="1"/>
  <c r="D12" i="5"/>
  <c r="E8" i="5"/>
  <c r="E21" i="5" s="1"/>
  <c r="D8" i="5"/>
  <c r="D21" i="5" s="1"/>
  <c r="A3" i="5"/>
  <c r="E30" i="5" l="1"/>
  <c r="E23" i="5"/>
  <c r="F21" i="5"/>
  <c r="F23" i="5" s="1"/>
  <c r="E25" i="5" s="1"/>
  <c r="D23" i="5"/>
  <c r="F12" i="5"/>
  <c r="E14" i="5" s="1"/>
  <c r="D27" i="5"/>
  <c r="F8" i="5"/>
  <c r="D25" i="5" l="1"/>
  <c r="F25" i="5" s="1"/>
  <c r="F26" i="5" s="1"/>
  <c r="D14" i="5"/>
  <c r="F14" i="5" s="1"/>
  <c r="F15" i="5" s="1"/>
  <c r="F27" i="5"/>
  <c r="F30" i="5" s="1"/>
  <c r="E32" i="5" s="1"/>
  <c r="E35" i="5" s="1"/>
  <c r="D30" i="5"/>
  <c r="E10" i="5"/>
  <c r="E17" i="5" s="1"/>
  <c r="D10" i="5"/>
  <c r="G61" i="18" l="1"/>
  <c r="G62" i="18" s="1"/>
  <c r="H61" i="18"/>
  <c r="I61" i="18"/>
  <c r="I62" i="18" s="1"/>
  <c r="J61" i="18"/>
  <c r="J62" i="18" s="1"/>
  <c r="D32" i="5"/>
  <c r="F32" i="5" s="1"/>
  <c r="F33" i="5" s="1"/>
  <c r="D17" i="5"/>
  <c r="F17" i="5" s="1"/>
  <c r="F18" i="5" s="1"/>
  <c r="F10" i="5"/>
  <c r="F11" i="5" s="1"/>
  <c r="R61" i="18" l="1"/>
  <c r="H62" i="18"/>
  <c r="D35" i="5"/>
  <c r="H64" i="18" s="1"/>
  <c r="H65" i="18" s="1"/>
  <c r="R62" i="18" l="1"/>
  <c r="I64" i="18"/>
  <c r="I65" i="18" s="1"/>
  <c r="J64" i="18"/>
  <c r="J65" i="18" s="1"/>
  <c r="J67" i="18" s="1"/>
  <c r="L65" i="18"/>
  <c r="L67" i="18" s="1"/>
  <c r="F35" i="5"/>
  <c r="R64" i="18" l="1"/>
  <c r="R65" i="18"/>
  <c r="G10" i="19"/>
  <c r="E6" i="19"/>
  <c r="G6" i="19" s="1"/>
  <c r="E5" i="19"/>
  <c r="G5" i="19" s="1"/>
  <c r="K67" i="18"/>
  <c r="E4" i="19"/>
  <c r="G4" i="19" s="1"/>
  <c r="I67" i="18"/>
  <c r="E3" i="19"/>
  <c r="G3" i="19" s="1"/>
  <c r="H67" i="18" l="1"/>
  <c r="E2" i="19"/>
  <c r="E14" i="19" s="1"/>
  <c r="G2" i="19" l="1"/>
  <c r="G14" i="19" s="1"/>
  <c r="G16" i="19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rzs589</author>
  </authors>
  <commentList>
    <comment ref="D8" authorId="0" shapeId="0" xr:uid="{477EF978-17A0-418D-BE18-EF912CC55896}">
      <text>
        <r>
          <rPr>
            <b/>
            <sz val="8"/>
            <color indexed="81"/>
            <rFont val="Tahoma"/>
            <family val="2"/>
          </rPr>
          <t>rzs589:</t>
        </r>
        <r>
          <rPr>
            <sz val="8"/>
            <color indexed="81"/>
            <rFont val="Tahoma"/>
            <family val="2"/>
          </rPr>
          <t xml:space="preserve">
From Page 9 of Rate Program</t>
        </r>
      </text>
    </comment>
    <comment ref="E8" authorId="0" shapeId="0" xr:uid="{3D15F825-81B6-47C0-859B-CDFDF5421B6E}">
      <text>
        <r>
          <rPr>
            <b/>
            <sz val="8"/>
            <color indexed="81"/>
            <rFont val="Tahoma"/>
            <family val="2"/>
          </rPr>
          <t>rzs589:</t>
        </r>
        <r>
          <rPr>
            <sz val="8"/>
            <color indexed="81"/>
            <rFont val="Tahoma"/>
            <family val="2"/>
          </rPr>
          <t xml:space="preserve">
From Page 9
 of Rate Program</t>
        </r>
      </text>
    </comment>
    <comment ref="D12" authorId="0" shapeId="0" xr:uid="{73F2C908-520B-49E3-9DDB-43C79E036E42}">
      <text>
        <r>
          <rPr>
            <b/>
            <sz val="8"/>
            <color indexed="81"/>
            <rFont val="Tahoma"/>
            <family val="2"/>
          </rPr>
          <t>rzs589:</t>
        </r>
        <r>
          <rPr>
            <sz val="8"/>
            <color indexed="81"/>
            <rFont val="Tahoma"/>
            <family val="2"/>
          </rPr>
          <t xml:space="preserve">
From Page 8 of Rate Program</t>
        </r>
      </text>
    </comment>
    <comment ref="E12" authorId="0" shapeId="0" xr:uid="{7330C954-BCFB-4644-B81B-A7D0864C90D7}">
      <text>
        <r>
          <rPr>
            <b/>
            <sz val="8"/>
            <color indexed="81"/>
            <rFont val="Tahoma"/>
            <family val="2"/>
          </rPr>
          <t>rzs589:</t>
        </r>
        <r>
          <rPr>
            <sz val="8"/>
            <color indexed="81"/>
            <rFont val="Tahoma"/>
            <family val="2"/>
          </rPr>
          <t xml:space="preserve">
From Page 8 of Rate Program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rzs589</author>
  </authors>
  <commentList>
    <comment ref="D8" authorId="0" shapeId="0" xr:uid="{00000000-0006-0000-0600-000001000000}">
      <text>
        <r>
          <rPr>
            <b/>
            <sz val="8"/>
            <color indexed="81"/>
            <rFont val="Tahoma"/>
            <family val="2"/>
          </rPr>
          <t>rzs589:</t>
        </r>
        <r>
          <rPr>
            <sz val="8"/>
            <color indexed="81"/>
            <rFont val="Tahoma"/>
            <family val="2"/>
          </rPr>
          <t xml:space="preserve">
From Page 9 of Rate Program</t>
        </r>
      </text>
    </comment>
    <comment ref="E8" authorId="0" shapeId="0" xr:uid="{00000000-0006-0000-0600-000002000000}">
      <text>
        <r>
          <rPr>
            <b/>
            <sz val="8"/>
            <color indexed="81"/>
            <rFont val="Tahoma"/>
            <family val="2"/>
          </rPr>
          <t>rzs589:</t>
        </r>
        <r>
          <rPr>
            <sz val="8"/>
            <color indexed="81"/>
            <rFont val="Tahoma"/>
            <family val="2"/>
          </rPr>
          <t xml:space="preserve">
From Page 9
 of Rate Program</t>
        </r>
      </text>
    </comment>
    <comment ref="D12" authorId="0" shapeId="0" xr:uid="{00000000-0006-0000-0600-000003000000}">
      <text>
        <r>
          <rPr>
            <b/>
            <sz val="8"/>
            <color indexed="81"/>
            <rFont val="Tahoma"/>
            <family val="2"/>
          </rPr>
          <t>rzs589:</t>
        </r>
        <r>
          <rPr>
            <sz val="8"/>
            <color indexed="81"/>
            <rFont val="Tahoma"/>
            <family val="2"/>
          </rPr>
          <t xml:space="preserve">
From Page 8 of Rate Program</t>
        </r>
      </text>
    </comment>
    <comment ref="E12" authorId="0" shapeId="0" xr:uid="{00000000-0006-0000-0600-000004000000}">
      <text>
        <r>
          <rPr>
            <b/>
            <sz val="8"/>
            <color indexed="81"/>
            <rFont val="Tahoma"/>
            <family val="2"/>
          </rPr>
          <t>rzs589:</t>
        </r>
        <r>
          <rPr>
            <sz val="8"/>
            <color indexed="81"/>
            <rFont val="Tahoma"/>
            <family val="2"/>
          </rPr>
          <t xml:space="preserve">
From Page 8 of Rate Program</t>
        </r>
      </text>
    </comment>
  </commentList>
</comments>
</file>

<file path=xl/sharedStrings.xml><?xml version="1.0" encoding="utf-8"?>
<sst xmlns="http://schemas.openxmlformats.org/spreadsheetml/2006/main" count="323" uniqueCount="197">
  <si>
    <t>Transaction Amount</t>
  </si>
  <si>
    <t>39902071</t>
  </si>
  <si>
    <t>WFRES Trans Operat-115kV ID</t>
  </si>
  <si>
    <t>AN</t>
  </si>
  <si>
    <t>29902071</t>
  </si>
  <si>
    <t>WFRES Trans Oper-115kV WA</t>
  </si>
  <si>
    <t>Contractor</t>
  </si>
  <si>
    <t>015 Construction Services</t>
  </si>
  <si>
    <t>ID</t>
  </si>
  <si>
    <t>035 Workforce - Contract</t>
  </si>
  <si>
    <t>03802073</t>
  </si>
  <si>
    <t>WFRES Distrib Maint_ID</t>
  </si>
  <si>
    <t>Voucher</t>
  </si>
  <si>
    <t>Employee Expenses</t>
  </si>
  <si>
    <t>215 Employee Business Meals</t>
  </si>
  <si>
    <t>29902070</t>
  </si>
  <si>
    <t>WFRES Trans Maint - 115kV WA</t>
  </si>
  <si>
    <t>010 General Services</t>
  </si>
  <si>
    <t>09806011</t>
  </si>
  <si>
    <t>Wildfire Plan - Distribution</t>
  </si>
  <si>
    <t>Notes:</t>
  </si>
  <si>
    <t>Avista Utilities</t>
  </si>
  <si>
    <t>Production/Transmission Percentage</t>
  </si>
  <si>
    <t>Washington</t>
  </si>
  <si>
    <t>Idaho</t>
  </si>
  <si>
    <t>Total</t>
  </si>
  <si>
    <t>Actual Jurisdictional Allocation (12/31/2020)</t>
  </si>
  <si>
    <t>Energy Retail Sales (MWH)</t>
  </si>
  <si>
    <t>Energy Retail Sales Percentage</t>
  </si>
  <si>
    <t>MW's Peak (Retail + Adjustments)</t>
  </si>
  <si>
    <t>MW's Peak Percentage</t>
  </si>
  <si>
    <t>Final Grand Summary - Allocation of Load by</t>
  </si>
  <si>
    <t>Jurisdiction (Based on 50/50 Weighting)</t>
  </si>
  <si>
    <t>Adjusted Jurisdictional Allocation</t>
  </si>
  <si>
    <t xml:space="preserve">Less: Adjustments to Idaho Load </t>
  </si>
  <si>
    <t>Less: Adjustments to Washington Load (Note 1)</t>
  </si>
  <si>
    <t>Less: Adjustments to Idaho Load (Note 2)</t>
  </si>
  <si>
    <t>Adjusted Production Transmission Jurisdiction</t>
  </si>
  <si>
    <t>(Based on 50/50 Weighting)</t>
  </si>
  <si>
    <t>Note 1</t>
  </si>
  <si>
    <t>Pend Oreille PUD/Kaiser Adjustment</t>
  </si>
  <si>
    <t>Note 2</t>
  </si>
  <si>
    <t xml:space="preserve">Clearwater Paper Adjustment </t>
  </si>
  <si>
    <t>CC/</t>
  </si>
  <si>
    <t>Ryan Finesilver</t>
  </si>
  <si>
    <t>Bradley Eastham</t>
  </si>
  <si>
    <t xml:space="preserve">Cheryl Kettner </t>
  </si>
  <si>
    <t>Tara Knox (attachments)</t>
  </si>
  <si>
    <t>Kaylene Schultz</t>
  </si>
  <si>
    <t>Tim Murphy</t>
  </si>
  <si>
    <t>Liz Andrews</t>
  </si>
  <si>
    <t>Karen Schuh</t>
  </si>
  <si>
    <t>Rubal Gill</t>
  </si>
  <si>
    <t>Keri Meister</t>
  </si>
  <si>
    <t>Justin</t>
  </si>
  <si>
    <t>Jenny McCauley</t>
  </si>
  <si>
    <t>Heide Evans</t>
  </si>
  <si>
    <t>Krista Johnson</t>
  </si>
  <si>
    <t>P/T Ratio - ID</t>
  </si>
  <si>
    <t>03805874</t>
  </si>
  <si>
    <t>ldg_work_order_number</t>
  </si>
  <si>
    <t>ldg_work_order_description</t>
  </si>
  <si>
    <t>business_segment</t>
  </si>
  <si>
    <t>func_class</t>
  </si>
  <si>
    <t>asset_location</t>
  </si>
  <si>
    <t>in_service_year</t>
  </si>
  <si>
    <t>major_location</t>
  </si>
  <si>
    <t>state_code</t>
  </si>
  <si>
    <t>month</t>
  </si>
  <si>
    <t>quantity</t>
  </si>
  <si>
    <t>book_cost</t>
  </si>
  <si>
    <t>allocated_reserve</t>
  </si>
  <si>
    <t>net_book_value</t>
  </si>
  <si>
    <t>ID Reserve Allocation</t>
  </si>
  <si>
    <t>WFRES Trans 115 Grid Hard 299T</t>
  </si>
  <si>
    <t>Electric Direct</t>
  </si>
  <si>
    <t>Transmission - Electric</t>
  </si>
  <si>
    <t>299T   - WASHINGTON 115KV TRANSM LINES</t>
  </si>
  <si>
    <t>Allocated North - Transm Electric</t>
  </si>
  <si>
    <t>WFRES: 115kV fire inspect 299T</t>
  </si>
  <si>
    <t>WFRES: ID DIST Grid Hardening</t>
  </si>
  <si>
    <t>Distribution - Electric</t>
  </si>
  <si>
    <t>00     - UNSPECIFIED - Idaho</t>
  </si>
  <si>
    <t>Idaho - General Plant</t>
  </si>
  <si>
    <t>WFRES: Dist Midline Reclose ID</t>
  </si>
  <si>
    <t>General Plant</t>
  </si>
  <si>
    <t>Deferred Depr</t>
  </si>
  <si>
    <t>{a}</t>
  </si>
  <si>
    <t>Vehicle</t>
  </si>
  <si>
    <t>710 Rental Expense - Vehicle</t>
  </si>
  <si>
    <t>210 Employee Auto Mileage</t>
  </si>
  <si>
    <t>202109</t>
  </si>
  <si>
    <t>915 Printing</t>
  </si>
  <si>
    <t>230 Employee Lodging</t>
  </si>
  <si>
    <t>910 Postage</t>
  </si>
  <si>
    <t>Curve</t>
  </si>
  <si>
    <r>
      <t xml:space="preserve">Wildfire Deferral </t>
    </r>
    <r>
      <rPr>
        <b/>
        <sz val="11"/>
        <color rgb="FFFF0000"/>
        <rFont val="Calibri"/>
        <family val="2"/>
        <scheme val="minor"/>
      </rPr>
      <t>{c}</t>
    </r>
  </si>
  <si>
    <t>{b}</t>
  </si>
  <si>
    <t>{c}</t>
  </si>
  <si>
    <t>Total WA Incremental Costs</t>
  </si>
  <si>
    <t>P/T Ratio - WA</t>
  </si>
  <si>
    <t>Total ID Incremental Costs</t>
  </si>
  <si>
    <t>Wildfire Plan - Transmission</t>
  </si>
  <si>
    <t>02806691</t>
  </si>
  <si>
    <t>WFRES Distrib Maint_WA</t>
  </si>
  <si>
    <t>02802073</t>
  </si>
  <si>
    <t>WA</t>
  </si>
  <si>
    <t>202110</t>
  </si>
  <si>
    <r>
      <t xml:space="preserve">WA Revenue Forecast </t>
    </r>
    <r>
      <rPr>
        <b/>
        <sz val="11"/>
        <color rgb="FFFF0000"/>
        <rFont val="Calibri"/>
        <family val="2"/>
        <scheme val="minor"/>
      </rPr>
      <t>{a}</t>
    </r>
  </si>
  <si>
    <r>
      <t>WA Wildfire Expense Base</t>
    </r>
    <r>
      <rPr>
        <b/>
        <sz val="11"/>
        <color rgb="FFFF0000"/>
        <rFont val="Calibri"/>
        <family val="2"/>
        <scheme val="minor"/>
      </rPr>
      <t xml:space="preserve"> {b}</t>
    </r>
  </si>
  <si>
    <t>Monthly WA Wildfire Expense</t>
  </si>
  <si>
    <t>Annual total per WA Order No. 08/05</t>
  </si>
  <si>
    <t>Total Calendar Revenue</t>
  </si>
  <si>
    <t>IDAHO</t>
  </si>
  <si>
    <t>Calendar Rev is base rate rev, add on tariff rev, wind rev and decoupling</t>
  </si>
  <si>
    <t>Total Billed Revenue</t>
  </si>
  <si>
    <t>Calendar rev less NET unbilled rev</t>
  </si>
  <si>
    <t>Total Base Rate Revenue</t>
  </si>
  <si>
    <t>Base Rate Rev does not include Wind Rev.  It is Energy Rev and Basic Charge Rev</t>
  </si>
  <si>
    <t>02806900</t>
  </si>
  <si>
    <t>202010 WA base revenue forecast per Jenn Hossack, Resource Accounting Accounting Analyst.  Each revenue type had similar spreads (less than 1% difference).</t>
  </si>
  <si>
    <t>Check</t>
  </si>
  <si>
    <t>202111</t>
  </si>
  <si>
    <t>820 Computer Equip Software</t>
  </si>
  <si>
    <t>880 Materials &amp; Equipment</t>
  </si>
  <si>
    <t>Overhead</t>
  </si>
  <si>
    <t>530 Stores/Material Loading</t>
  </si>
  <si>
    <t>202112</t>
  </si>
  <si>
    <t>NONE</t>
  </si>
  <si>
    <t>Wildfire Resiliency Defer - WA</t>
  </si>
  <si>
    <t>885 Miscellaneous</t>
  </si>
  <si>
    <t>OPER</t>
  </si>
  <si>
    <t>Material</t>
  </si>
  <si>
    <t>415 Material Issues</t>
  </si>
  <si>
    <t>Wildfire Resiliency Defer - ID</t>
  </si>
  <si>
    <t>33302070</t>
  </si>
  <si>
    <t>WFRES Tran Maint 230kv 333</t>
  </si>
  <si>
    <t>Current Month Deferral</t>
  </si>
  <si>
    <t>DJ477 - Booked</t>
  </si>
  <si>
    <t>WF Resiliency Program MAC 207</t>
  </si>
  <si>
    <t>Spend by Quarter (%)</t>
  </si>
  <si>
    <t>$ in 000's</t>
  </si>
  <si>
    <t>Program</t>
  </si>
  <si>
    <t>Q1</t>
  </si>
  <si>
    <t>Q2</t>
  </si>
  <si>
    <t>Q3</t>
  </si>
  <si>
    <t>Q4</t>
  </si>
  <si>
    <t>WF RES Transmission Plng</t>
  </si>
  <si>
    <t>FW Dashboard</t>
  </si>
  <si>
    <t>Tx Dig Data (GeoDigital)</t>
  </si>
  <si>
    <t>Tx FR Pole Wraps</t>
  </si>
  <si>
    <t>Fuel Reduction</t>
  </si>
  <si>
    <t>Tx Inspection</t>
  </si>
  <si>
    <t>WF RES Distribution Plng</t>
  </si>
  <si>
    <t>WA Dx Risk Tree</t>
  </si>
  <si>
    <t>ID Dx Risk Tree</t>
  </si>
  <si>
    <t>Cust Choice RTRP</t>
  </si>
  <si>
    <t>Dx Dig Data (AiDASH)</t>
  </si>
  <si>
    <t>Total Expense Budget</t>
  </si>
  <si>
    <t>Less Labor</t>
  </si>
  <si>
    <t>Total Expense Less Labor</t>
  </si>
  <si>
    <t>Rounding difference</t>
  </si>
  <si>
    <t>WA Expense Base</t>
  </si>
  <si>
    <t>WA Budgeted Expense</t>
  </si>
  <si>
    <t>WA Budgeted Deferral</t>
  </si>
  <si>
    <t>ID Expense Base</t>
  </si>
  <si>
    <t>ID Budgetd Expense</t>
  </si>
  <si>
    <t>ID Budgeted Deferral</t>
  </si>
  <si>
    <t>532 Materials Tax/Fght Loading</t>
  </si>
  <si>
    <t xml:space="preserve">Currently debit 182.3 and credit 407.4. In December 2021, we followed up with Liz Andrews and the deferral process for ID &amp; WA Wildfire has not changed and can continue booking towards the balancing account per above. </t>
  </si>
  <si>
    <t>Actual Jurisdictional Allocation (12/31/2021)</t>
  </si>
  <si>
    <t>Janessa Stromberger</t>
  </si>
  <si>
    <t>Brian Johnson</t>
  </si>
  <si>
    <t>Blake Parker</t>
  </si>
  <si>
    <t>The Wildfire Resilency (WFRES) incremental expenses above includes all MAC 207 (Wildfire Resiliency) costs, excluding labor.  Incremental labor is defined as new employees hired into a WFRES position or an existing employees hired into a WFRES position if their previous position was backfilled.  Per Dave James and Cherie Hirschberger, WFRES manager, no employees met the definition of incremental as of Dec 2021.</t>
  </si>
  <si>
    <t>202201</t>
  </si>
  <si>
    <t>225 Conference Fees</t>
  </si>
  <si>
    <t>202202</t>
  </si>
  <si>
    <t>02802072</t>
  </si>
  <si>
    <t>WFRES Distrib Operations_WA</t>
  </si>
  <si>
    <t>03802072</t>
  </si>
  <si>
    <t>WFRES Distrib Operations_ID</t>
  </si>
  <si>
    <t>830 Dues</t>
  </si>
  <si>
    <t>955 Uniforms - Employees</t>
  </si>
  <si>
    <t>202203</t>
  </si>
  <si>
    <t>202204</t>
  </si>
  <si>
    <t>525 Small Tools loading</t>
  </si>
  <si>
    <t>Transportation</t>
  </si>
  <si>
    <t>560 Road Vehicles</t>
  </si>
  <si>
    <t>570 Work Vehicles</t>
  </si>
  <si>
    <t>202205</t>
  </si>
  <si>
    <t>202206</t>
  </si>
  <si>
    <t>205 Airfare</t>
  </si>
  <si>
    <t>235 Employee Misc Expenses</t>
  </si>
  <si>
    <t>202207</t>
  </si>
  <si>
    <t>950 Training</t>
  </si>
  <si>
    <t>732 Vehicle Service - Ext Labr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</si>
</sst>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 ;_ * \-#,##0.00_ ;_ * &quot;-&quot;??_ ;_ @_ "/>
    <numFmt numFmtId="165" formatCode="mm\/dd\/yy_)"/>
    <numFmt numFmtId="166" formatCode="[$-409]mmm\-yy;@"/>
    <numFmt numFmtId="167" formatCode="_(&quot;$&quot;* #,##0_);_(&quot;$&quot;* \(#,##0\);_(&quot;$&quot;* &quot;-&quot;??_);_(@_)"/>
    <numFmt numFmtId="168" formatCode="00000000.000000"/>
    <numFmt numFmtId="169" formatCode="_(* #,##0_);_(* \(#,##0\);_(* &quot;-&quot;??_);_(@_)"/>
    <numFmt numFmtId="170" formatCode="&quot;$&quot;#,##0"/>
    <numFmt numFmtId="171" formatCode="#,##0.##"/>
  </numFmts>
  <fonts count="28" x14ac:knownFonts="1">
    <font>
      <sz val="10"/>
      <color theme="1"/>
      <name val="Tahoma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.5"/>
      <color rgb="FF343334"/>
      <name val="Tahoma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10"/>
      <name val="Arial"/>
      <family val="2"/>
    </font>
    <font>
      <b/>
      <sz val="10"/>
      <color rgb="FFFF0000"/>
      <name val="Tahoma"/>
      <family val="2"/>
    </font>
    <font>
      <sz val="12"/>
      <name val="Helv"/>
    </font>
    <font>
      <sz val="12"/>
      <color indexed="8"/>
      <name val="Helv"/>
    </font>
    <font>
      <sz val="12"/>
      <color indexed="12"/>
      <name val="Helv"/>
    </font>
    <font>
      <b/>
      <sz val="12"/>
      <name val="Helv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0.5"/>
      <color rgb="FF343334"/>
      <name val="Tahoma"/>
      <family val="2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1"/>
      <color rgb="FFFF0000"/>
      <name val="Calibri"/>
      <family val="2"/>
      <scheme val="minor"/>
    </font>
    <font>
      <sz val="10"/>
      <color theme="1"/>
      <name val="Arial"/>
      <family val="2"/>
    </font>
    <font>
      <b/>
      <sz val="10"/>
      <color rgb="FFFF0000"/>
      <name val="Arial"/>
      <family val="2"/>
    </font>
    <font>
      <b/>
      <sz val="10"/>
      <color theme="1"/>
      <name val="Arial"/>
      <family val="2"/>
    </font>
    <font>
      <i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EAEAEA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D0EBE6"/>
      </patternFill>
    </fill>
    <fill>
      <patternFill patternType="solid">
        <fgColor rgb="FFE2F1EE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</fills>
  <borders count="22">
    <border>
      <left/>
      <right/>
      <top/>
      <bottom/>
      <diagonal/>
    </border>
    <border>
      <left style="medium">
        <color rgb="FFC0BFC0"/>
      </left>
      <right style="medium">
        <color rgb="FFC0BFC0"/>
      </right>
      <top style="medium">
        <color rgb="FFC0BFC0"/>
      </top>
      <bottom style="medium">
        <color rgb="FFC0BFC0"/>
      </bottom>
      <diagonal/>
    </border>
    <border>
      <left style="medium">
        <color rgb="FFC0BFC0"/>
      </left>
      <right style="medium">
        <color rgb="FFC0BFC0"/>
      </right>
      <top/>
      <bottom style="medium">
        <color rgb="FFC0BFC0"/>
      </bottom>
      <diagonal/>
    </border>
    <border>
      <left style="medium">
        <color rgb="FFC0BFC0"/>
      </left>
      <right style="medium">
        <color rgb="FFC0BFC0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rgb="FFC0BFC0"/>
      </right>
      <top/>
      <bottom style="medium">
        <color rgb="FFC0BFC0"/>
      </bottom>
      <diagonal/>
    </border>
    <border>
      <left/>
      <right/>
      <top/>
      <bottom style="medium">
        <color rgb="FFC0BFC0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6">
    <xf numFmtId="0" fontId="0" fillId="0" borderId="0"/>
    <xf numFmtId="43" fontId="6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37" fontId="10" fillId="0" borderId="0"/>
    <xf numFmtId="0" fontId="18" fillId="0" borderId="0"/>
    <xf numFmtId="43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8" fillId="0" borderId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8" fillId="0" borderId="0">
      <alignment readingOrder="1"/>
    </xf>
    <xf numFmtId="0" fontId="2" fillId="0" borderId="0"/>
  </cellStyleXfs>
  <cellXfs count="165">
    <xf numFmtId="0" fontId="0" fillId="0" borderId="0" xfId="0"/>
    <xf numFmtId="43" fontId="0" fillId="0" borderId="0" xfId="1" applyFont="1"/>
    <xf numFmtId="0" fontId="9" fillId="0" borderId="0" xfId="0" applyFont="1" applyAlignment="1">
      <alignment horizontal="right" vertical="top"/>
    </xf>
    <xf numFmtId="37" fontId="10" fillId="0" borderId="0" xfId="5"/>
    <xf numFmtId="165" fontId="10" fillId="0" borderId="0" xfId="5" applyNumberFormat="1" applyProtection="1"/>
    <xf numFmtId="37" fontId="11" fillId="0" borderId="0" xfId="5" applyFont="1" applyProtection="1">
      <protection locked="0"/>
    </xf>
    <xf numFmtId="37" fontId="10" fillId="0" borderId="6" xfId="5" applyBorder="1" applyAlignment="1">
      <alignment horizontal="center"/>
    </xf>
    <xf numFmtId="37" fontId="12" fillId="0" borderId="6" xfId="5" applyFont="1" applyBorder="1" applyProtection="1">
      <protection locked="0"/>
    </xf>
    <xf numFmtId="37" fontId="10" fillId="0" borderId="6" xfId="5" applyBorder="1"/>
    <xf numFmtId="37" fontId="12" fillId="0" borderId="0" xfId="5" applyFont="1" applyProtection="1">
      <protection locked="0"/>
    </xf>
    <xf numFmtId="10" fontId="10" fillId="0" borderId="7" xfId="5" applyNumberFormat="1" applyBorder="1" applyProtection="1"/>
    <xf numFmtId="10" fontId="12" fillId="0" borderId="7" xfId="5" applyNumberFormat="1" applyFont="1" applyBorder="1" applyProtection="1"/>
    <xf numFmtId="37" fontId="12" fillId="0" borderId="0" xfId="5" applyFont="1"/>
    <xf numFmtId="37" fontId="10" fillId="0" borderId="7" xfId="5" applyBorder="1"/>
    <xf numFmtId="10" fontId="10" fillId="0" borderId="10" xfId="5" applyNumberFormat="1" applyBorder="1" applyProtection="1"/>
    <xf numFmtId="37" fontId="13" fillId="0" borderId="0" xfId="5" applyFont="1"/>
    <xf numFmtId="37" fontId="10" fillId="0" borderId="0" xfId="5" applyFill="1"/>
    <xf numFmtId="0" fontId="16" fillId="4" borderId="1" xfId="0" applyFont="1" applyFill="1" applyBorder="1" applyAlignment="1">
      <alignment horizontal="left" vertical="top"/>
    </xf>
    <xf numFmtId="43" fontId="0" fillId="0" borderId="0" xfId="0" applyNumberFormat="1"/>
    <xf numFmtId="0" fontId="18" fillId="0" borderId="0" xfId="6"/>
    <xf numFmtId="43" fontId="0" fillId="0" borderId="0" xfId="7" applyFont="1"/>
    <xf numFmtId="43" fontId="18" fillId="0" borderId="0" xfId="6" applyNumberFormat="1"/>
    <xf numFmtId="10" fontId="0" fillId="0" borderId="0" xfId="8" applyNumberFormat="1" applyFont="1"/>
    <xf numFmtId="0" fontId="17" fillId="0" borderId="5" xfId="6" applyFont="1" applyBorder="1" applyAlignment="1">
      <alignment wrapText="1"/>
    </xf>
    <xf numFmtId="0" fontId="17" fillId="0" borderId="5" xfId="6" applyFont="1" applyBorder="1" applyAlignment="1">
      <alignment horizontal="center" wrapText="1"/>
    </xf>
    <xf numFmtId="0" fontId="18" fillId="0" borderId="0" xfId="6" applyAlignment="1">
      <alignment wrapText="1"/>
    </xf>
    <xf numFmtId="22" fontId="18" fillId="0" borderId="0" xfId="6" applyNumberFormat="1"/>
    <xf numFmtId="17" fontId="18" fillId="0" borderId="0" xfId="6" applyNumberFormat="1"/>
    <xf numFmtId="43" fontId="18" fillId="7" borderId="0" xfId="6" applyNumberFormat="1" applyFill="1"/>
    <xf numFmtId="43" fontId="17" fillId="0" borderId="4" xfId="6" applyNumberFormat="1" applyFont="1" applyFill="1" applyBorder="1"/>
    <xf numFmtId="10" fontId="10" fillId="6" borderId="9" xfId="5" applyNumberFormat="1" applyFill="1" applyBorder="1" applyProtection="1"/>
    <xf numFmtId="0" fontId="0" fillId="0" borderId="0" xfId="0"/>
    <xf numFmtId="43" fontId="0" fillId="0" borderId="4" xfId="0" applyNumberFormat="1" applyFont="1" applyFill="1" applyBorder="1"/>
    <xf numFmtId="0" fontId="17" fillId="0" borderId="0" xfId="10" applyFont="1" applyAlignment="1">
      <alignment horizontal="center" wrapText="1"/>
    </xf>
    <xf numFmtId="0" fontId="17" fillId="3" borderId="5" xfId="10" applyFont="1" applyFill="1" applyBorder="1" applyAlignment="1">
      <alignment horizontal="center" wrapText="1"/>
    </xf>
    <xf numFmtId="17" fontId="17" fillId="0" borderId="0" xfId="10" applyNumberFormat="1" applyFont="1"/>
    <xf numFmtId="43" fontId="0" fillId="0" borderId="0" xfId="11" applyFont="1" applyFill="1" applyAlignment="1">
      <alignment readingOrder="1"/>
    </xf>
    <xf numFmtId="10" fontId="0" fillId="0" borderId="0" xfId="12" applyNumberFormat="1" applyFont="1"/>
    <xf numFmtId="43" fontId="0" fillId="0" borderId="0" xfId="11" applyFont="1"/>
    <xf numFmtId="0" fontId="3" fillId="0" borderId="0" xfId="10"/>
    <xf numFmtId="43" fontId="3" fillId="0" borderId="0" xfId="10" applyNumberFormat="1"/>
    <xf numFmtId="17" fontId="17" fillId="0" borderId="0" xfId="10" applyNumberFormat="1" applyFont="1" applyAlignment="1">
      <alignment horizontal="right"/>
    </xf>
    <xf numFmtId="43" fontId="0" fillId="0" borderId="4" xfId="11" applyFont="1" applyBorder="1"/>
    <xf numFmtId="9" fontId="0" fillId="0" borderId="4" xfId="12" applyFont="1" applyBorder="1"/>
    <xf numFmtId="43" fontId="3" fillId="0" borderId="4" xfId="10" applyNumberFormat="1" applyBorder="1"/>
    <xf numFmtId="0" fontId="20" fillId="0" borderId="0" xfId="10" applyFont="1" applyAlignment="1">
      <alignment horizontal="right" vertical="top"/>
    </xf>
    <xf numFmtId="0" fontId="3" fillId="0" borderId="0" xfId="10" applyAlignment="1">
      <alignment vertical="top"/>
    </xf>
    <xf numFmtId="0" fontId="20" fillId="0" borderId="0" xfId="10" applyFont="1" applyAlignment="1">
      <alignment horizontal="right" vertical="top" wrapText="1"/>
    </xf>
    <xf numFmtId="0" fontId="19" fillId="0" borderId="0" xfId="10" applyFont="1" applyAlignment="1">
      <alignment readingOrder="1"/>
    </xf>
    <xf numFmtId="166" fontId="3" fillId="0" borderId="0" xfId="10" applyNumberFormat="1" applyAlignment="1">
      <alignment readingOrder="1"/>
    </xf>
    <xf numFmtId="0" fontId="3" fillId="0" borderId="0" xfId="10" applyAlignment="1">
      <alignment readingOrder="1"/>
    </xf>
    <xf numFmtId="0" fontId="19" fillId="0" borderId="0" xfId="10" applyFont="1" applyAlignment="1">
      <alignment horizontal="right" readingOrder="1"/>
    </xf>
    <xf numFmtId="167" fontId="0" fillId="0" borderId="0" xfId="13" applyNumberFormat="1" applyFont="1" applyAlignment="1">
      <alignment readingOrder="1"/>
    </xf>
    <xf numFmtId="0" fontId="21" fillId="0" borderId="0" xfId="10" applyFont="1" applyAlignment="1">
      <alignment horizontal="left" readingOrder="1"/>
    </xf>
    <xf numFmtId="0" fontId="22" fillId="0" borderId="0" xfId="10" applyFont="1" applyAlignment="1">
      <alignment horizontal="right" readingOrder="1"/>
    </xf>
    <xf numFmtId="0" fontId="23" fillId="0" borderId="0" xfId="10" applyFont="1" applyAlignment="1">
      <alignment horizontal="right" readingOrder="1"/>
    </xf>
    <xf numFmtId="0" fontId="8" fillId="0" borderId="0" xfId="10" applyFont="1" applyAlignment="1">
      <alignment readingOrder="1"/>
    </xf>
    <xf numFmtId="43" fontId="3" fillId="0" borderId="4" xfId="1" applyFont="1" applyBorder="1"/>
    <xf numFmtId="0" fontId="0" fillId="0" borderId="0" xfId="0"/>
    <xf numFmtId="0" fontId="0" fillId="0" borderId="0" xfId="0" applyBorder="1"/>
    <xf numFmtId="43" fontId="0" fillId="0" borderId="0" xfId="0" applyNumberFormat="1" applyFont="1" applyFill="1" applyBorder="1"/>
    <xf numFmtId="43" fontId="7" fillId="0" borderId="0" xfId="0" applyNumberFormat="1" applyFont="1" applyFill="1" applyBorder="1"/>
    <xf numFmtId="10" fontId="12" fillId="6" borderId="8" xfId="5" applyNumberFormat="1" applyFont="1" applyFill="1" applyBorder="1" applyProtection="1">
      <protection locked="0"/>
    </xf>
    <xf numFmtId="0" fontId="0" fillId="0" borderId="0" xfId="0"/>
    <xf numFmtId="0" fontId="0" fillId="0" borderId="0" xfId="0"/>
    <xf numFmtId="0" fontId="0" fillId="0" borderId="0" xfId="0" applyFill="1"/>
    <xf numFmtId="43" fontId="0" fillId="0" borderId="0" xfId="1" applyFont="1" applyFill="1"/>
    <xf numFmtId="43" fontId="6" fillId="0" borderId="4" xfId="1" applyFont="1" applyBorder="1"/>
    <xf numFmtId="0" fontId="0" fillId="0" borderId="0" xfId="0"/>
    <xf numFmtId="43" fontId="17" fillId="8" borderId="4" xfId="10" applyNumberFormat="1" applyFont="1" applyFill="1" applyBorder="1"/>
    <xf numFmtId="43" fontId="0" fillId="0" borderId="0" xfId="11" applyFont="1" applyBorder="1"/>
    <xf numFmtId="9" fontId="0" fillId="0" borderId="0" xfId="12" applyFont="1" applyBorder="1"/>
    <xf numFmtId="43" fontId="3" fillId="0" borderId="0" xfId="1" applyFont="1" applyBorder="1"/>
    <xf numFmtId="43" fontId="3" fillId="0" borderId="0" xfId="10" applyNumberFormat="1" applyBorder="1"/>
    <xf numFmtId="43" fontId="17" fillId="0" borderId="0" xfId="10" applyNumberFormat="1" applyFont="1" applyFill="1" applyBorder="1"/>
    <xf numFmtId="43" fontId="17" fillId="0" borderId="0" xfId="1" applyFont="1" applyBorder="1" applyAlignment="1">
      <alignment horizontal="right"/>
    </xf>
    <xf numFmtId="43" fontId="6" fillId="3" borderId="4" xfId="1" applyFont="1" applyFill="1" applyBorder="1"/>
    <xf numFmtId="43" fontId="0" fillId="3" borderId="4" xfId="0" applyNumberFormat="1" applyFont="1" applyFill="1" applyBorder="1"/>
    <xf numFmtId="3" fontId="2" fillId="0" borderId="0" xfId="15" applyNumberFormat="1"/>
    <xf numFmtId="3" fontId="24" fillId="0" borderId="0" xfId="15" applyNumberFormat="1" applyFont="1"/>
    <xf numFmtId="0" fontId="2" fillId="0" borderId="0" xfId="15"/>
    <xf numFmtId="0" fontId="26" fillId="0" borderId="0" xfId="0" applyFont="1"/>
    <xf numFmtId="0" fontId="26" fillId="0" borderId="13" xfId="0" applyFont="1" applyBorder="1"/>
    <xf numFmtId="0" fontId="2" fillId="0" borderId="13" xfId="15" applyBorder="1"/>
    <xf numFmtId="0" fontId="26" fillId="0" borderId="14" xfId="0" applyFont="1" applyBorder="1"/>
    <xf numFmtId="0" fontId="26" fillId="0" borderId="15" xfId="0" applyFont="1" applyBorder="1"/>
    <xf numFmtId="17" fontId="2" fillId="0" borderId="15" xfId="15" applyNumberFormat="1" applyBorder="1"/>
    <xf numFmtId="17" fontId="2" fillId="0" borderId="16" xfId="15" applyNumberFormat="1" applyBorder="1"/>
    <xf numFmtId="0" fontId="26" fillId="0" borderId="14" xfId="0" applyFont="1" applyBorder="1" applyAlignment="1">
      <alignment horizontal="center"/>
    </xf>
    <xf numFmtId="0" fontId="26" fillId="0" borderId="15" xfId="0" applyFont="1" applyBorder="1" applyAlignment="1">
      <alignment horizontal="center"/>
    </xf>
    <xf numFmtId="0" fontId="26" fillId="0" borderId="16" xfId="0" applyFont="1" applyBorder="1" applyAlignment="1">
      <alignment horizontal="center"/>
    </xf>
    <xf numFmtId="0" fontId="26" fillId="0" borderId="17" xfId="0" applyFont="1" applyBorder="1"/>
    <xf numFmtId="168" fontId="26" fillId="0" borderId="0" xfId="0" applyNumberFormat="1" applyFont="1"/>
    <xf numFmtId="3" fontId="26" fillId="0" borderId="0" xfId="0" applyNumberFormat="1" applyFont="1"/>
    <xf numFmtId="169" fontId="2" fillId="0" borderId="0" xfId="1" applyNumberFormat="1" applyFont="1" applyBorder="1"/>
    <xf numFmtId="169" fontId="2" fillId="0" borderId="18" xfId="1" applyNumberFormat="1" applyFont="1" applyBorder="1"/>
    <xf numFmtId="0" fontId="26" fillId="0" borderId="18" xfId="0" applyFont="1" applyBorder="1"/>
    <xf numFmtId="0" fontId="26" fillId="0" borderId="19" xfId="0" applyFont="1" applyBorder="1"/>
    <xf numFmtId="168" fontId="26" fillId="0" borderId="13" xfId="0" applyNumberFormat="1" applyFont="1" applyBorder="1"/>
    <xf numFmtId="3" fontId="26" fillId="0" borderId="13" xfId="0" applyNumberFormat="1" applyFont="1" applyBorder="1"/>
    <xf numFmtId="169" fontId="2" fillId="0" borderId="13" xfId="1" applyNumberFormat="1" applyFont="1" applyBorder="1"/>
    <xf numFmtId="169" fontId="2" fillId="0" borderId="20" xfId="1" applyNumberFormat="1" applyFont="1" applyBorder="1"/>
    <xf numFmtId="0" fontId="17" fillId="0" borderId="0" xfId="15" applyFont="1"/>
    <xf numFmtId="0" fontId="26" fillId="0" borderId="20" xfId="0" applyFont="1" applyBorder="1"/>
    <xf numFmtId="0" fontId="25" fillId="0" borderId="0" xfId="0" applyFont="1"/>
    <xf numFmtId="170" fontId="25" fillId="0" borderId="21" xfId="0" applyNumberFormat="1" applyFont="1" applyBorder="1"/>
    <xf numFmtId="169" fontId="17" fillId="0" borderId="21" xfId="15" applyNumberFormat="1" applyFont="1" applyBorder="1"/>
    <xf numFmtId="170" fontId="25" fillId="0" borderId="0" xfId="0" applyNumberFormat="1" applyFont="1"/>
    <xf numFmtId="170" fontId="25" fillId="0" borderId="4" xfId="0" applyNumberFormat="1" applyFont="1" applyBorder="1"/>
    <xf numFmtId="169" fontId="17" fillId="0" borderId="4" xfId="15" applyNumberFormat="1" applyFont="1" applyBorder="1"/>
    <xf numFmtId="0" fontId="26" fillId="0" borderId="0" xfId="15" applyFont="1"/>
    <xf numFmtId="0" fontId="26" fillId="0" borderId="0" xfId="15" applyFont="1" applyAlignment="1">
      <alignment horizontal="right"/>
    </xf>
    <xf numFmtId="169" fontId="26" fillId="0" borderId="0" xfId="15" applyNumberFormat="1" applyFont="1"/>
    <xf numFmtId="169" fontId="26" fillId="0" borderId="0" xfId="1" applyNumberFormat="1" applyFont="1"/>
    <xf numFmtId="169" fontId="26" fillId="0" borderId="0" xfId="1" applyNumberFormat="1" applyFont="1" applyFill="1"/>
    <xf numFmtId="10" fontId="26" fillId="0" borderId="0" xfId="15" applyNumberFormat="1" applyFont="1"/>
    <xf numFmtId="0" fontId="25" fillId="0" borderId="0" xfId="15" applyFont="1"/>
    <xf numFmtId="169" fontId="25" fillId="11" borderId="4" xfId="1" applyNumberFormat="1" applyFont="1" applyFill="1" applyBorder="1"/>
    <xf numFmtId="3" fontId="17" fillId="0" borderId="0" xfId="15" applyNumberFormat="1" applyFont="1"/>
    <xf numFmtId="3" fontId="27" fillId="0" borderId="0" xfId="15" applyNumberFormat="1" applyFont="1"/>
    <xf numFmtId="0" fontId="24" fillId="0" borderId="0" xfId="15" applyFont="1" applyAlignment="1">
      <alignment horizontal="center" wrapText="1"/>
    </xf>
    <xf numFmtId="0" fontId="2" fillId="0" borderId="0" xfId="15" applyAlignment="1">
      <alignment horizontal="center"/>
    </xf>
    <xf numFmtId="0" fontId="24" fillId="0" borderId="0" xfId="15" applyFont="1"/>
    <xf numFmtId="171" fontId="5" fillId="0" borderId="2" xfId="0" applyNumberFormat="1" applyFont="1" applyBorder="1" applyAlignment="1">
      <alignment horizontal="right" vertical="top"/>
    </xf>
    <xf numFmtId="0" fontId="0" fillId="0" borderId="2" xfId="0" applyBorder="1"/>
    <xf numFmtId="171" fontId="16" fillId="4" borderId="2" xfId="0" applyNumberFormat="1" applyFont="1" applyFill="1" applyBorder="1" applyAlignment="1">
      <alignment horizontal="right" vertical="top"/>
    </xf>
    <xf numFmtId="3" fontId="5" fillId="0" borderId="2" xfId="0" applyNumberFormat="1" applyFont="1" applyBorder="1" applyAlignment="1">
      <alignment horizontal="right" vertical="top"/>
    </xf>
    <xf numFmtId="3" fontId="16" fillId="4" borderId="2" xfId="0" applyNumberFormat="1" applyFont="1" applyFill="1" applyBorder="1" applyAlignment="1">
      <alignment horizontal="right" vertical="top"/>
    </xf>
    <xf numFmtId="171" fontId="16" fillId="5" borderId="2" xfId="0" applyNumberFormat="1" applyFont="1" applyFill="1" applyBorder="1" applyAlignment="1">
      <alignment horizontal="right" vertical="top"/>
    </xf>
    <xf numFmtId="0" fontId="0" fillId="0" borderId="0" xfId="0" applyAlignment="1">
      <alignment horizontal="left" vertical="top" wrapText="1"/>
    </xf>
    <xf numFmtId="0" fontId="0" fillId="0" borderId="0" xfId="0"/>
    <xf numFmtId="0" fontId="0" fillId="0" borderId="0" xfId="0" applyAlignment="1">
      <alignment horizontal="left" vertical="top" wrapText="1"/>
    </xf>
    <xf numFmtId="0" fontId="0" fillId="0" borderId="0" xfId="0"/>
    <xf numFmtId="0" fontId="0" fillId="0" borderId="0" xfId="0" applyAlignment="1">
      <alignment horizontal="left" vertical="top" wrapText="1"/>
    </xf>
    <xf numFmtId="0" fontId="0" fillId="0" borderId="0" xfId="0"/>
    <xf numFmtId="0" fontId="0" fillId="0" borderId="0" xfId="0" applyAlignment="1">
      <alignment horizontal="left" vertical="top" wrapText="1"/>
    </xf>
    <xf numFmtId="0" fontId="0" fillId="0" borderId="0" xfId="0"/>
    <xf numFmtId="43" fontId="3" fillId="0" borderId="0" xfId="1" applyFont="1"/>
    <xf numFmtId="0" fontId="0" fillId="0" borderId="0" xfId="0" applyAlignment="1">
      <alignment horizontal="left" vertical="top" wrapText="1"/>
    </xf>
    <xf numFmtId="0" fontId="0" fillId="0" borderId="0" xfId="0"/>
    <xf numFmtId="43" fontId="6" fillId="0" borderId="4" xfId="1" applyFont="1" applyFill="1" applyBorder="1"/>
    <xf numFmtId="0" fontId="0" fillId="0" borderId="0" xfId="0" applyAlignment="1">
      <alignment horizontal="left" vertical="top" wrapText="1"/>
    </xf>
    <xf numFmtId="0" fontId="0" fillId="0" borderId="0" xfId="0"/>
    <xf numFmtId="0" fontId="0" fillId="0" borderId="0" xfId="0" applyAlignment="1">
      <alignment horizontal="left" vertical="top" wrapText="1"/>
    </xf>
    <xf numFmtId="0" fontId="0" fillId="0" borderId="0" xfId="0"/>
    <xf numFmtId="0" fontId="5" fillId="2" borderId="2" xfId="0" applyFont="1" applyFill="1" applyBorder="1" applyAlignment="1">
      <alignment horizontal="left" vertical="top"/>
    </xf>
    <xf numFmtId="0" fontId="5" fillId="2" borderId="1" xfId="0" applyFont="1" applyFill="1" applyBorder="1" applyAlignment="1">
      <alignment horizontal="left" vertical="top"/>
    </xf>
    <xf numFmtId="0" fontId="0" fillId="0" borderId="0" xfId="0"/>
    <xf numFmtId="0" fontId="3" fillId="0" borderId="0" xfId="10" applyAlignment="1">
      <alignment horizontal="left" vertical="top" wrapText="1"/>
    </xf>
    <xf numFmtId="0" fontId="1" fillId="0" borderId="0" xfId="10" applyFont="1" applyAlignment="1">
      <alignment horizontal="left" vertical="top" wrapText="1"/>
    </xf>
    <xf numFmtId="0" fontId="16" fillId="0" borderId="0" xfId="0" applyFont="1" applyAlignment="1">
      <alignment horizontal="center" vertical="top"/>
    </xf>
    <xf numFmtId="0" fontId="0" fillId="0" borderId="0" xfId="0"/>
    <xf numFmtId="0" fontId="5" fillId="2" borderId="2" xfId="0" applyFont="1" applyFill="1" applyBorder="1" applyAlignment="1">
      <alignment horizontal="left" vertical="top"/>
    </xf>
    <xf numFmtId="0" fontId="0" fillId="2" borderId="3" xfId="0" applyFill="1" applyBorder="1"/>
    <xf numFmtId="0" fontId="0" fillId="2" borderId="2" xfId="0" applyFill="1" applyBorder="1"/>
    <xf numFmtId="0" fontId="16" fillId="5" borderId="2" xfId="0" applyFont="1" applyFill="1" applyBorder="1" applyAlignment="1">
      <alignment horizontal="left" vertical="top"/>
    </xf>
    <xf numFmtId="0" fontId="0" fillId="5" borderId="12" xfId="0" applyFill="1" applyBorder="1"/>
    <xf numFmtId="0" fontId="0" fillId="5" borderId="11" xfId="0" applyFill="1" applyBorder="1"/>
    <xf numFmtId="0" fontId="0" fillId="0" borderId="0" xfId="0" applyAlignment="1">
      <alignment horizontal="left" vertical="top" wrapText="1"/>
    </xf>
    <xf numFmtId="0" fontId="16" fillId="4" borderId="2" xfId="0" applyFont="1" applyFill="1" applyBorder="1" applyAlignment="1">
      <alignment horizontal="left" vertical="top"/>
    </xf>
    <xf numFmtId="0" fontId="0" fillId="4" borderId="12" xfId="0" applyFill="1" applyBorder="1"/>
    <xf numFmtId="0" fontId="0" fillId="4" borderId="11" xfId="0" applyFill="1" applyBorder="1"/>
    <xf numFmtId="0" fontId="5" fillId="2" borderId="1" xfId="0" applyFont="1" applyFill="1" applyBorder="1" applyAlignment="1">
      <alignment horizontal="left" vertical="top"/>
    </xf>
    <xf numFmtId="0" fontId="25" fillId="9" borderId="0" xfId="0" applyFont="1" applyFill="1" applyAlignment="1">
      <alignment horizontal="center"/>
    </xf>
    <xf numFmtId="0" fontId="25" fillId="10" borderId="0" xfId="0" applyFont="1" applyFill="1" applyAlignment="1">
      <alignment horizontal="center"/>
    </xf>
  </cellXfs>
  <cellStyles count="16">
    <cellStyle name="Comma" xfId="1" builtinId="3"/>
    <cellStyle name="Comma 2" xfId="3" xr:uid="{00000000-0005-0000-0000-000001000000}"/>
    <cellStyle name="Comma 2 2" xfId="4" xr:uid="{00000000-0005-0000-0000-000002000000}"/>
    <cellStyle name="Comma 3" xfId="7" xr:uid="{00000000-0005-0000-0000-000003000000}"/>
    <cellStyle name="Comma 4" xfId="11" xr:uid="{0E216DD2-C488-4736-99AD-BC0E413FDF74}"/>
    <cellStyle name="Currency 2" xfId="13" xr:uid="{F0F8DEA6-95AB-4ECB-A4CE-790812D93361}"/>
    <cellStyle name="Normal" xfId="0" builtinId="0"/>
    <cellStyle name="Normal 2" xfId="2" xr:uid="{00000000-0005-0000-0000-000005000000}"/>
    <cellStyle name="Normal 2 2" xfId="5" xr:uid="{00000000-0005-0000-0000-000006000000}"/>
    <cellStyle name="Normal 2 3" xfId="14" xr:uid="{F8E76479-D331-4D9C-A9C0-FA498311D103}"/>
    <cellStyle name="Normal 3" xfId="6" xr:uid="{00000000-0005-0000-0000-000007000000}"/>
    <cellStyle name="Normal 4" xfId="9" xr:uid="{00000000-0005-0000-0000-000008000000}"/>
    <cellStyle name="Normal 5" xfId="10" xr:uid="{E26D34F2-4643-41F3-8B9A-C9C6CD03C50E}"/>
    <cellStyle name="Normal 6" xfId="15" xr:uid="{25DABC59-FB04-4D26-B122-A555F533F040}"/>
    <cellStyle name="Percent 2" xfId="8" xr:uid="{00000000-0005-0000-0000-000009000000}"/>
    <cellStyle name="Percent 3" xfId="12" xr:uid="{1EE52080-36BF-4018-8D63-5325CF97252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externalLink" Target="externalLinks/externalLink6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23" Type="http://schemas.openxmlformats.org/officeDocument/2006/relationships/customXml" Target="../customXml/item5.xml"/><Relationship Id="rId10" Type="http://schemas.openxmlformats.org/officeDocument/2006/relationships/externalLink" Target="externalLinks/externalLink3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externalLink" Target="externalLinks/externalLink7.xml"/><Relationship Id="rId22" Type="http://schemas.openxmlformats.org/officeDocument/2006/relationships/customXml" Target="../customXml/item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Situational</a:t>
            </a:r>
            <a:r>
              <a:rPr lang="en-US" baseline="0"/>
              <a:t> Awareness</a:t>
            </a:r>
            <a:br>
              <a:rPr lang="en-US"/>
            </a:br>
            <a:r>
              <a:rPr lang="en-US"/>
              <a:t>Plan Cost Forecast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419518815259765"/>
          <c:y val="0.29915375170841452"/>
          <c:w val="0.84352098361452732"/>
          <c:h val="0.63807879045544225"/>
        </c:manualLayout>
      </c:layout>
      <c:barChart>
        <c:barDir val="col"/>
        <c:grouping val="clustered"/>
        <c:varyColors val="0"/>
        <c:ser>
          <c:idx val="1"/>
          <c:order val="0"/>
          <c:tx>
            <c:v>Capital</c:v>
          </c:tx>
          <c:spPr>
            <a:noFill/>
            <a:ln w="9525" cap="flat" cmpd="sng" algn="ctr">
              <a:solidFill>
                <a:schemeClr val="accent2"/>
              </a:solidFill>
              <a:miter lim="800000"/>
            </a:ln>
            <a:effectLst>
              <a:glow rad="63500">
                <a:schemeClr val="accent2">
                  <a:satMod val="175000"/>
                  <a:alpha val="25000"/>
                </a:schemeClr>
              </a:glow>
            </a:effectLst>
          </c:spPr>
          <c:invertIfNegative val="0"/>
          <c:val>
            <c:numRef>
              <c:f>'2022 Expected Spend'!#REF!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'2022 Expected Spend'!#REF!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77A6-4C09-8B57-9429DAA3F954}"/>
            </c:ext>
          </c:extLst>
        </c:ser>
        <c:ser>
          <c:idx val="0"/>
          <c:order val="1"/>
          <c:tx>
            <c:v>Operating</c:v>
          </c:tx>
          <c:spPr>
            <a:noFill/>
            <a:ln w="9525" cap="flat" cmpd="sng" algn="ctr">
              <a:solidFill>
                <a:schemeClr val="accent1"/>
              </a:solidFill>
              <a:miter lim="800000"/>
            </a:ln>
            <a:effectLst>
              <a:glow rad="63500">
                <a:schemeClr val="accent1">
                  <a:satMod val="175000"/>
                  <a:alpha val="25000"/>
                </a:schemeClr>
              </a:glow>
            </a:effectLst>
          </c:spPr>
          <c:invertIfNegative val="0"/>
          <c:val>
            <c:numRef>
              <c:f>'[7]2022 Expected Spend'!$B$15:$P$15</c:f>
              <c:numCache>
                <c:formatCode>General</c:formatCode>
                <c:ptCount val="15"/>
                <c:pt idx="1">
                  <c:v>535000</c:v>
                </c:pt>
                <c:pt idx="2">
                  <c:v>26750</c:v>
                </c:pt>
                <c:pt idx="3">
                  <c:v>26750</c:v>
                </c:pt>
                <c:pt idx="4">
                  <c:v>26750</c:v>
                </c:pt>
                <c:pt idx="5">
                  <c:v>53500</c:v>
                </c:pt>
                <c:pt idx="6">
                  <c:v>53500</c:v>
                </c:pt>
                <c:pt idx="7">
                  <c:v>53500</c:v>
                </c:pt>
                <c:pt idx="8">
                  <c:v>53500</c:v>
                </c:pt>
                <c:pt idx="9">
                  <c:v>53500</c:v>
                </c:pt>
                <c:pt idx="10">
                  <c:v>53500</c:v>
                </c:pt>
                <c:pt idx="11">
                  <c:v>44583.333333333336</c:v>
                </c:pt>
                <c:pt idx="12">
                  <c:v>44583.333333333336</c:v>
                </c:pt>
                <c:pt idx="13">
                  <c:v>44583.333333333336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'2022 Expected Spend'!#REF!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77A6-4C09-8B57-9429DAA3F9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15"/>
        <c:overlap val="-40"/>
        <c:axId val="705408848"/>
        <c:axId val="705409240"/>
      </c:barChart>
      <c:catAx>
        <c:axId val="705408848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5409240"/>
        <c:crosses val="autoZero"/>
        <c:auto val="1"/>
        <c:lblAlgn val="ctr"/>
        <c:lblOffset val="100"/>
        <c:noMultiLvlLbl val="0"/>
      </c:catAx>
      <c:valAx>
        <c:axId val="705409240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$ 000's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lt1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540884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dk1">
                <a:lumMod val="50000"/>
                <a:lumOff val="50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Operations &amp; Emergency Response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1546598668746624"/>
          <c:y val="0.23607942937392054"/>
          <c:w val="0.85451929103217117"/>
          <c:h val="0.70135669051524141"/>
        </c:manualLayout>
      </c:layout>
      <c:barChart>
        <c:barDir val="col"/>
        <c:grouping val="clustered"/>
        <c:varyColors val="0"/>
        <c:ser>
          <c:idx val="1"/>
          <c:order val="0"/>
          <c:tx>
            <c:v>Capital</c:v>
          </c:tx>
          <c:spPr>
            <a:noFill/>
            <a:ln w="9525" cap="flat" cmpd="sng" algn="ctr">
              <a:solidFill>
                <a:schemeClr val="accent2"/>
              </a:solidFill>
              <a:miter lim="800000"/>
            </a:ln>
            <a:effectLst>
              <a:glow rad="63500">
                <a:schemeClr val="accent2">
                  <a:satMod val="175000"/>
                  <a:alpha val="25000"/>
                </a:schemeClr>
              </a:glow>
            </a:effectLst>
          </c:spPr>
          <c:invertIfNegative val="0"/>
          <c:val>
            <c:numRef>
              <c:f>'2022 Expected Spend'!#REF!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'2022 Expected Spend'!#REF!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8599-42F9-B188-9B778D280D2C}"/>
            </c:ext>
          </c:extLst>
        </c:ser>
        <c:ser>
          <c:idx val="0"/>
          <c:order val="1"/>
          <c:tx>
            <c:v>Operating</c:v>
          </c:tx>
          <c:spPr>
            <a:noFill/>
            <a:ln w="9525" cap="flat" cmpd="sng" algn="ctr">
              <a:solidFill>
                <a:schemeClr val="accent1"/>
              </a:solidFill>
              <a:miter lim="800000"/>
            </a:ln>
            <a:effectLst>
              <a:glow rad="63500">
                <a:schemeClr val="accent1">
                  <a:satMod val="175000"/>
                  <a:alpha val="25000"/>
                </a:schemeClr>
              </a:glow>
            </a:effectLst>
          </c:spPr>
          <c:invertIfNegative val="0"/>
          <c:val>
            <c:numRef>
              <c:f>'[7]2022 Expected Spend'!$B$32:$P$32</c:f>
              <c:numCache>
                <c:formatCode>General</c:formatCode>
                <c:ptCount val="15"/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'2022 Expected Spend'!#REF!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8599-42F9-B188-9B778D280D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15"/>
        <c:overlap val="-40"/>
        <c:axId val="705403752"/>
        <c:axId val="705402184"/>
      </c:barChart>
      <c:catAx>
        <c:axId val="705403752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5402184"/>
        <c:crosses val="autoZero"/>
        <c:auto val="1"/>
        <c:lblAlgn val="ctr"/>
        <c:lblOffset val="100"/>
        <c:noMultiLvlLbl val="0"/>
      </c:catAx>
      <c:valAx>
        <c:axId val="705402184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$ 000's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lt1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540375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dk1">
                <a:lumMod val="50000"/>
                <a:lumOff val="50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Grid Hardening &amp; Dry Land Mode Operations</a:t>
            </a:r>
            <a:br>
              <a:rPr lang="en-US"/>
            </a:br>
            <a:r>
              <a:rPr lang="en-US"/>
              <a:t>Plan Cost Forecast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Capital</c:v>
          </c:tx>
          <c:spPr>
            <a:noFill/>
            <a:ln w="9525" cap="flat" cmpd="sng" algn="ctr">
              <a:solidFill>
                <a:schemeClr val="accent2"/>
              </a:solidFill>
              <a:miter lim="800000"/>
            </a:ln>
            <a:effectLst>
              <a:glow rad="63500">
                <a:schemeClr val="accent2">
                  <a:satMod val="175000"/>
                  <a:alpha val="25000"/>
                </a:schemeClr>
              </a:glow>
            </a:effectLst>
          </c:spPr>
          <c:invertIfNegative val="0"/>
          <c:val>
            <c:numRef>
              <c:f>'2022 Expected Spend'!#REF!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'2022 Expected Spend'!#REF!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C6E1-4A5F-B786-2F727DF2473C}"/>
            </c:ext>
          </c:extLst>
        </c:ser>
        <c:ser>
          <c:idx val="0"/>
          <c:order val="1"/>
          <c:tx>
            <c:v>Operating</c:v>
          </c:tx>
          <c:spPr>
            <a:noFill/>
            <a:ln w="9525" cap="flat" cmpd="sng" algn="ctr">
              <a:solidFill>
                <a:schemeClr val="accent1"/>
              </a:solidFill>
              <a:miter lim="800000"/>
            </a:ln>
            <a:effectLst>
              <a:glow rad="63500">
                <a:schemeClr val="accent1">
                  <a:satMod val="175000"/>
                  <a:alpha val="25000"/>
                </a:schemeClr>
              </a:glow>
            </a:effectLst>
          </c:spPr>
          <c:invertIfNegative val="0"/>
          <c:val>
            <c:numRef>
              <c:f>'[7]2022 Expected Spend'!$B$44:$P$44</c:f>
              <c:numCache>
                <c:formatCode>General</c:formatCode>
                <c:ptCount val="15"/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'2022 Expected Spend'!#REF!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C6E1-4A5F-B786-2F727DF247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15"/>
        <c:overlap val="-40"/>
        <c:axId val="705397872"/>
        <c:axId val="705398264"/>
      </c:barChart>
      <c:catAx>
        <c:axId val="705397872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5398264"/>
        <c:crosses val="autoZero"/>
        <c:auto val="1"/>
        <c:lblAlgn val="ctr"/>
        <c:lblOffset val="100"/>
        <c:noMultiLvlLbl val="0"/>
      </c:catAx>
      <c:valAx>
        <c:axId val="705398264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$ 000's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lt1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539787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dk1">
                <a:lumMod val="50000"/>
                <a:lumOff val="50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3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</a:schemeClr>
            </a:gs>
            <a:gs pos="0">
              <a:schemeClr val="dk1">
                <a:lumMod val="65000"/>
                <a:lumOff val="3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  <a:alpha val="25000"/>
              </a:schemeClr>
            </a:gs>
            <a:gs pos="0">
              <a:schemeClr val="dk1">
                <a:lumMod val="65000"/>
                <a:lumOff val="35000"/>
                <a:alpha val="2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13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</a:schemeClr>
            </a:gs>
            <a:gs pos="0">
              <a:schemeClr val="dk1">
                <a:lumMod val="65000"/>
                <a:lumOff val="3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  <a:alpha val="25000"/>
              </a:schemeClr>
            </a:gs>
            <a:gs pos="0">
              <a:schemeClr val="dk1">
                <a:lumMod val="65000"/>
                <a:lumOff val="35000"/>
                <a:alpha val="2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13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</a:schemeClr>
            </a:gs>
            <a:gs pos="0">
              <a:schemeClr val="dk1">
                <a:lumMod val="65000"/>
                <a:lumOff val="3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  <a:alpha val="25000"/>
              </a:schemeClr>
            </a:gs>
            <a:gs pos="0">
              <a:schemeClr val="dk1">
                <a:lumMod val="65000"/>
                <a:lumOff val="35000"/>
                <a:alpha val="2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383794</xdr:colOff>
      <xdr:row>126</xdr:row>
      <xdr:rowOff>78502</xdr:rowOff>
    </xdr:from>
    <xdr:to>
      <xdr:col>16</xdr:col>
      <xdr:colOff>0</xdr:colOff>
      <xdr:row>145</xdr:row>
      <xdr:rowOff>81711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690D2EE-08F3-4F77-B006-AFD0DABBE7A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0</xdr:colOff>
      <xdr:row>102</xdr:row>
      <xdr:rowOff>121397</xdr:rowOff>
    </xdr:from>
    <xdr:to>
      <xdr:col>20</xdr:col>
      <xdr:colOff>32170</xdr:colOff>
      <xdr:row>121</xdr:row>
      <xdr:rowOff>135940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DBF43BD7-2A1E-44E6-915E-2D215B7626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515196</xdr:colOff>
      <xdr:row>101</xdr:row>
      <xdr:rowOff>91585</xdr:rowOff>
    </xdr:from>
    <xdr:to>
      <xdr:col>16</xdr:col>
      <xdr:colOff>0</xdr:colOff>
      <xdr:row>120</xdr:row>
      <xdr:rowOff>106131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3547B430-42EC-4F07-9609-2FEF2E9995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Startup" Target="Budg%20&amp;%20Forecast%20-%20Forecast/2009%20Forecast/10%20Oct/Debt%20Database%2010%20200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PSM\Forecast\2021\09)%20Sep\EREV%20Aug%20Mid-month_09%2015%2021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ss0007\Desktop\Debt%20Data%20Base%20v4%20201512.xlsx%20with%20AFUDC%20recalc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ETemp\Temporary%20Internet%20Files\Content.Outlook\I2B9FWRI\RA%20OCT3%2011-19-09%20(7)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FERC%20Research%20&amp;%20Reporting\FERC%20Reporting\Allocation%20reports%20-%20ROO,%20PT,%204-Factor,%20etc\2021&amp;2022%20PTRatio-2021%20Data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FERC%20Research%20&amp;%20Reporting\FERC%20Reporting\Allocation%20reports%20-%20ROO\2020&amp;2021%20PTRatio-2020%20Data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04%20-%20Journal%20Entries\2022\07%20-%20July\477%20-%20Wildfire%20Resiliency%20Deferral\2022%20-%20WFRES%20Deferral%20Budget%20-%20updated%2012.07.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"/>
      <sheetName val="Impact"/>
      <sheetName val="Debt import"/>
      <sheetName val="Maturity Schedule"/>
      <sheetName val="Invoice Check"/>
      <sheetName val="Accrual"/>
      <sheetName val="Accrued Interest"/>
      <sheetName val="2008 Outstanding"/>
      <sheetName val="Repurchases"/>
      <sheetName val="Amort"/>
      <sheetName val="Debt Strat(SWAPS)"/>
      <sheetName val="TOPrS"/>
      <sheetName val="PCB"/>
      <sheetName val="SMTNB"/>
      <sheetName val="SMTNA"/>
      <sheetName val="MTNC"/>
      <sheetName val="MTNB"/>
      <sheetName val="7.25"/>
      <sheetName val="5.125"/>
      <sheetName val="5.95"/>
      <sheetName val="5.70"/>
      <sheetName val="5.45"/>
      <sheetName val="6.25"/>
      <sheetName val="6.125"/>
      <sheetName val="18196Rathdrum"/>
      <sheetName val="AR"/>
      <sheetName val="CR"/>
      <sheetName val="Average Maturity"/>
      <sheetName val="Sheet1"/>
      <sheetName val="9.7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">
          <cell r="R1">
            <v>1</v>
          </cell>
        </row>
        <row r="34">
          <cell r="O34">
            <v>2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Checks"/>
      <sheetName val="Tables"/>
      <sheetName val="Unbilled"/>
      <sheetName val="Cust Load"/>
      <sheetName val="Cal Load"/>
      <sheetName val="Rate Entry"/>
      <sheetName val="Rate Tables"/>
      <sheetName val="Manual Rev"/>
      <sheetName val="GRC"/>
      <sheetName val="Rev"/>
      <sheetName val="Sheet1"/>
      <sheetName val="Low Inc"/>
      <sheetName val="Rev Decoupling"/>
      <sheetName val="V2V"/>
      <sheetName val="Sheet2"/>
      <sheetName val="EREV Aug Mid-month_09 15 21"/>
    </sheetNames>
    <sheetDataSet>
      <sheetData sheetId="0" refreshError="1"/>
      <sheetData sheetId="1" refreshError="1"/>
      <sheetData sheetId="2" refreshError="1">
        <row r="13">
          <cell r="B13">
            <v>43983</v>
          </cell>
        </row>
        <row r="16">
          <cell r="B16">
            <v>46722</v>
          </cell>
        </row>
        <row r="19">
          <cell r="B19">
            <v>44409</v>
          </cell>
        </row>
      </sheetData>
      <sheetData sheetId="3" refreshError="1">
        <row r="3">
          <cell r="C3">
            <v>43983</v>
          </cell>
        </row>
      </sheetData>
      <sheetData sheetId="4" refreshError="1">
        <row r="3">
          <cell r="D3">
            <v>43983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2">
          <cell r="C2">
            <v>43983</v>
          </cell>
          <cell r="R2">
            <v>44440</v>
          </cell>
          <cell r="S2">
            <v>44470</v>
          </cell>
          <cell r="T2">
            <v>44501</v>
          </cell>
          <cell r="U2">
            <v>44531</v>
          </cell>
          <cell r="V2">
            <v>44562</v>
          </cell>
          <cell r="W2">
            <v>44593</v>
          </cell>
          <cell r="X2">
            <v>44621</v>
          </cell>
          <cell r="Y2">
            <v>44652</v>
          </cell>
          <cell r="Z2">
            <v>44682</v>
          </cell>
          <cell r="AA2">
            <v>44713</v>
          </cell>
          <cell r="AB2">
            <v>44743</v>
          </cell>
          <cell r="AC2">
            <v>44774</v>
          </cell>
          <cell r="AD2">
            <v>44805</v>
          </cell>
          <cell r="AE2">
            <v>44835</v>
          </cell>
          <cell r="AF2">
            <v>44866</v>
          </cell>
          <cell r="AG2">
            <v>44896</v>
          </cell>
          <cell r="AH2">
            <v>44927</v>
          </cell>
          <cell r="AI2">
            <v>44958</v>
          </cell>
          <cell r="AJ2">
            <v>44986</v>
          </cell>
          <cell r="AK2">
            <v>45017</v>
          </cell>
          <cell r="AL2">
            <v>45047</v>
          </cell>
          <cell r="AM2">
            <v>45078</v>
          </cell>
          <cell r="AN2">
            <v>45108</v>
          </cell>
          <cell r="AO2">
            <v>45139</v>
          </cell>
          <cell r="AP2">
            <v>45170</v>
          </cell>
          <cell r="AQ2">
            <v>45200</v>
          </cell>
          <cell r="AR2">
            <v>45231</v>
          </cell>
        </row>
        <row r="3">
          <cell r="A3" t="str">
            <v>WARes001</v>
          </cell>
        </row>
        <row r="5">
          <cell r="B5">
            <v>1</v>
          </cell>
        </row>
        <row r="164">
          <cell r="R164">
            <v>21183589.429051708</v>
          </cell>
          <cell r="S164">
            <v>21355597.091826539</v>
          </cell>
          <cell r="T164">
            <v>23945735.242453437</v>
          </cell>
          <cell r="U164">
            <v>27668352.279416051</v>
          </cell>
          <cell r="V164">
            <v>27301026.832469761</v>
          </cell>
          <cell r="W164">
            <v>23878316.18253684</v>
          </cell>
          <cell r="X164">
            <v>23989998.822175186</v>
          </cell>
          <cell r="Y164">
            <v>20816479.701330651</v>
          </cell>
          <cell r="Z164">
            <v>20026909.984765273</v>
          </cell>
          <cell r="AA164">
            <v>19899129.983083628</v>
          </cell>
          <cell r="AB164">
            <v>22440263.680920117</v>
          </cell>
          <cell r="AC164">
            <v>21941976.400322624</v>
          </cell>
          <cell r="AD164">
            <v>19362944.183224358</v>
          </cell>
          <cell r="AE164">
            <v>21102181.893927366</v>
          </cell>
          <cell r="AF164">
            <v>23801264.572257232</v>
          </cell>
          <cell r="AG164">
            <v>27570447.63858356</v>
          </cell>
          <cell r="AH164">
            <v>27252752.693891048</v>
          </cell>
          <cell r="AI164">
            <v>23646509.466845948</v>
          </cell>
          <cell r="AJ164">
            <v>23949538.6756263</v>
          </cell>
          <cell r="AK164">
            <v>20875877.780109402</v>
          </cell>
          <cell r="AL164">
            <v>20078425.548905071</v>
          </cell>
          <cell r="AM164">
            <v>19932707.609480266</v>
          </cell>
          <cell r="AN164">
            <v>22461212.854311403</v>
          </cell>
          <cell r="AO164">
            <v>21955891.661725864</v>
          </cell>
          <cell r="AP164">
            <v>20985274.122719031</v>
          </cell>
          <cell r="AQ164">
            <v>22877093.86158755</v>
          </cell>
          <cell r="AR164">
            <v>25834418.285336472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bt"/>
      <sheetName val="Int-CR Fees Accrued Input page"/>
      <sheetName val="Amortization Input Page"/>
      <sheetName val="Utility Debt Recon"/>
      <sheetName val="Utility Debt Expense Recon"/>
      <sheetName val="Amortization Pivot Table"/>
      <sheetName val="Current Balance"/>
      <sheetName val="655 GL Entry"/>
      <sheetName val="Current Portion of LT Debt"/>
      <sheetName val="Interest Expense Accrual"/>
      <sheetName val="Interest Income Accrual"/>
      <sheetName val="AR Interest-Fee Accrual"/>
      <sheetName val="Interest Accrued-Paid"/>
      <sheetName val="Interest Variance"/>
      <sheetName val="Cost of Capital Calculation"/>
      <sheetName val="Cost of Debt for WA"/>
      <sheetName val="Cost of Debt for Idaho"/>
      <sheetName val="Cost of Debt for Oregon"/>
      <sheetName val="Short-Term"/>
      <sheetName val="Var. Rate Long-Term"/>
      <sheetName val="ST Borrowing Actuals"/>
      <sheetName val="AFUDC Master Sheet"/>
      <sheetName val="CWIP Balances"/>
      <sheetName val="New Debt Narative"/>
    </sheetNames>
    <sheetDataSet>
      <sheetData sheetId="0">
        <row r="1">
          <cell r="C1">
            <v>42369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7">
          <cell r="AY7">
            <v>42369</v>
          </cell>
          <cell r="AZ7">
            <v>221390</v>
          </cell>
        </row>
        <row r="8">
          <cell r="AY8">
            <v>42369</v>
          </cell>
          <cell r="AZ8">
            <v>221400</v>
          </cell>
        </row>
        <row r="9">
          <cell r="AY9">
            <v>42216</v>
          </cell>
          <cell r="AZ9">
            <v>221420</v>
          </cell>
        </row>
        <row r="10">
          <cell r="AY10">
            <v>42369</v>
          </cell>
          <cell r="AZ10">
            <v>221440</v>
          </cell>
        </row>
        <row r="11">
          <cell r="AY11">
            <v>42308</v>
          </cell>
          <cell r="AZ11">
            <v>221480</v>
          </cell>
        </row>
        <row r="12">
          <cell r="AY12">
            <v>42369</v>
          </cell>
          <cell r="AZ12">
            <v>221520</v>
          </cell>
        </row>
        <row r="13">
          <cell r="AY13">
            <v>42369</v>
          </cell>
          <cell r="AZ13">
            <v>221540</v>
          </cell>
        </row>
        <row r="14">
          <cell r="AY14">
            <v>42369</v>
          </cell>
          <cell r="AZ14">
            <v>221560</v>
          </cell>
        </row>
        <row r="15">
          <cell r="AY15">
            <v>42247</v>
          </cell>
          <cell r="AZ15">
            <v>221580</v>
          </cell>
        </row>
        <row r="16">
          <cell r="AY16">
            <v>42338</v>
          </cell>
          <cell r="AZ16">
            <v>221600</v>
          </cell>
        </row>
        <row r="17">
          <cell r="AY17">
            <v>0</v>
          </cell>
          <cell r="AZ17">
            <v>0</v>
          </cell>
        </row>
        <row r="18">
          <cell r="AY18">
            <v>0</v>
          </cell>
          <cell r="AZ18">
            <v>0</v>
          </cell>
        </row>
        <row r="19">
          <cell r="AY19">
            <v>42338</v>
          </cell>
          <cell r="AZ19">
            <v>221334</v>
          </cell>
        </row>
        <row r="20">
          <cell r="AY20">
            <v>42308</v>
          </cell>
          <cell r="AZ20">
            <v>221300</v>
          </cell>
        </row>
        <row r="21">
          <cell r="AY21">
            <v>42369</v>
          </cell>
          <cell r="AZ21">
            <v>0</v>
          </cell>
        </row>
        <row r="22">
          <cell r="AY22">
            <v>42369</v>
          </cell>
          <cell r="AZ22">
            <v>0</v>
          </cell>
        </row>
        <row r="23">
          <cell r="AY23">
            <v>42369</v>
          </cell>
          <cell r="AZ23">
            <v>0</v>
          </cell>
        </row>
        <row r="24">
          <cell r="AY24">
            <v>42369</v>
          </cell>
          <cell r="AZ24">
            <v>0</v>
          </cell>
        </row>
        <row r="25">
          <cell r="AY25">
            <v>42369</v>
          </cell>
          <cell r="AZ25">
            <v>0</v>
          </cell>
        </row>
        <row r="26">
          <cell r="AY26">
            <v>0</v>
          </cell>
          <cell r="AZ26">
            <v>0</v>
          </cell>
        </row>
        <row r="27">
          <cell r="AY27">
            <v>0</v>
          </cell>
          <cell r="AZ27">
            <v>0</v>
          </cell>
        </row>
        <row r="28">
          <cell r="AY28">
            <v>0</v>
          </cell>
          <cell r="AZ28">
            <v>0</v>
          </cell>
        </row>
      </sheetData>
      <sheetData sheetId="13"/>
      <sheetData sheetId="14">
        <row r="3">
          <cell r="A3">
            <v>42369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CORP IS"/>
      <sheetName val="CORP BS"/>
      <sheetName val="CORP INDIR CF"/>
      <sheetName val="RATIOS"/>
      <sheetName val="UTIL IS"/>
      <sheetName val="UTIL BS"/>
      <sheetName val="UTIL DIR CF"/>
      <sheetName val="Imp IS"/>
      <sheetName val="Imp BS"/>
      <sheetName val="Imp DIR CF"/>
      <sheetName val="Key Stats"/>
      <sheetName val="Sheet2"/>
      <sheetName val="Inc St"/>
      <sheetName val="Bal Sheet"/>
      <sheetName val="Dir CF"/>
      <sheetName val="EBITDA"/>
      <sheetName val="COC"/>
      <sheetName val="Indir CF"/>
      <sheetName val="Oth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">
          <cell r="B1">
            <v>40087</v>
          </cell>
        </row>
        <row r="2">
          <cell r="B2">
            <v>40136</v>
          </cell>
        </row>
        <row r="5">
          <cell r="B5">
            <v>40133</v>
          </cell>
        </row>
        <row r="6">
          <cell r="B6">
            <v>40101</v>
          </cell>
        </row>
        <row r="8">
          <cell r="B8" t="str">
            <v>OCT3</v>
          </cell>
        </row>
        <row r="10">
          <cell r="B10">
            <v>8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T Ratio with 2021 Data"/>
      <sheetName val="WA Adjustments"/>
      <sheetName val="ID Adjustment"/>
      <sheetName val="MWh"/>
      <sheetName val="MW Peak"/>
      <sheetName val="PrevYr"/>
      <sheetName val="Difference"/>
    </sheetNames>
    <sheetDataSet>
      <sheetData sheetId="0"/>
      <sheetData sheetId="1">
        <row r="4">
          <cell r="A4" t="str">
            <v>12 Months Ended 12/31/2021</v>
          </cell>
        </row>
        <row r="26">
          <cell r="K26">
            <v>-942</v>
          </cell>
        </row>
      </sheetData>
      <sheetData sheetId="2">
        <row r="26">
          <cell r="C26">
            <v>622</v>
          </cell>
        </row>
      </sheetData>
      <sheetData sheetId="3">
        <row r="13">
          <cell r="E13">
            <v>5729047</v>
          </cell>
          <cell r="F13">
            <v>3500926</v>
          </cell>
          <cell r="J13">
            <v>-425937</v>
          </cell>
        </row>
      </sheetData>
      <sheetData sheetId="4">
        <row r="13">
          <cell r="E13">
            <v>12495.5</v>
          </cell>
          <cell r="F13">
            <v>6576.5</v>
          </cell>
        </row>
      </sheetData>
      <sheetData sheetId="5"/>
      <sheetData sheetId="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T Ratio with 2020 Data"/>
      <sheetName val="WA Adjustments"/>
      <sheetName val="ID Adjustment"/>
      <sheetName val="MWh"/>
      <sheetName val="MW Peak"/>
      <sheetName val="Sheet1"/>
      <sheetName val="PrevYr"/>
      <sheetName val="Difference"/>
    </sheetNames>
    <sheetDataSet>
      <sheetData sheetId="0"/>
      <sheetData sheetId="1">
        <row r="4">
          <cell r="A4" t="str">
            <v>12 Months Ended 12/31/2020</v>
          </cell>
        </row>
        <row r="26">
          <cell r="K26">
            <v>-1256</v>
          </cell>
        </row>
      </sheetData>
      <sheetData sheetId="2">
        <row r="26">
          <cell r="C26">
            <v>614</v>
          </cell>
        </row>
      </sheetData>
      <sheetData sheetId="3">
        <row r="13">
          <cell r="E13">
            <v>5452433</v>
          </cell>
          <cell r="F13">
            <v>3399712</v>
          </cell>
          <cell r="J13">
            <v>-425937</v>
          </cell>
        </row>
      </sheetData>
      <sheetData sheetId="4">
        <row r="13">
          <cell r="E13">
            <v>12453</v>
          </cell>
          <cell r="F13">
            <v>6284</v>
          </cell>
        </row>
      </sheetData>
      <sheetData sheetId="5"/>
      <sheetData sheetId="6"/>
      <sheetData sheetId="7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2 Expected Spend"/>
      <sheetName val="ID Balancing Acct. Base vs. Exp"/>
      <sheetName val="WA Wildfire Deferral Baseline"/>
      <sheetName val="Wildfire Incremental Expense"/>
      <sheetName val="202012 WFRES Depr Entry"/>
      <sheetName val="PT Ratio with 2020 Data"/>
      <sheetName val="202110 WA Revenue Forecast"/>
      <sheetName val="202109 ID Revenue Forecast"/>
    </sheetNames>
    <sheetDataSet>
      <sheetData sheetId="0">
        <row r="15">
          <cell r="B15"/>
          <cell r="C15">
            <v>535000</v>
          </cell>
          <cell r="D15">
            <v>26750</v>
          </cell>
          <cell r="E15">
            <v>26750</v>
          </cell>
          <cell r="F15">
            <v>26750</v>
          </cell>
          <cell r="G15">
            <v>53500</v>
          </cell>
          <cell r="H15">
            <v>53500</v>
          </cell>
          <cell r="I15">
            <v>53500</v>
          </cell>
          <cell r="J15">
            <v>53500</v>
          </cell>
          <cell r="K15">
            <v>53500</v>
          </cell>
          <cell r="L15">
            <v>53500</v>
          </cell>
          <cell r="M15">
            <v>44583.333333333336</v>
          </cell>
          <cell r="N15">
            <v>44583.333333333336</v>
          </cell>
          <cell r="O15">
            <v>44583.333333333336</v>
          </cell>
        </row>
        <row r="32">
          <cell r="B32"/>
          <cell r="C32"/>
        </row>
        <row r="44">
          <cell r="B44"/>
          <cell r="C44"/>
        </row>
      </sheetData>
      <sheetData sheetId="1"/>
      <sheetData sheetId="2"/>
      <sheetData sheetId="3"/>
      <sheetData sheetId="4"/>
      <sheetData sheetId="5">
        <row r="35">
          <cell r="D35">
            <v>0.65539999999999998</v>
          </cell>
          <cell r="E35">
            <v>0.34460000000000002</v>
          </cell>
        </row>
      </sheetData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2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667F6C-C5DF-4AFC-AD7B-06994EC466DD}">
  <sheetPr>
    <tabColor theme="6" tint="0.59999389629810485"/>
    <pageSetUpPr fitToPage="1"/>
  </sheetPr>
  <dimension ref="A1:L22"/>
  <sheetViews>
    <sheetView tabSelected="1" workbookViewId="0">
      <selection activeCell="E20" sqref="E20"/>
    </sheetView>
  </sheetViews>
  <sheetFormatPr defaultColWidth="9.1328125" defaultRowHeight="14.25" x14ac:dyDescent="0.45"/>
  <cols>
    <col min="1" max="1" width="9.1328125" style="39"/>
    <col min="2" max="2" width="15.265625" style="39" bestFit="1" customWidth="1"/>
    <col min="3" max="3" width="9.1328125" style="39"/>
    <col min="4" max="4" width="14.1328125" style="39" bestFit="1" customWidth="1"/>
    <col min="5" max="5" width="13.86328125" style="39" customWidth="1"/>
    <col min="6" max="6" width="17.265625" style="39" customWidth="1"/>
    <col min="7" max="7" width="14" style="39" bestFit="1" customWidth="1"/>
    <col min="8" max="8" width="12.265625" style="39" bestFit="1" customWidth="1"/>
    <col min="9" max="9" width="12.59765625" style="39" bestFit="1" customWidth="1"/>
    <col min="10" max="10" width="13.3984375" style="39" bestFit="1" customWidth="1"/>
    <col min="11" max="11" width="9.1328125" style="39"/>
    <col min="12" max="12" width="10.59765625" style="39" bestFit="1" customWidth="1"/>
    <col min="13" max="16384" width="9.1328125" style="39"/>
  </cols>
  <sheetData>
    <row r="1" spans="1:12" s="33" customFormat="1" ht="42.75" x14ac:dyDescent="0.45">
      <c r="B1" s="34" t="s">
        <v>108</v>
      </c>
      <c r="C1" s="34" t="s">
        <v>95</v>
      </c>
      <c r="D1" s="34" t="s">
        <v>109</v>
      </c>
      <c r="E1" s="34" t="s">
        <v>110</v>
      </c>
      <c r="F1" s="34" t="s">
        <v>138</v>
      </c>
      <c r="G1" s="34" t="s">
        <v>96</v>
      </c>
    </row>
    <row r="2" spans="1:12" x14ac:dyDescent="0.45">
      <c r="A2" s="35">
        <v>44470</v>
      </c>
      <c r="B2" s="36">
        <v>42996238.936683007</v>
      </c>
      <c r="C2" s="37">
        <f>B2/$B$14</f>
        <v>7.7549982687864311E-2</v>
      </c>
      <c r="D2" s="38">
        <f>C2*$D$14</f>
        <v>237690.69693830411</v>
      </c>
      <c r="E2" s="40">
        <f>'Wildfire Incremental Expense'!H65</f>
        <v>192429.28</v>
      </c>
      <c r="F2" s="40">
        <f>'Wildfire Incremental Expense'!H2</f>
        <v>-45418.47</v>
      </c>
      <c r="G2" s="18">
        <f t="shared" ref="G2:G6" ca="1" si="0">IF(A2&lt;(TODAY()-15),E2-D2," ")</f>
        <v>-45261.416938304115</v>
      </c>
      <c r="J2" s="38"/>
      <c r="L2" s="40"/>
    </row>
    <row r="3" spans="1:12" x14ac:dyDescent="0.45">
      <c r="A3" s="35">
        <v>44501</v>
      </c>
      <c r="B3" s="36">
        <v>47763131.363777854</v>
      </c>
      <c r="C3" s="37">
        <f t="shared" ref="C3:C13" si="1">B3/$B$14</f>
        <v>8.6147767850899212E-2</v>
      </c>
      <c r="D3" s="38">
        <f t="shared" ref="D3:D13" si="2">C3*$D$14</f>
        <v>264042.90846300608</v>
      </c>
      <c r="E3" s="40">
        <f>'Wildfire Incremental Expense'!I65</f>
        <v>169217.78999999998</v>
      </c>
      <c r="F3" s="40">
        <f>'Wildfire Incremental Expense'!I2</f>
        <v>-94786.87</v>
      </c>
      <c r="G3" s="18">
        <f t="shared" ca="1" si="0"/>
        <v>-94825.118463006103</v>
      </c>
      <c r="J3" s="38"/>
      <c r="L3" s="40"/>
    </row>
    <row r="4" spans="1:12" x14ac:dyDescent="0.45">
      <c r="A4" s="35">
        <v>44531</v>
      </c>
      <c r="B4" s="36">
        <v>55594972.139649197</v>
      </c>
      <c r="C4" s="37">
        <f t="shared" si="1"/>
        <v>0.10027363401043331</v>
      </c>
      <c r="D4" s="38">
        <f t="shared" si="2"/>
        <v>307338.68824197806</v>
      </c>
      <c r="E4" s="40">
        <f>'Wildfire Incremental Expense'!J65</f>
        <v>1065483.22</v>
      </c>
      <c r="F4" s="40">
        <f>'Wildfire Incremental Expense'!J2</f>
        <v>758263.34</v>
      </c>
      <c r="G4" s="40">
        <f t="shared" ca="1" si="0"/>
        <v>758144.53175802191</v>
      </c>
      <c r="J4" s="40"/>
      <c r="L4" s="40"/>
    </row>
    <row r="5" spans="1:12" x14ac:dyDescent="0.45">
      <c r="A5" s="35">
        <v>44562</v>
      </c>
      <c r="B5" s="36">
        <v>55671585.418146282</v>
      </c>
      <c r="C5" s="37">
        <f t="shared" si="1"/>
        <v>0.10041181722291985</v>
      </c>
      <c r="D5" s="38">
        <f t="shared" si="2"/>
        <v>307762.21978824935</v>
      </c>
      <c r="E5" s="40">
        <f>'Wildfire Incremental Expense'!K65</f>
        <v>357664.61</v>
      </c>
      <c r="F5" s="40">
        <f>'Wildfire Incremental Expense'!K2</f>
        <v>49715.59</v>
      </c>
      <c r="G5" s="40">
        <f t="shared" ca="1" si="0"/>
        <v>49902.390211750637</v>
      </c>
    </row>
    <row r="6" spans="1:12" x14ac:dyDescent="0.45">
      <c r="A6" s="35">
        <v>44593</v>
      </c>
      <c r="B6" s="36">
        <v>49278167.582732916</v>
      </c>
      <c r="C6" s="37">
        <f t="shared" si="1"/>
        <v>8.8880356455322773E-2</v>
      </c>
      <c r="D6" s="38">
        <f t="shared" si="2"/>
        <v>272418.29253556428</v>
      </c>
      <c r="E6" s="40">
        <f>'Wildfire Incremental Expense'!L65</f>
        <v>880428.32000000007</v>
      </c>
      <c r="F6" s="40">
        <f>'Wildfire Incremental Expense'!L2</f>
        <v>608124.81999999995</v>
      </c>
      <c r="G6" s="40">
        <f t="shared" ca="1" si="0"/>
        <v>608010.02746443579</v>
      </c>
    </row>
    <row r="7" spans="1:12" x14ac:dyDescent="0.45">
      <c r="A7" s="35">
        <v>44621</v>
      </c>
      <c r="B7" s="36">
        <v>47305565.386084735</v>
      </c>
      <c r="C7" s="37">
        <f t="shared" si="1"/>
        <v>8.5322480929852201E-2</v>
      </c>
      <c r="D7" s="38">
        <f t="shared" si="2"/>
        <v>261513.40404999699</v>
      </c>
      <c r="E7" s="40">
        <f>'Wildfire Incremental Expense'!M65</f>
        <v>980924.43</v>
      </c>
      <c r="F7" s="137">
        <f>+'Wildfire Incremental Expense'!M2</f>
        <v>719481.23</v>
      </c>
      <c r="G7" s="40">
        <f ca="1">IF(A7&lt;(TODAY()-15),E7-D7," ")</f>
        <v>719411.02595000307</v>
      </c>
      <c r="H7" s="40"/>
    </row>
    <row r="8" spans="1:12" x14ac:dyDescent="0.45">
      <c r="A8" s="35">
        <v>44652</v>
      </c>
      <c r="B8" s="36">
        <v>41263283.333110519</v>
      </c>
      <c r="C8" s="37">
        <f t="shared" si="1"/>
        <v>7.4424344716278248E-2</v>
      </c>
      <c r="D8" s="38">
        <f t="shared" si="2"/>
        <v>228110.61655539283</v>
      </c>
      <c r="E8" s="40">
        <f>+'Wildfire Incremental Expense'!N65</f>
        <v>960933.17</v>
      </c>
      <c r="F8" s="137">
        <f>+'Wildfire Incremental Expense'!N2</f>
        <v>732824.35</v>
      </c>
      <c r="G8" s="40">
        <f ca="1">IF(A8&lt;(TODAY()-15),E8-D8," ")</f>
        <v>732822.55344460718</v>
      </c>
    </row>
    <row r="9" spans="1:12" x14ac:dyDescent="0.45">
      <c r="A9" s="35">
        <v>44682</v>
      </c>
      <c r="B9" s="36">
        <v>39777362.490171306</v>
      </c>
      <c r="C9" s="37">
        <f t="shared" si="1"/>
        <v>7.1744269935431315E-2</v>
      </c>
      <c r="D9" s="38">
        <f t="shared" si="2"/>
        <v>219896.18735209698</v>
      </c>
      <c r="E9" s="40">
        <f>+'Wildfire Incremental Expense'!O65</f>
        <v>892770.39</v>
      </c>
      <c r="F9" s="137">
        <f>+'Wildfire Incremental Expense'!O2</f>
        <v>672874.21</v>
      </c>
      <c r="G9" s="40">
        <f t="shared" ref="G9:G10" ca="1" si="3">IF(A9&lt;(TODAY()-15),E9-D9," ")</f>
        <v>672874.202647903</v>
      </c>
    </row>
    <row r="10" spans="1:12" x14ac:dyDescent="0.45">
      <c r="A10" s="35">
        <v>44713</v>
      </c>
      <c r="B10" s="36">
        <v>41031668.178748809</v>
      </c>
      <c r="C10" s="37">
        <f t="shared" si="1"/>
        <v>7.4006593032521703E-2</v>
      </c>
      <c r="D10" s="38">
        <f t="shared" si="2"/>
        <v>226830.20764467903</v>
      </c>
      <c r="E10" s="40">
        <f>+'Wildfire Incremental Expense'!P65</f>
        <v>897081.37</v>
      </c>
      <c r="F10" s="137">
        <f>+'Wildfire Incremental Expense'!P2</f>
        <v>670099.88</v>
      </c>
      <c r="G10" s="40">
        <f t="shared" ca="1" si="3"/>
        <v>670251.16235532099</v>
      </c>
      <c r="H10" s="40"/>
    </row>
    <row r="11" spans="1:12" x14ac:dyDescent="0.45">
      <c r="A11" s="35">
        <v>44743</v>
      </c>
      <c r="B11" s="36">
        <v>45989609.32593248</v>
      </c>
      <c r="C11" s="37">
        <f t="shared" si="1"/>
        <v>8.2948962403427556E-2</v>
      </c>
      <c r="D11" s="38">
        <f t="shared" si="2"/>
        <v>254238.56976650545</v>
      </c>
      <c r="E11" s="40">
        <f>+'Wildfire Incremental Expense'!Q65</f>
        <v>915102.88</v>
      </c>
      <c r="G11" s="40">
        <f ca="1">IF(A11&lt;(TODAY()-15),E11-D11," ")</f>
        <v>660864.3102334945</v>
      </c>
      <c r="H11" s="40"/>
    </row>
    <row r="12" spans="1:12" x14ac:dyDescent="0.45">
      <c r="A12" s="35">
        <v>44774</v>
      </c>
      <c r="B12" s="36">
        <v>46784832.784823753</v>
      </c>
      <c r="C12" s="37">
        <f t="shared" si="1"/>
        <v>8.4383263798040647E-2</v>
      </c>
      <c r="D12" s="38">
        <f t="shared" si="2"/>
        <v>258634.70354099458</v>
      </c>
      <c r="G12" s="40"/>
    </row>
    <row r="13" spans="1:12" x14ac:dyDescent="0.45">
      <c r="A13" s="35">
        <v>44805</v>
      </c>
      <c r="B13" s="36">
        <v>40976188.28380768</v>
      </c>
      <c r="C13" s="37">
        <f t="shared" si="1"/>
        <v>7.3906526957008806E-2</v>
      </c>
      <c r="D13" s="38">
        <f t="shared" si="2"/>
        <v>226523.505123232</v>
      </c>
      <c r="G13" s="40"/>
      <c r="I13" s="40"/>
      <c r="J13" s="40"/>
    </row>
    <row r="14" spans="1:12" ht="14.65" thickBot="1" x14ac:dyDescent="0.5">
      <c r="A14" s="41" t="s">
        <v>25</v>
      </c>
      <c r="B14" s="42">
        <f>SUM(B2:B13)</f>
        <v>554432605.22366858</v>
      </c>
      <c r="C14" s="43">
        <f t="shared" ref="C14" si="4">SUM(C2:C13)</f>
        <v>0.99999999999999989</v>
      </c>
      <c r="D14" s="42">
        <v>3065000</v>
      </c>
      <c r="E14" s="57">
        <f>SUM(E2:E13)</f>
        <v>7312035.46</v>
      </c>
      <c r="F14" s="57">
        <f>SUM(F2:F13)</f>
        <v>4071178.0799999996</v>
      </c>
      <c r="G14" s="44">
        <f ca="1">SUM(G2:G13)</f>
        <v>4732193.6686642272</v>
      </c>
    </row>
    <row r="15" spans="1:12" ht="14.65" thickTop="1" x14ac:dyDescent="0.45">
      <c r="A15" s="41"/>
      <c r="B15" s="70"/>
      <c r="C15" s="71"/>
      <c r="D15" s="70"/>
      <c r="E15" s="72"/>
      <c r="F15" s="72"/>
      <c r="G15" s="73"/>
      <c r="H15" s="74"/>
    </row>
    <row r="16" spans="1:12" ht="14.65" thickBot="1" x14ac:dyDescent="0.5">
      <c r="A16" s="41"/>
      <c r="B16" s="70"/>
      <c r="C16" s="71"/>
      <c r="D16" s="70"/>
      <c r="E16" s="72"/>
      <c r="F16" s="75" t="s">
        <v>137</v>
      </c>
      <c r="G16" s="69">
        <f ca="1">-(F14-G14)</f>
        <v>661015.58866422763</v>
      </c>
      <c r="H16" s="74"/>
    </row>
    <row r="17" spans="1:7" ht="14.65" thickTop="1" x14ac:dyDescent="0.45">
      <c r="A17" s="35"/>
    </row>
    <row r="18" spans="1:7" ht="34.5" customHeight="1" x14ac:dyDescent="0.45">
      <c r="A18" s="45" t="s">
        <v>87</v>
      </c>
      <c r="B18" s="148" t="s">
        <v>120</v>
      </c>
      <c r="C18" s="148"/>
      <c r="D18" s="148"/>
      <c r="E18" s="148"/>
      <c r="F18" s="148"/>
      <c r="G18" s="148"/>
    </row>
    <row r="19" spans="1:7" x14ac:dyDescent="0.45">
      <c r="A19" s="45"/>
      <c r="B19" s="46"/>
      <c r="C19" s="46"/>
      <c r="D19" s="46"/>
      <c r="E19" s="46"/>
      <c r="F19" s="46"/>
      <c r="G19" s="46"/>
    </row>
    <row r="20" spans="1:7" x14ac:dyDescent="0.45">
      <c r="A20" s="45" t="s">
        <v>97</v>
      </c>
      <c r="B20" s="46" t="s">
        <v>111</v>
      </c>
      <c r="C20" s="46"/>
      <c r="D20" s="46"/>
      <c r="E20" s="46"/>
      <c r="F20" s="46"/>
      <c r="G20" s="46"/>
    </row>
    <row r="22" spans="1:7" ht="48" customHeight="1" x14ac:dyDescent="0.45">
      <c r="A22" s="47" t="s">
        <v>98</v>
      </c>
      <c r="B22" s="149" t="s">
        <v>169</v>
      </c>
      <c r="C22" s="149"/>
      <c r="D22" s="149"/>
      <c r="E22" s="149"/>
      <c r="F22" s="149"/>
      <c r="G22" s="149"/>
    </row>
  </sheetData>
  <mergeCells count="2">
    <mergeCell ref="B18:G18"/>
    <mergeCell ref="B22:G22"/>
  </mergeCells>
  <pageMargins left="0.7" right="0.7" top="0.75" bottom="0.75" header="0.3" footer="0.3"/>
  <pageSetup orientation="portrait" horizontalDpi="1200" verticalDpi="1200" r:id="rId1"/>
  <headerFooter>
    <oddHeader>&amp;C&amp;F - &amp;A</oddHeader>
    <oddFooter>&amp;C&amp;Z&amp;F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A8C078-D8CD-4E7F-9A65-327736C89ED1}">
  <sheetPr>
    <tabColor theme="6" tint="0.59999389629810485"/>
    <pageSetUpPr fitToPage="1"/>
  </sheetPr>
  <dimension ref="A1:R69"/>
  <sheetViews>
    <sheetView workbookViewId="0">
      <selection activeCell="R65" sqref="R65"/>
    </sheetView>
  </sheetViews>
  <sheetFormatPr defaultColWidth="9.1328125" defaultRowHeight="12.75" customHeight="1" x14ac:dyDescent="0.35"/>
  <cols>
    <col min="1" max="1" width="7" style="31" bestFit="1" customWidth="1"/>
    <col min="2" max="2" width="11.265625" style="31" bestFit="1" customWidth="1"/>
    <col min="3" max="3" width="32.73046875" style="31" bestFit="1" customWidth="1"/>
    <col min="4" max="4" width="21.265625" style="31" bestFit="1" customWidth="1"/>
    <col min="5" max="5" width="31.3984375" style="31" bestFit="1" customWidth="1"/>
    <col min="6" max="6" width="28.1328125" style="31" bestFit="1" customWidth="1"/>
    <col min="7" max="7" width="15.265625" style="31" bestFit="1" customWidth="1"/>
    <col min="8" max="8" width="15" style="63" customWidth="1"/>
    <col min="9" max="9" width="15" style="68" customWidth="1"/>
    <col min="10" max="10" width="16.3984375" style="31" bestFit="1" customWidth="1"/>
    <col min="11" max="11" width="16.3984375" style="130" customWidth="1"/>
    <col min="12" max="12" width="16.3984375" style="132" customWidth="1"/>
    <col min="13" max="13" width="16.3984375" style="134" customWidth="1"/>
    <col min="14" max="14" width="16.3984375" style="136" customWidth="1"/>
    <col min="15" max="15" width="16.3984375" style="139" customWidth="1"/>
    <col min="16" max="16" width="16.3984375" style="142" customWidth="1"/>
    <col min="17" max="17" width="16.3984375" style="144" customWidth="1"/>
    <col min="18" max="18" width="17.265625" style="31" bestFit="1" customWidth="1"/>
    <col min="19" max="16384" width="9.1328125" style="31"/>
  </cols>
  <sheetData>
    <row r="1" spans="1:18" s="147" customFormat="1" ht="17.25" customHeight="1" thickBot="1" x14ac:dyDescent="0.4">
      <c r="A1" s="150" t="s">
        <v>0</v>
      </c>
      <c r="B1" s="151"/>
      <c r="C1" s="151"/>
      <c r="D1" s="151"/>
      <c r="E1" s="151"/>
      <c r="F1" s="151"/>
      <c r="G1" s="146" t="s">
        <v>91</v>
      </c>
      <c r="H1" s="146" t="s">
        <v>107</v>
      </c>
      <c r="I1" s="146" t="s">
        <v>122</v>
      </c>
      <c r="J1" s="146" t="s">
        <v>127</v>
      </c>
      <c r="K1" s="146" t="s">
        <v>175</v>
      </c>
      <c r="L1" s="146" t="s">
        <v>177</v>
      </c>
      <c r="M1" s="146" t="s">
        <v>184</v>
      </c>
      <c r="N1" s="146" t="s">
        <v>185</v>
      </c>
      <c r="O1" s="146" t="s">
        <v>190</v>
      </c>
      <c r="P1" s="146" t="s">
        <v>191</v>
      </c>
      <c r="Q1" s="146" t="s">
        <v>194</v>
      </c>
      <c r="R1" s="17" t="s">
        <v>25</v>
      </c>
    </row>
    <row r="2" spans="1:18" s="147" customFormat="1" ht="17.25" customHeight="1" thickBot="1" x14ac:dyDescent="0.4">
      <c r="A2" s="162" t="s">
        <v>106</v>
      </c>
      <c r="B2" s="146" t="s">
        <v>128</v>
      </c>
      <c r="C2" s="146" t="s">
        <v>119</v>
      </c>
      <c r="D2" s="146" t="s">
        <v>129</v>
      </c>
      <c r="E2" s="146" t="s">
        <v>12</v>
      </c>
      <c r="F2" s="146" t="s">
        <v>130</v>
      </c>
      <c r="G2" s="123">
        <v>1840166.86</v>
      </c>
      <c r="H2" s="123">
        <v>-45418.47</v>
      </c>
      <c r="I2" s="123">
        <v>-94786.87</v>
      </c>
      <c r="J2" s="123">
        <v>758263.34</v>
      </c>
      <c r="K2" s="123">
        <v>49715.59</v>
      </c>
      <c r="L2" s="123">
        <v>608124.81999999995</v>
      </c>
      <c r="M2" s="123">
        <v>719481.23</v>
      </c>
      <c r="N2" s="123">
        <v>732824.35</v>
      </c>
      <c r="O2" s="123">
        <v>672874.21</v>
      </c>
      <c r="P2" s="123">
        <v>670099.88</v>
      </c>
      <c r="Q2" s="124"/>
      <c r="R2" s="125">
        <v>5911344.9400000004</v>
      </c>
    </row>
    <row r="3" spans="1:18" s="147" customFormat="1" ht="17.25" customHeight="1" thickBot="1" x14ac:dyDescent="0.4">
      <c r="A3" s="153"/>
      <c r="B3" s="152" t="s">
        <v>131</v>
      </c>
      <c r="C3" s="145" t="s">
        <v>178</v>
      </c>
      <c r="D3" s="145" t="s">
        <v>179</v>
      </c>
      <c r="E3" s="145" t="s">
        <v>6</v>
      </c>
      <c r="F3" s="145" t="s">
        <v>7</v>
      </c>
      <c r="G3" s="124"/>
      <c r="H3" s="124"/>
      <c r="I3" s="124"/>
      <c r="J3" s="124"/>
      <c r="K3" s="124"/>
      <c r="L3" s="126">
        <v>289170</v>
      </c>
      <c r="M3" s="124"/>
      <c r="N3" s="124"/>
      <c r="O3" s="124"/>
      <c r="P3" s="124"/>
      <c r="Q3" s="124"/>
      <c r="R3" s="127">
        <v>289170</v>
      </c>
    </row>
    <row r="4" spans="1:18" s="147" customFormat="1" ht="17.25" customHeight="1" thickBot="1" x14ac:dyDescent="0.4">
      <c r="A4" s="153"/>
      <c r="B4" s="153"/>
      <c r="C4" s="152" t="s">
        <v>105</v>
      </c>
      <c r="D4" s="152" t="s">
        <v>104</v>
      </c>
      <c r="E4" s="152" t="s">
        <v>6</v>
      </c>
      <c r="F4" s="145" t="s">
        <v>17</v>
      </c>
      <c r="G4" s="126">
        <v>0</v>
      </c>
      <c r="H4" s="124"/>
      <c r="I4" s="124"/>
      <c r="J4" s="123">
        <v>9468.33</v>
      </c>
      <c r="K4" s="123">
        <v>1020.52</v>
      </c>
      <c r="L4" s="124"/>
      <c r="M4" s="124"/>
      <c r="N4" s="124"/>
      <c r="O4" s="124"/>
      <c r="P4" s="124"/>
      <c r="Q4" s="124"/>
      <c r="R4" s="125">
        <v>10488.85</v>
      </c>
    </row>
    <row r="5" spans="1:18" s="147" customFormat="1" ht="17.25" customHeight="1" thickBot="1" x14ac:dyDescent="0.4">
      <c r="A5" s="153"/>
      <c r="B5" s="153"/>
      <c r="C5" s="153"/>
      <c r="D5" s="153"/>
      <c r="E5" s="153"/>
      <c r="F5" s="145" t="s">
        <v>7</v>
      </c>
      <c r="G5" s="123">
        <v>159000.71</v>
      </c>
      <c r="H5" s="123">
        <v>144375.88</v>
      </c>
      <c r="I5" s="123">
        <v>167216.51</v>
      </c>
      <c r="J5" s="123">
        <v>716575.61</v>
      </c>
      <c r="K5" s="123">
        <v>156283.56</v>
      </c>
      <c r="L5" s="123">
        <v>461868.92</v>
      </c>
      <c r="M5" s="123">
        <v>978974.54</v>
      </c>
      <c r="N5" s="123">
        <v>896016.81</v>
      </c>
      <c r="O5" s="123">
        <v>823980.52</v>
      </c>
      <c r="P5" s="123">
        <v>891738.14</v>
      </c>
      <c r="Q5" s="123">
        <v>913025.17</v>
      </c>
      <c r="R5" s="125">
        <v>6309056.3700000001</v>
      </c>
    </row>
    <row r="6" spans="1:18" s="147" customFormat="1" ht="17.25" customHeight="1" thickBot="1" x14ac:dyDescent="0.4">
      <c r="A6" s="153"/>
      <c r="B6" s="153"/>
      <c r="C6" s="153"/>
      <c r="D6" s="153"/>
      <c r="E6" s="154"/>
      <c r="F6" s="145" t="s">
        <v>9</v>
      </c>
      <c r="G6" s="126">
        <v>0</v>
      </c>
      <c r="H6" s="124"/>
      <c r="I6" s="124"/>
      <c r="J6" s="124"/>
      <c r="K6" s="124"/>
      <c r="L6" s="124"/>
      <c r="M6" s="124"/>
      <c r="N6" s="124"/>
      <c r="O6" s="124"/>
      <c r="P6" s="124"/>
      <c r="Q6" s="124"/>
      <c r="R6" s="127">
        <v>0</v>
      </c>
    </row>
    <row r="7" spans="1:18" s="147" customFormat="1" ht="17.25" customHeight="1" thickBot="1" x14ac:dyDescent="0.4">
      <c r="A7" s="153"/>
      <c r="B7" s="153"/>
      <c r="C7" s="153"/>
      <c r="D7" s="153"/>
      <c r="E7" s="145" t="s">
        <v>132</v>
      </c>
      <c r="F7" s="145" t="s">
        <v>133</v>
      </c>
      <c r="G7" s="124"/>
      <c r="H7" s="124"/>
      <c r="I7" s="124"/>
      <c r="J7" s="123">
        <v>1048.8699999999999</v>
      </c>
      <c r="K7" s="124"/>
      <c r="L7" s="124"/>
      <c r="M7" s="124"/>
      <c r="N7" s="124"/>
      <c r="O7" s="124"/>
      <c r="P7" s="124"/>
      <c r="Q7" s="124"/>
      <c r="R7" s="125">
        <v>1048.8699999999999</v>
      </c>
    </row>
    <row r="8" spans="1:18" s="147" customFormat="1" ht="17.25" customHeight="1" thickBot="1" x14ac:dyDescent="0.4">
      <c r="A8" s="153"/>
      <c r="B8" s="153"/>
      <c r="C8" s="153"/>
      <c r="D8" s="153"/>
      <c r="E8" s="152" t="s">
        <v>125</v>
      </c>
      <c r="F8" s="145" t="s">
        <v>126</v>
      </c>
      <c r="G8" s="124"/>
      <c r="H8" s="124"/>
      <c r="I8" s="124"/>
      <c r="J8" s="123">
        <v>73.42</v>
      </c>
      <c r="K8" s="124"/>
      <c r="L8" s="124"/>
      <c r="M8" s="124"/>
      <c r="N8" s="124"/>
      <c r="O8" s="124"/>
      <c r="P8" s="124"/>
      <c r="Q8" s="124"/>
      <c r="R8" s="125">
        <v>73.42</v>
      </c>
    </row>
    <row r="9" spans="1:18" s="147" customFormat="1" ht="17.25" customHeight="1" thickBot="1" x14ac:dyDescent="0.4">
      <c r="A9" s="153"/>
      <c r="B9" s="153"/>
      <c r="C9" s="153"/>
      <c r="D9" s="153"/>
      <c r="E9" s="154"/>
      <c r="F9" s="145" t="s">
        <v>168</v>
      </c>
      <c r="G9" s="124"/>
      <c r="H9" s="124"/>
      <c r="I9" s="124"/>
      <c r="J9" s="123">
        <v>31.47</v>
      </c>
      <c r="K9" s="124"/>
      <c r="L9" s="124"/>
      <c r="M9" s="124"/>
      <c r="N9" s="124"/>
      <c r="O9" s="124"/>
      <c r="P9" s="124"/>
      <c r="Q9" s="124"/>
      <c r="R9" s="125">
        <v>31.47</v>
      </c>
    </row>
    <row r="10" spans="1:18" s="147" customFormat="1" ht="17.25" customHeight="1" thickBot="1" x14ac:dyDescent="0.4">
      <c r="A10" s="153"/>
      <c r="B10" s="153"/>
      <c r="C10" s="153"/>
      <c r="D10" s="153"/>
      <c r="E10" s="152" t="s">
        <v>12</v>
      </c>
      <c r="F10" s="145" t="s">
        <v>94</v>
      </c>
      <c r="G10" s="124"/>
      <c r="H10" s="123">
        <v>149.19999999999999</v>
      </c>
      <c r="I10" s="123">
        <v>118.8</v>
      </c>
      <c r="J10" s="126">
        <v>30</v>
      </c>
      <c r="K10" s="123">
        <v>186.8</v>
      </c>
      <c r="L10" s="126">
        <v>72</v>
      </c>
      <c r="M10" s="124"/>
      <c r="N10" s="124"/>
      <c r="O10" s="124"/>
      <c r="P10" s="123">
        <v>141.19999999999999</v>
      </c>
      <c r="Q10" s="124"/>
      <c r="R10" s="127">
        <v>698</v>
      </c>
    </row>
    <row r="11" spans="1:18" s="147" customFormat="1" ht="17.25" customHeight="1" thickBot="1" x14ac:dyDescent="0.4">
      <c r="A11" s="153"/>
      <c r="B11" s="153"/>
      <c r="C11" s="154"/>
      <c r="D11" s="154"/>
      <c r="E11" s="154"/>
      <c r="F11" s="145" t="s">
        <v>92</v>
      </c>
      <c r="G11" s="124"/>
      <c r="H11" s="123">
        <v>7.85</v>
      </c>
      <c r="I11" s="123">
        <v>11.77</v>
      </c>
      <c r="J11" s="123">
        <v>10.19</v>
      </c>
      <c r="K11" s="123">
        <v>3.76</v>
      </c>
      <c r="L11" s="123">
        <v>17.39</v>
      </c>
      <c r="M11" s="124"/>
      <c r="N11" s="123">
        <v>3.43</v>
      </c>
      <c r="O11" s="124"/>
      <c r="P11" s="123">
        <v>10.08</v>
      </c>
      <c r="Q11" s="124"/>
      <c r="R11" s="125">
        <v>64.47</v>
      </c>
    </row>
    <row r="12" spans="1:18" s="147" customFormat="1" ht="17.25" customHeight="1" thickBot="1" x14ac:dyDescent="0.4">
      <c r="A12" s="153"/>
      <c r="B12" s="154"/>
      <c r="C12" s="145" t="s">
        <v>119</v>
      </c>
      <c r="D12" s="145" t="s">
        <v>129</v>
      </c>
      <c r="E12" s="145" t="s">
        <v>12</v>
      </c>
      <c r="F12" s="145" t="s">
        <v>130</v>
      </c>
      <c r="G12" s="123">
        <v>-1840166.86</v>
      </c>
      <c r="H12" s="123">
        <v>45418.47</v>
      </c>
      <c r="I12" s="123">
        <v>94786.87</v>
      </c>
      <c r="J12" s="123">
        <v>-758263.34</v>
      </c>
      <c r="K12" s="123">
        <v>-49715.59</v>
      </c>
      <c r="L12" s="123">
        <v>-608124.81999999995</v>
      </c>
      <c r="M12" s="123">
        <v>-719481.23</v>
      </c>
      <c r="N12" s="123">
        <v>-732824.35</v>
      </c>
      <c r="O12" s="123">
        <v>-672874.21</v>
      </c>
      <c r="P12" s="123">
        <v>-670099.88</v>
      </c>
      <c r="Q12" s="124"/>
      <c r="R12" s="125">
        <v>-5911344.9400000004</v>
      </c>
    </row>
    <row r="13" spans="1:18" s="147" customFormat="1" ht="17.25" customHeight="1" thickBot="1" x14ac:dyDescent="0.4">
      <c r="A13" s="154"/>
      <c r="B13" s="155" t="s">
        <v>25</v>
      </c>
      <c r="C13" s="156"/>
      <c r="D13" s="156"/>
      <c r="E13" s="156"/>
      <c r="F13" s="157"/>
      <c r="G13" s="128">
        <v>159000.71</v>
      </c>
      <c r="H13" s="128">
        <v>144532.93</v>
      </c>
      <c r="I13" s="128">
        <v>167347.07999999999</v>
      </c>
      <c r="J13" s="128">
        <v>727237.89</v>
      </c>
      <c r="K13" s="128">
        <v>157494.64000000001</v>
      </c>
      <c r="L13" s="128">
        <v>751128.31</v>
      </c>
      <c r="M13" s="128">
        <v>978974.54</v>
      </c>
      <c r="N13" s="128">
        <v>896020.24</v>
      </c>
      <c r="O13" s="128">
        <v>823980.52</v>
      </c>
      <c r="P13" s="128">
        <v>891889.42</v>
      </c>
      <c r="Q13" s="128">
        <v>913025.17</v>
      </c>
      <c r="R13" s="128">
        <v>6610631.4500000002</v>
      </c>
    </row>
    <row r="14" spans="1:18" s="147" customFormat="1" ht="17.25" customHeight="1" thickBot="1" x14ac:dyDescent="0.4">
      <c r="A14" s="152" t="s">
        <v>8</v>
      </c>
      <c r="B14" s="145" t="s">
        <v>128</v>
      </c>
      <c r="C14" s="145" t="s">
        <v>59</v>
      </c>
      <c r="D14" s="145" t="s">
        <v>134</v>
      </c>
      <c r="E14" s="145" t="s">
        <v>12</v>
      </c>
      <c r="F14" s="145" t="s">
        <v>130</v>
      </c>
      <c r="G14" s="123">
        <v>388702.22</v>
      </c>
      <c r="H14" s="123">
        <v>-15511.14</v>
      </c>
      <c r="I14" s="123">
        <v>583568.34</v>
      </c>
      <c r="J14" s="123">
        <v>829973.52</v>
      </c>
      <c r="K14" s="123">
        <v>410338.46</v>
      </c>
      <c r="L14" s="123">
        <v>720929.08</v>
      </c>
      <c r="M14" s="123">
        <v>613753.96</v>
      </c>
      <c r="N14" s="123">
        <v>297023.26</v>
      </c>
      <c r="O14" s="123">
        <v>180030.63</v>
      </c>
      <c r="P14" s="123">
        <v>49358.68</v>
      </c>
      <c r="Q14" s="124"/>
      <c r="R14" s="125">
        <v>4058167.01</v>
      </c>
    </row>
    <row r="15" spans="1:18" s="147" customFormat="1" ht="17.25" customHeight="1" thickBot="1" x14ac:dyDescent="0.4">
      <c r="A15" s="153"/>
      <c r="B15" s="152" t="s">
        <v>131</v>
      </c>
      <c r="C15" s="145" t="s">
        <v>180</v>
      </c>
      <c r="D15" s="145" t="s">
        <v>181</v>
      </c>
      <c r="E15" s="145" t="s">
        <v>6</v>
      </c>
      <c r="F15" s="145" t="s">
        <v>7</v>
      </c>
      <c r="G15" s="124"/>
      <c r="H15" s="124"/>
      <c r="I15" s="124"/>
      <c r="J15" s="124"/>
      <c r="K15" s="124"/>
      <c r="L15" s="126">
        <v>192780</v>
      </c>
      <c r="M15" s="124"/>
      <c r="N15" s="124"/>
      <c r="O15" s="124"/>
      <c r="P15" s="124"/>
      <c r="Q15" s="124"/>
      <c r="R15" s="127">
        <v>192780</v>
      </c>
    </row>
    <row r="16" spans="1:18" s="147" customFormat="1" ht="17.25" customHeight="1" thickBot="1" x14ac:dyDescent="0.4">
      <c r="A16" s="153"/>
      <c r="B16" s="153"/>
      <c r="C16" s="152" t="s">
        <v>10</v>
      </c>
      <c r="D16" s="152" t="s">
        <v>11</v>
      </c>
      <c r="E16" s="152" t="s">
        <v>6</v>
      </c>
      <c r="F16" s="145" t="s">
        <v>17</v>
      </c>
      <c r="G16" s="126">
        <v>0</v>
      </c>
      <c r="H16" s="124"/>
      <c r="I16" s="124"/>
      <c r="J16" s="123">
        <v>10987.26</v>
      </c>
      <c r="K16" s="124"/>
      <c r="L16" s="124"/>
      <c r="M16" s="124"/>
      <c r="N16" s="124"/>
      <c r="O16" s="124"/>
      <c r="P16" s="124"/>
      <c r="Q16" s="124"/>
      <c r="R16" s="125">
        <v>10987.26</v>
      </c>
    </row>
    <row r="17" spans="1:18" s="147" customFormat="1" ht="17.25" customHeight="1" thickBot="1" x14ac:dyDescent="0.4">
      <c r="A17" s="153"/>
      <c r="B17" s="153"/>
      <c r="C17" s="153"/>
      <c r="D17" s="153"/>
      <c r="E17" s="153"/>
      <c r="F17" s="145" t="s">
        <v>7</v>
      </c>
      <c r="G17" s="126">
        <v>399715</v>
      </c>
      <c r="H17" s="123">
        <v>73798.25</v>
      </c>
      <c r="I17" s="123">
        <v>711377.13</v>
      </c>
      <c r="J17" s="123">
        <v>789914.48</v>
      </c>
      <c r="K17" s="123">
        <v>451770.03</v>
      </c>
      <c r="L17" s="123">
        <v>588279.27</v>
      </c>
      <c r="M17" s="123">
        <v>741087.73</v>
      </c>
      <c r="N17" s="123">
        <v>374124.76</v>
      </c>
      <c r="O17" s="123">
        <v>250929.74</v>
      </c>
      <c r="P17" s="123">
        <v>152709.66</v>
      </c>
      <c r="Q17" s="123">
        <v>166397.67000000001</v>
      </c>
      <c r="R17" s="125">
        <v>4700103.72</v>
      </c>
    </row>
    <row r="18" spans="1:18" s="147" customFormat="1" ht="17.25" customHeight="1" thickBot="1" x14ac:dyDescent="0.4">
      <c r="A18" s="153"/>
      <c r="B18" s="153"/>
      <c r="C18" s="153"/>
      <c r="D18" s="153"/>
      <c r="E18" s="154"/>
      <c r="F18" s="145" t="s">
        <v>9</v>
      </c>
      <c r="G18" s="126">
        <v>0</v>
      </c>
      <c r="H18" s="124"/>
      <c r="I18" s="124"/>
      <c r="J18" s="124"/>
      <c r="K18" s="124"/>
      <c r="L18" s="124"/>
      <c r="M18" s="124"/>
      <c r="N18" s="124"/>
      <c r="O18" s="124"/>
      <c r="P18" s="124"/>
      <c r="Q18" s="124"/>
      <c r="R18" s="127">
        <v>0</v>
      </c>
    </row>
    <row r="19" spans="1:18" s="147" customFormat="1" ht="17.25" customHeight="1" thickBot="1" x14ac:dyDescent="0.4">
      <c r="A19" s="153"/>
      <c r="B19" s="153"/>
      <c r="C19" s="153"/>
      <c r="D19" s="153"/>
      <c r="E19" s="145" t="s">
        <v>132</v>
      </c>
      <c r="F19" s="145" t="s">
        <v>133</v>
      </c>
      <c r="G19" s="124"/>
      <c r="H19" s="124"/>
      <c r="I19" s="124"/>
      <c r="J19" s="124"/>
      <c r="K19" s="124"/>
      <c r="L19" s="124"/>
      <c r="M19" s="124"/>
      <c r="N19" s="123">
        <v>132.74</v>
      </c>
      <c r="O19" s="124"/>
      <c r="P19" s="124"/>
      <c r="Q19" s="124"/>
      <c r="R19" s="125">
        <v>132.74</v>
      </c>
    </row>
    <row r="20" spans="1:18" s="147" customFormat="1" ht="17.25" customHeight="1" thickBot="1" x14ac:dyDescent="0.4">
      <c r="A20" s="153"/>
      <c r="B20" s="153"/>
      <c r="C20" s="153"/>
      <c r="D20" s="153"/>
      <c r="E20" s="152" t="s">
        <v>125</v>
      </c>
      <c r="F20" s="145" t="s">
        <v>126</v>
      </c>
      <c r="G20" s="124"/>
      <c r="H20" s="124"/>
      <c r="I20" s="124"/>
      <c r="J20" s="124"/>
      <c r="K20" s="124"/>
      <c r="L20" s="124"/>
      <c r="M20" s="124"/>
      <c r="N20" s="123">
        <v>11.15</v>
      </c>
      <c r="O20" s="124"/>
      <c r="P20" s="124"/>
      <c r="Q20" s="124"/>
      <c r="R20" s="125">
        <v>11.15</v>
      </c>
    </row>
    <row r="21" spans="1:18" s="147" customFormat="1" ht="17.25" customHeight="1" thickBot="1" x14ac:dyDescent="0.4">
      <c r="A21" s="153"/>
      <c r="B21" s="153"/>
      <c r="C21" s="153"/>
      <c r="D21" s="153"/>
      <c r="E21" s="154"/>
      <c r="F21" s="145" t="s">
        <v>168</v>
      </c>
      <c r="G21" s="124"/>
      <c r="H21" s="124"/>
      <c r="I21" s="124"/>
      <c r="J21" s="124"/>
      <c r="K21" s="124"/>
      <c r="L21" s="124"/>
      <c r="M21" s="124"/>
      <c r="N21" s="123">
        <v>4.78</v>
      </c>
      <c r="O21" s="124"/>
      <c r="P21" s="124"/>
      <c r="Q21" s="124"/>
      <c r="R21" s="125">
        <v>4.78</v>
      </c>
    </row>
    <row r="22" spans="1:18" s="147" customFormat="1" ht="17.25" customHeight="1" thickBot="1" x14ac:dyDescent="0.4">
      <c r="A22" s="153"/>
      <c r="B22" s="153"/>
      <c r="C22" s="153"/>
      <c r="D22" s="153"/>
      <c r="E22" s="152" t="s">
        <v>12</v>
      </c>
      <c r="F22" s="145" t="s">
        <v>94</v>
      </c>
      <c r="G22" s="126">
        <v>221</v>
      </c>
      <c r="H22" s="124"/>
      <c r="I22" s="124"/>
      <c r="J22" s="123">
        <v>130.80000000000001</v>
      </c>
      <c r="K22" s="124"/>
      <c r="L22" s="123">
        <v>170.4</v>
      </c>
      <c r="M22" s="123">
        <v>215.2</v>
      </c>
      <c r="N22" s="123">
        <v>14.8</v>
      </c>
      <c r="O22" s="123">
        <v>279.2</v>
      </c>
      <c r="P22" s="124"/>
      <c r="Q22" s="124"/>
      <c r="R22" s="125">
        <v>1031.4000000000001</v>
      </c>
    </row>
    <row r="23" spans="1:18" s="147" customFormat="1" ht="17.25" customHeight="1" thickBot="1" x14ac:dyDescent="0.4">
      <c r="A23" s="153"/>
      <c r="B23" s="153"/>
      <c r="C23" s="154"/>
      <c r="D23" s="154"/>
      <c r="E23" s="154"/>
      <c r="F23" s="145" t="s">
        <v>92</v>
      </c>
      <c r="G23" s="123">
        <v>1.05</v>
      </c>
      <c r="H23" s="123">
        <v>14.66</v>
      </c>
      <c r="I23" s="123">
        <v>0.38</v>
      </c>
      <c r="J23" s="124"/>
      <c r="K23" s="123">
        <v>17.88</v>
      </c>
      <c r="L23" s="123">
        <v>12.48</v>
      </c>
      <c r="M23" s="124"/>
      <c r="N23" s="124"/>
      <c r="O23" s="123">
        <v>28.28</v>
      </c>
      <c r="P23" s="123">
        <v>6.54</v>
      </c>
      <c r="Q23" s="124"/>
      <c r="R23" s="125">
        <v>81.27</v>
      </c>
    </row>
    <row r="24" spans="1:18" s="147" customFormat="1" ht="17.25" customHeight="1" thickBot="1" x14ac:dyDescent="0.4">
      <c r="A24" s="153"/>
      <c r="B24" s="154"/>
      <c r="C24" s="145" t="s">
        <v>59</v>
      </c>
      <c r="D24" s="145" t="s">
        <v>134</v>
      </c>
      <c r="E24" s="145" t="s">
        <v>12</v>
      </c>
      <c r="F24" s="145" t="s">
        <v>130</v>
      </c>
      <c r="G24" s="123">
        <v>-388702.22</v>
      </c>
      <c r="H24" s="123">
        <v>15511.14</v>
      </c>
      <c r="I24" s="123">
        <v>-583568.34</v>
      </c>
      <c r="J24" s="123">
        <v>-829973.52</v>
      </c>
      <c r="K24" s="123">
        <v>-410338.46</v>
      </c>
      <c r="L24" s="123">
        <v>-720929.08</v>
      </c>
      <c r="M24" s="123">
        <v>-613753.96</v>
      </c>
      <c r="N24" s="123">
        <v>-297023.26</v>
      </c>
      <c r="O24" s="123">
        <v>-180030.63</v>
      </c>
      <c r="P24" s="123">
        <v>-49358.68</v>
      </c>
      <c r="Q24" s="124"/>
      <c r="R24" s="125">
        <v>-4058167.01</v>
      </c>
    </row>
    <row r="25" spans="1:18" s="147" customFormat="1" ht="17.25" customHeight="1" thickBot="1" x14ac:dyDescent="0.4">
      <c r="A25" s="154"/>
      <c r="B25" s="155" t="s">
        <v>25</v>
      </c>
      <c r="C25" s="156"/>
      <c r="D25" s="156"/>
      <c r="E25" s="156"/>
      <c r="F25" s="157"/>
      <c r="G25" s="128">
        <v>399937.05</v>
      </c>
      <c r="H25" s="128">
        <v>73812.91</v>
      </c>
      <c r="I25" s="128">
        <v>711377.51</v>
      </c>
      <c r="J25" s="128">
        <v>801032.54</v>
      </c>
      <c r="K25" s="128">
        <v>451787.91</v>
      </c>
      <c r="L25" s="128">
        <v>781242.15</v>
      </c>
      <c r="M25" s="128">
        <v>741302.93</v>
      </c>
      <c r="N25" s="128">
        <v>374288.23</v>
      </c>
      <c r="O25" s="128">
        <v>251237.22</v>
      </c>
      <c r="P25" s="128">
        <v>152716.20000000001</v>
      </c>
      <c r="Q25" s="128">
        <v>166397.67000000001</v>
      </c>
      <c r="R25" s="128">
        <v>4905132.32</v>
      </c>
    </row>
    <row r="26" spans="1:18" s="147" customFormat="1" ht="17.25" customHeight="1" thickBot="1" x14ac:dyDescent="0.4">
      <c r="A26" s="152" t="s">
        <v>3</v>
      </c>
      <c r="B26" s="152" t="s">
        <v>131</v>
      </c>
      <c r="C26" s="152" t="s">
        <v>103</v>
      </c>
      <c r="D26" s="152" t="s">
        <v>102</v>
      </c>
      <c r="E26" s="152" t="s">
        <v>13</v>
      </c>
      <c r="F26" s="145" t="s">
        <v>90</v>
      </c>
      <c r="G26" s="124"/>
      <c r="H26" s="123">
        <v>179.2</v>
      </c>
      <c r="I26" s="124"/>
      <c r="J26" s="124"/>
      <c r="K26" s="124"/>
      <c r="L26" s="124"/>
      <c r="M26" s="124"/>
      <c r="N26" s="124"/>
      <c r="O26" s="124"/>
      <c r="P26" s="123">
        <v>82.49</v>
      </c>
      <c r="Q26" s="124"/>
      <c r="R26" s="125">
        <v>261.69</v>
      </c>
    </row>
    <row r="27" spans="1:18" s="147" customFormat="1" ht="17.25" customHeight="1" thickBot="1" x14ac:dyDescent="0.4">
      <c r="A27" s="153"/>
      <c r="B27" s="153"/>
      <c r="C27" s="153"/>
      <c r="D27" s="153"/>
      <c r="E27" s="154"/>
      <c r="F27" s="145" t="s">
        <v>14</v>
      </c>
      <c r="G27" s="124"/>
      <c r="H27" s="123">
        <v>16.38</v>
      </c>
      <c r="I27" s="124"/>
      <c r="J27" s="124"/>
      <c r="K27" s="124"/>
      <c r="L27" s="124"/>
      <c r="M27" s="124"/>
      <c r="N27" s="124"/>
      <c r="O27" s="124"/>
      <c r="P27" s="124"/>
      <c r="Q27" s="124"/>
      <c r="R27" s="125">
        <v>16.38</v>
      </c>
    </row>
    <row r="28" spans="1:18" s="147" customFormat="1" ht="17.25" customHeight="1" thickBot="1" x14ac:dyDescent="0.4">
      <c r="A28" s="153"/>
      <c r="B28" s="153"/>
      <c r="C28" s="154"/>
      <c r="D28" s="154"/>
      <c r="E28" s="145" t="s">
        <v>12</v>
      </c>
      <c r="F28" s="145" t="s">
        <v>182</v>
      </c>
      <c r="G28" s="124"/>
      <c r="H28" s="124"/>
      <c r="I28" s="124"/>
      <c r="J28" s="124"/>
      <c r="K28" s="124"/>
      <c r="L28" s="126">
        <v>199</v>
      </c>
      <c r="M28" s="124"/>
      <c r="N28" s="124"/>
      <c r="O28" s="124"/>
      <c r="P28" s="124"/>
      <c r="Q28" s="124"/>
      <c r="R28" s="127">
        <v>199</v>
      </c>
    </row>
    <row r="29" spans="1:18" s="147" customFormat="1" ht="17.25" customHeight="1" thickBot="1" x14ac:dyDescent="0.4">
      <c r="A29" s="153"/>
      <c r="B29" s="153"/>
      <c r="C29" s="152" t="s">
        <v>18</v>
      </c>
      <c r="D29" s="152" t="s">
        <v>19</v>
      </c>
      <c r="E29" s="152" t="s">
        <v>13</v>
      </c>
      <c r="F29" s="145" t="s">
        <v>192</v>
      </c>
      <c r="G29" s="124"/>
      <c r="H29" s="124"/>
      <c r="I29" s="124"/>
      <c r="J29" s="124"/>
      <c r="K29" s="124"/>
      <c r="L29" s="124"/>
      <c r="M29" s="124"/>
      <c r="N29" s="124"/>
      <c r="O29" s="124"/>
      <c r="P29" s="123">
        <v>357.97</v>
      </c>
      <c r="Q29" s="124"/>
      <c r="R29" s="125">
        <v>357.97</v>
      </c>
    </row>
    <row r="30" spans="1:18" s="147" customFormat="1" ht="17.25" customHeight="1" thickBot="1" x14ac:dyDescent="0.4">
      <c r="A30" s="153"/>
      <c r="B30" s="153"/>
      <c r="C30" s="153"/>
      <c r="D30" s="153"/>
      <c r="E30" s="153"/>
      <c r="F30" s="145" t="s">
        <v>90</v>
      </c>
      <c r="G30" s="123">
        <v>201.6</v>
      </c>
      <c r="H30" s="124"/>
      <c r="I30" s="124"/>
      <c r="J30" s="124"/>
      <c r="K30" s="124"/>
      <c r="L30" s="124"/>
      <c r="M30" s="123">
        <v>231.08</v>
      </c>
      <c r="N30" s="124"/>
      <c r="O30" s="123">
        <v>701.42</v>
      </c>
      <c r="P30" s="123">
        <v>155.61000000000001</v>
      </c>
      <c r="Q30" s="124"/>
      <c r="R30" s="125">
        <v>1289.71</v>
      </c>
    </row>
    <row r="31" spans="1:18" s="147" customFormat="1" ht="17.25" customHeight="1" thickBot="1" x14ac:dyDescent="0.4">
      <c r="A31" s="153"/>
      <c r="B31" s="153"/>
      <c r="C31" s="153"/>
      <c r="D31" s="153"/>
      <c r="E31" s="153"/>
      <c r="F31" s="145" t="s">
        <v>14</v>
      </c>
      <c r="G31" s="124"/>
      <c r="H31" s="123">
        <v>106.83</v>
      </c>
      <c r="I31" s="124"/>
      <c r="J31" s="123">
        <v>227.95</v>
      </c>
      <c r="K31" s="124"/>
      <c r="L31" s="124"/>
      <c r="M31" s="123">
        <v>259.75</v>
      </c>
      <c r="N31" s="124"/>
      <c r="O31" s="123">
        <v>243.83</v>
      </c>
      <c r="P31" s="123">
        <v>559.11</v>
      </c>
      <c r="Q31" s="123">
        <v>224.62</v>
      </c>
      <c r="R31" s="125">
        <v>1622.09</v>
      </c>
    </row>
    <row r="32" spans="1:18" s="147" customFormat="1" ht="17.25" customHeight="1" thickBot="1" x14ac:dyDescent="0.4">
      <c r="A32" s="153"/>
      <c r="B32" s="153"/>
      <c r="C32" s="153"/>
      <c r="D32" s="153"/>
      <c r="E32" s="153"/>
      <c r="F32" s="145" t="s">
        <v>176</v>
      </c>
      <c r="G32" s="124"/>
      <c r="H32" s="124"/>
      <c r="I32" s="124"/>
      <c r="J32" s="124"/>
      <c r="K32" s="126">
        <v>199</v>
      </c>
      <c r="L32" s="124"/>
      <c r="M32" s="124"/>
      <c r="N32" s="124"/>
      <c r="O32" s="124"/>
      <c r="P32" s="124"/>
      <c r="Q32" s="124"/>
      <c r="R32" s="127">
        <v>199</v>
      </c>
    </row>
    <row r="33" spans="1:18" s="147" customFormat="1" ht="17.25" customHeight="1" thickBot="1" x14ac:dyDescent="0.4">
      <c r="A33" s="153"/>
      <c r="B33" s="153"/>
      <c r="C33" s="153"/>
      <c r="D33" s="153"/>
      <c r="E33" s="153"/>
      <c r="F33" s="145" t="s">
        <v>93</v>
      </c>
      <c r="G33" s="123">
        <v>100.31</v>
      </c>
      <c r="H33" s="124"/>
      <c r="I33" s="124"/>
      <c r="J33" s="124"/>
      <c r="K33" s="124"/>
      <c r="L33" s="124"/>
      <c r="M33" s="124"/>
      <c r="N33" s="124"/>
      <c r="O33" s="124"/>
      <c r="P33" s="124"/>
      <c r="Q33" s="123">
        <v>1653.2</v>
      </c>
      <c r="R33" s="125">
        <v>1753.51</v>
      </c>
    </row>
    <row r="34" spans="1:18" s="147" customFormat="1" ht="17.25" customHeight="1" thickBot="1" x14ac:dyDescent="0.4">
      <c r="A34" s="153"/>
      <c r="B34" s="153"/>
      <c r="C34" s="153"/>
      <c r="D34" s="153"/>
      <c r="E34" s="154"/>
      <c r="F34" s="145" t="s">
        <v>193</v>
      </c>
      <c r="G34" s="124"/>
      <c r="H34" s="124"/>
      <c r="I34" s="124"/>
      <c r="J34" s="124"/>
      <c r="K34" s="124"/>
      <c r="L34" s="124"/>
      <c r="M34" s="124"/>
      <c r="N34" s="124"/>
      <c r="O34" s="124"/>
      <c r="P34" s="123">
        <v>129.06</v>
      </c>
      <c r="Q34" s="124"/>
      <c r="R34" s="125">
        <v>129.06</v>
      </c>
    </row>
    <row r="35" spans="1:18" s="147" customFormat="1" ht="17.25" customHeight="1" thickBot="1" x14ac:dyDescent="0.4">
      <c r="A35" s="153"/>
      <c r="B35" s="153"/>
      <c r="C35" s="153"/>
      <c r="D35" s="153"/>
      <c r="E35" s="145" t="s">
        <v>125</v>
      </c>
      <c r="F35" s="145" t="s">
        <v>126</v>
      </c>
      <c r="G35" s="124"/>
      <c r="H35" s="124"/>
      <c r="I35" s="124"/>
      <c r="J35" s="124"/>
      <c r="K35" s="124"/>
      <c r="L35" s="123">
        <v>64.150000000000006</v>
      </c>
      <c r="M35" s="124"/>
      <c r="N35" s="124"/>
      <c r="O35" s="124"/>
      <c r="P35" s="124"/>
      <c r="Q35" s="123">
        <v>27.77</v>
      </c>
      <c r="R35" s="125">
        <v>91.92</v>
      </c>
    </row>
    <row r="36" spans="1:18" s="147" customFormat="1" ht="17.25" customHeight="1" thickBot="1" x14ac:dyDescent="0.4">
      <c r="A36" s="153"/>
      <c r="B36" s="153"/>
      <c r="C36" s="153"/>
      <c r="D36" s="153"/>
      <c r="E36" s="152" t="s">
        <v>12</v>
      </c>
      <c r="F36" s="145" t="s">
        <v>123</v>
      </c>
      <c r="G36" s="124"/>
      <c r="H36" s="124"/>
      <c r="I36" s="126">
        <v>50</v>
      </c>
      <c r="J36" s="124"/>
      <c r="K36" s="124"/>
      <c r="L36" s="124"/>
      <c r="M36" s="124"/>
      <c r="N36" s="124"/>
      <c r="O36" s="124"/>
      <c r="P36" s="124"/>
      <c r="Q36" s="123">
        <v>40.229999999999997</v>
      </c>
      <c r="R36" s="125">
        <v>90.23</v>
      </c>
    </row>
    <row r="37" spans="1:18" s="147" customFormat="1" ht="17.25" customHeight="1" thickBot="1" x14ac:dyDescent="0.4">
      <c r="A37" s="153"/>
      <c r="B37" s="153"/>
      <c r="C37" s="153"/>
      <c r="D37" s="153"/>
      <c r="E37" s="153"/>
      <c r="F37" s="145" t="s">
        <v>182</v>
      </c>
      <c r="G37" s="124"/>
      <c r="H37" s="124"/>
      <c r="I37" s="124"/>
      <c r="J37" s="124"/>
      <c r="K37" s="124"/>
      <c r="L37" s="126">
        <v>398</v>
      </c>
      <c r="M37" s="124"/>
      <c r="N37" s="124"/>
      <c r="O37" s="124"/>
      <c r="P37" s="124"/>
      <c r="Q37" s="124"/>
      <c r="R37" s="127">
        <v>398</v>
      </c>
    </row>
    <row r="38" spans="1:18" s="147" customFormat="1" ht="17.25" customHeight="1" thickBot="1" x14ac:dyDescent="0.4">
      <c r="A38" s="153"/>
      <c r="B38" s="153"/>
      <c r="C38" s="153"/>
      <c r="D38" s="153"/>
      <c r="E38" s="153"/>
      <c r="F38" s="145" t="s">
        <v>195</v>
      </c>
      <c r="G38" s="124"/>
      <c r="H38" s="124"/>
      <c r="I38" s="124"/>
      <c r="J38" s="124"/>
      <c r="K38" s="124"/>
      <c r="L38" s="124"/>
      <c r="M38" s="124"/>
      <c r="N38" s="124"/>
      <c r="O38" s="124"/>
      <c r="P38" s="124"/>
      <c r="Q38" s="126">
        <v>860</v>
      </c>
      <c r="R38" s="127">
        <v>860</v>
      </c>
    </row>
    <row r="39" spans="1:18" s="147" customFormat="1" ht="17.25" customHeight="1" thickBot="1" x14ac:dyDescent="0.4">
      <c r="A39" s="153"/>
      <c r="B39" s="153"/>
      <c r="C39" s="154"/>
      <c r="D39" s="154"/>
      <c r="E39" s="154"/>
      <c r="F39" s="145" t="s">
        <v>183</v>
      </c>
      <c r="G39" s="124"/>
      <c r="H39" s="124"/>
      <c r="I39" s="124"/>
      <c r="J39" s="124"/>
      <c r="K39" s="124"/>
      <c r="L39" s="123">
        <v>763.65</v>
      </c>
      <c r="M39" s="124"/>
      <c r="N39" s="124"/>
      <c r="O39" s="124"/>
      <c r="P39" s="124"/>
      <c r="Q39" s="123">
        <v>255.94</v>
      </c>
      <c r="R39" s="125">
        <v>1019.59</v>
      </c>
    </row>
    <row r="40" spans="1:18" s="147" customFormat="1" ht="17.25" customHeight="1" thickBot="1" x14ac:dyDescent="0.4">
      <c r="A40" s="153"/>
      <c r="B40" s="153"/>
      <c r="C40" s="152" t="s">
        <v>15</v>
      </c>
      <c r="D40" s="152" t="s">
        <v>16</v>
      </c>
      <c r="E40" s="145" t="s">
        <v>6</v>
      </c>
      <c r="F40" s="145" t="s">
        <v>7</v>
      </c>
      <c r="G40" s="124"/>
      <c r="H40" s="123">
        <v>72662.679999999993</v>
      </c>
      <c r="I40" s="124"/>
      <c r="J40" s="124"/>
      <c r="K40" s="124"/>
      <c r="L40" s="124"/>
      <c r="M40" s="124"/>
      <c r="N40" s="123">
        <v>96206.73</v>
      </c>
      <c r="O40" s="123">
        <v>104029.37</v>
      </c>
      <c r="P40" s="123">
        <v>2529.04</v>
      </c>
      <c r="Q40" s="124"/>
      <c r="R40" s="125">
        <v>275427.82</v>
      </c>
    </row>
    <row r="41" spans="1:18" s="147" customFormat="1" ht="17.25" customHeight="1" thickBot="1" x14ac:dyDescent="0.4">
      <c r="A41" s="153"/>
      <c r="B41" s="153"/>
      <c r="C41" s="153"/>
      <c r="D41" s="153"/>
      <c r="E41" s="145" t="s">
        <v>125</v>
      </c>
      <c r="F41" s="145" t="s">
        <v>126</v>
      </c>
      <c r="G41" s="124"/>
      <c r="H41" s="124"/>
      <c r="I41" s="124"/>
      <c r="J41" s="124"/>
      <c r="K41" s="124"/>
      <c r="L41" s="123">
        <v>31322.84</v>
      </c>
      <c r="M41" s="124"/>
      <c r="N41" s="124"/>
      <c r="O41" s="124"/>
      <c r="P41" s="124"/>
      <c r="Q41" s="124"/>
      <c r="R41" s="125">
        <v>31322.84</v>
      </c>
    </row>
    <row r="42" spans="1:18" s="147" customFormat="1" ht="17.25" customHeight="1" thickBot="1" x14ac:dyDescent="0.4">
      <c r="A42" s="153"/>
      <c r="B42" s="153"/>
      <c r="C42" s="153"/>
      <c r="D42" s="153"/>
      <c r="E42" s="152" t="s">
        <v>88</v>
      </c>
      <c r="F42" s="145" t="s">
        <v>89</v>
      </c>
      <c r="G42" s="123">
        <v>1362.6</v>
      </c>
      <c r="H42" s="124"/>
      <c r="I42" s="124"/>
      <c r="J42" s="123">
        <v>2725.2</v>
      </c>
      <c r="K42" s="123">
        <v>1362.6</v>
      </c>
      <c r="L42" s="123">
        <v>1122.1400000000001</v>
      </c>
      <c r="M42" s="123">
        <v>2484.7399999999998</v>
      </c>
      <c r="N42" s="124"/>
      <c r="O42" s="124"/>
      <c r="P42" s="123">
        <v>4109.7299999999996</v>
      </c>
      <c r="Q42" s="124"/>
      <c r="R42" s="125">
        <v>13167.01</v>
      </c>
    </row>
    <row r="43" spans="1:18" s="147" customFormat="1" ht="17.25" customHeight="1" thickBot="1" x14ac:dyDescent="0.4">
      <c r="A43" s="153"/>
      <c r="B43" s="153"/>
      <c r="C43" s="153"/>
      <c r="D43" s="153"/>
      <c r="E43" s="154"/>
      <c r="F43" s="145" t="s">
        <v>196</v>
      </c>
      <c r="G43" s="124"/>
      <c r="H43" s="124"/>
      <c r="I43" s="124"/>
      <c r="J43" s="124"/>
      <c r="K43" s="124"/>
      <c r="L43" s="124"/>
      <c r="M43" s="124"/>
      <c r="N43" s="124"/>
      <c r="O43" s="124"/>
      <c r="P43" s="124"/>
      <c r="Q43" s="123">
        <v>108.86</v>
      </c>
      <c r="R43" s="125">
        <v>108.86</v>
      </c>
    </row>
    <row r="44" spans="1:18" s="147" customFormat="1" ht="17.25" customHeight="1" thickBot="1" x14ac:dyDescent="0.4">
      <c r="A44" s="153"/>
      <c r="B44" s="153"/>
      <c r="C44" s="154"/>
      <c r="D44" s="154"/>
      <c r="E44" s="145" t="s">
        <v>12</v>
      </c>
      <c r="F44" s="145" t="s">
        <v>124</v>
      </c>
      <c r="G44" s="124"/>
      <c r="H44" s="124"/>
      <c r="I44" s="124"/>
      <c r="J44" s="124"/>
      <c r="K44" s="126">
        <v>341250</v>
      </c>
      <c r="L44" s="123">
        <v>31640.95</v>
      </c>
      <c r="M44" s="124"/>
      <c r="N44" s="124"/>
      <c r="O44" s="124"/>
      <c r="P44" s="124"/>
      <c r="Q44" s="124"/>
      <c r="R44" s="125">
        <v>372890.95</v>
      </c>
    </row>
    <row r="45" spans="1:18" s="147" customFormat="1" ht="17.25" customHeight="1" thickBot="1" x14ac:dyDescent="0.4">
      <c r="A45" s="153"/>
      <c r="B45" s="153"/>
      <c r="C45" s="152" t="s">
        <v>4</v>
      </c>
      <c r="D45" s="152" t="s">
        <v>5</v>
      </c>
      <c r="E45" s="152" t="s">
        <v>6</v>
      </c>
      <c r="F45" s="145" t="s">
        <v>7</v>
      </c>
      <c r="G45" s="123">
        <v>-45000.74</v>
      </c>
      <c r="H45" s="124"/>
      <c r="I45" s="124"/>
      <c r="J45" s="124"/>
      <c r="K45" s="124"/>
      <c r="L45" s="124"/>
      <c r="M45" s="124"/>
      <c r="N45" s="124"/>
      <c r="O45" s="124"/>
      <c r="P45" s="124"/>
      <c r="Q45" s="124"/>
      <c r="R45" s="125">
        <v>-45000.74</v>
      </c>
    </row>
    <row r="46" spans="1:18" s="147" customFormat="1" ht="17.25" customHeight="1" thickBot="1" x14ac:dyDescent="0.4">
      <c r="A46" s="153"/>
      <c r="B46" s="153"/>
      <c r="C46" s="153"/>
      <c r="D46" s="153"/>
      <c r="E46" s="154"/>
      <c r="F46" s="145" t="s">
        <v>9</v>
      </c>
      <c r="G46" s="123">
        <v>229983.05</v>
      </c>
      <c r="H46" s="124"/>
      <c r="I46" s="124"/>
      <c r="J46" s="124"/>
      <c r="K46" s="124"/>
      <c r="L46" s="124"/>
      <c r="M46" s="124"/>
      <c r="N46" s="124"/>
      <c r="O46" s="124"/>
      <c r="P46" s="124"/>
      <c r="Q46" s="124"/>
      <c r="R46" s="125">
        <v>229983.05</v>
      </c>
    </row>
    <row r="47" spans="1:18" s="147" customFormat="1" ht="17.25" customHeight="1" thickBot="1" x14ac:dyDescent="0.4">
      <c r="A47" s="153"/>
      <c r="B47" s="153"/>
      <c r="C47" s="153"/>
      <c r="D47" s="153"/>
      <c r="E47" s="145" t="s">
        <v>132</v>
      </c>
      <c r="F47" s="145" t="s">
        <v>133</v>
      </c>
      <c r="G47" s="124"/>
      <c r="H47" s="124"/>
      <c r="I47" s="124"/>
      <c r="J47" s="124"/>
      <c r="K47" s="124"/>
      <c r="L47" s="124"/>
      <c r="M47" s="124"/>
      <c r="N47" s="123">
        <v>433.1</v>
      </c>
      <c r="O47" s="124"/>
      <c r="P47" s="124"/>
      <c r="Q47" s="124"/>
      <c r="R47" s="125">
        <v>433.1</v>
      </c>
    </row>
    <row r="48" spans="1:18" s="147" customFormat="1" ht="17.25" customHeight="1" thickBot="1" x14ac:dyDescent="0.4">
      <c r="A48" s="153"/>
      <c r="B48" s="153"/>
      <c r="C48" s="153"/>
      <c r="D48" s="153"/>
      <c r="E48" s="152" t="s">
        <v>125</v>
      </c>
      <c r="F48" s="145" t="s">
        <v>186</v>
      </c>
      <c r="G48" s="124"/>
      <c r="H48" s="124"/>
      <c r="I48" s="124"/>
      <c r="J48" s="124"/>
      <c r="K48" s="124"/>
      <c r="L48" s="124"/>
      <c r="M48" s="124"/>
      <c r="N48" s="123">
        <v>193.64</v>
      </c>
      <c r="O48" s="124"/>
      <c r="P48" s="124"/>
      <c r="Q48" s="124"/>
      <c r="R48" s="125">
        <v>193.64</v>
      </c>
    </row>
    <row r="49" spans="1:18" s="147" customFormat="1" ht="17.25" customHeight="1" thickBot="1" x14ac:dyDescent="0.4">
      <c r="A49" s="153"/>
      <c r="B49" s="153"/>
      <c r="C49" s="153"/>
      <c r="D49" s="153"/>
      <c r="E49" s="153"/>
      <c r="F49" s="145" t="s">
        <v>126</v>
      </c>
      <c r="G49" s="124"/>
      <c r="H49" s="124"/>
      <c r="I49" s="123">
        <v>183.47</v>
      </c>
      <c r="J49" s="124"/>
      <c r="K49" s="124"/>
      <c r="L49" s="124"/>
      <c r="M49" s="124"/>
      <c r="N49" s="123">
        <v>36.39</v>
      </c>
      <c r="O49" s="124"/>
      <c r="P49" s="124"/>
      <c r="Q49" s="124"/>
      <c r="R49" s="125">
        <v>219.86</v>
      </c>
    </row>
    <row r="50" spans="1:18" s="147" customFormat="1" ht="17.25" customHeight="1" thickBot="1" x14ac:dyDescent="0.4">
      <c r="A50" s="153"/>
      <c r="B50" s="153"/>
      <c r="C50" s="153"/>
      <c r="D50" s="153"/>
      <c r="E50" s="154"/>
      <c r="F50" s="145" t="s">
        <v>168</v>
      </c>
      <c r="G50" s="124"/>
      <c r="H50" s="124"/>
      <c r="I50" s="124"/>
      <c r="J50" s="124"/>
      <c r="K50" s="124"/>
      <c r="L50" s="124"/>
      <c r="M50" s="124"/>
      <c r="N50" s="123">
        <v>15.58</v>
      </c>
      <c r="O50" s="124"/>
      <c r="P50" s="124"/>
      <c r="Q50" s="124"/>
      <c r="R50" s="125">
        <v>15.58</v>
      </c>
    </row>
    <row r="51" spans="1:18" s="147" customFormat="1" ht="17.25" customHeight="1" thickBot="1" x14ac:dyDescent="0.4">
      <c r="A51" s="153"/>
      <c r="B51" s="153"/>
      <c r="C51" s="153"/>
      <c r="D51" s="153"/>
      <c r="E51" s="152" t="s">
        <v>187</v>
      </c>
      <c r="F51" s="145" t="s">
        <v>188</v>
      </c>
      <c r="G51" s="124"/>
      <c r="H51" s="124"/>
      <c r="I51" s="124"/>
      <c r="J51" s="124"/>
      <c r="K51" s="124"/>
      <c r="L51" s="124"/>
      <c r="M51" s="124"/>
      <c r="N51" s="123">
        <v>218.55</v>
      </c>
      <c r="O51" s="124"/>
      <c r="P51" s="124"/>
      <c r="Q51" s="124"/>
      <c r="R51" s="125">
        <v>218.55</v>
      </c>
    </row>
    <row r="52" spans="1:18" s="147" customFormat="1" ht="17.25" customHeight="1" thickBot="1" x14ac:dyDescent="0.4">
      <c r="A52" s="153"/>
      <c r="B52" s="153"/>
      <c r="C52" s="153"/>
      <c r="D52" s="153"/>
      <c r="E52" s="154"/>
      <c r="F52" s="145" t="s">
        <v>189</v>
      </c>
      <c r="G52" s="124"/>
      <c r="H52" s="124"/>
      <c r="I52" s="124"/>
      <c r="J52" s="124"/>
      <c r="K52" s="124"/>
      <c r="L52" s="124"/>
      <c r="M52" s="124"/>
      <c r="N52" s="123">
        <v>1954.35</v>
      </c>
      <c r="O52" s="124"/>
      <c r="P52" s="124"/>
      <c r="Q52" s="124"/>
      <c r="R52" s="125">
        <v>1954.35</v>
      </c>
    </row>
    <row r="53" spans="1:18" s="147" customFormat="1" ht="17.25" customHeight="1" thickBot="1" x14ac:dyDescent="0.4">
      <c r="A53" s="153"/>
      <c r="B53" s="153"/>
      <c r="C53" s="154"/>
      <c r="D53" s="154"/>
      <c r="E53" s="145" t="s">
        <v>12</v>
      </c>
      <c r="F53" s="145" t="s">
        <v>124</v>
      </c>
      <c r="G53" s="124"/>
      <c r="H53" s="124"/>
      <c r="I53" s="123">
        <v>2620.84</v>
      </c>
      <c r="J53" s="124"/>
      <c r="K53" s="124"/>
      <c r="L53" s="124"/>
      <c r="M53" s="124"/>
      <c r="N53" s="124"/>
      <c r="O53" s="124"/>
      <c r="P53" s="124"/>
      <c r="Q53" s="124"/>
      <c r="R53" s="125">
        <v>2620.84</v>
      </c>
    </row>
    <row r="54" spans="1:18" s="147" customFormat="1" ht="17.25" customHeight="1" thickBot="1" x14ac:dyDescent="0.4">
      <c r="A54" s="153"/>
      <c r="B54" s="153"/>
      <c r="C54" s="145" t="s">
        <v>135</v>
      </c>
      <c r="D54" s="145" t="s">
        <v>136</v>
      </c>
      <c r="E54" s="145" t="s">
        <v>6</v>
      </c>
      <c r="F54" s="145" t="s">
        <v>9</v>
      </c>
      <c r="G54" s="124"/>
      <c r="H54" s="124"/>
      <c r="I54" s="124"/>
      <c r="J54" s="123">
        <v>513136.76</v>
      </c>
      <c r="K54" s="123">
        <v>-37348.5</v>
      </c>
      <c r="L54" s="123">
        <v>131803.5</v>
      </c>
      <c r="M54" s="124"/>
      <c r="N54" s="124"/>
      <c r="O54" s="124"/>
      <c r="P54" s="124"/>
      <c r="Q54" s="124"/>
      <c r="R54" s="125">
        <v>607591.76</v>
      </c>
    </row>
    <row r="55" spans="1:18" s="147" customFormat="1" ht="17.25" customHeight="1" thickBot="1" x14ac:dyDescent="0.4">
      <c r="A55" s="153"/>
      <c r="B55" s="153"/>
      <c r="C55" s="152" t="s">
        <v>1</v>
      </c>
      <c r="D55" s="152" t="s">
        <v>2</v>
      </c>
      <c r="E55" s="152" t="s">
        <v>6</v>
      </c>
      <c r="F55" s="145" t="s">
        <v>7</v>
      </c>
      <c r="G55" s="123">
        <v>-45000.72</v>
      </c>
      <c r="H55" s="124"/>
      <c r="I55" s="124"/>
      <c r="J55" s="124"/>
      <c r="K55" s="124"/>
      <c r="L55" s="124"/>
      <c r="M55" s="124"/>
      <c r="N55" s="124"/>
      <c r="O55" s="124"/>
      <c r="P55" s="124"/>
      <c r="Q55" s="124"/>
      <c r="R55" s="125">
        <v>-45000.72</v>
      </c>
    </row>
    <row r="56" spans="1:18" s="147" customFormat="1" ht="17.25" customHeight="1" thickBot="1" x14ac:dyDescent="0.4">
      <c r="A56" s="153"/>
      <c r="B56" s="153"/>
      <c r="C56" s="153"/>
      <c r="D56" s="153"/>
      <c r="E56" s="154"/>
      <c r="F56" s="145" t="s">
        <v>9</v>
      </c>
      <c r="G56" s="123">
        <v>153322.04999999999</v>
      </c>
      <c r="H56" s="124"/>
      <c r="I56" s="124"/>
      <c r="J56" s="124"/>
      <c r="K56" s="124"/>
      <c r="L56" s="124"/>
      <c r="M56" s="124"/>
      <c r="N56" s="124"/>
      <c r="O56" s="124"/>
      <c r="P56" s="124"/>
      <c r="Q56" s="124"/>
      <c r="R56" s="125">
        <v>153322.04999999999</v>
      </c>
    </row>
    <row r="57" spans="1:18" s="147" customFormat="1" ht="17.25" customHeight="1" thickBot="1" x14ac:dyDescent="0.4">
      <c r="A57" s="153"/>
      <c r="B57" s="154"/>
      <c r="C57" s="154"/>
      <c r="D57" s="154"/>
      <c r="E57" s="145" t="s">
        <v>13</v>
      </c>
      <c r="F57" s="145" t="s">
        <v>93</v>
      </c>
      <c r="G57" s="124"/>
      <c r="H57" s="123">
        <v>114.48</v>
      </c>
      <c r="I57" s="124"/>
      <c r="J57" s="124"/>
      <c r="K57" s="124"/>
      <c r="L57" s="124"/>
      <c r="M57" s="124"/>
      <c r="N57" s="124"/>
      <c r="O57" s="124"/>
      <c r="P57" s="124"/>
      <c r="Q57" s="124"/>
      <c r="R57" s="125">
        <v>114.48</v>
      </c>
    </row>
    <row r="58" spans="1:18" s="147" customFormat="1" ht="17.25" customHeight="1" thickBot="1" x14ac:dyDescent="0.4">
      <c r="A58" s="154"/>
      <c r="B58" s="155" t="s">
        <v>25</v>
      </c>
      <c r="C58" s="156"/>
      <c r="D58" s="156"/>
      <c r="E58" s="156"/>
      <c r="F58" s="157"/>
      <c r="G58" s="128">
        <v>294968.15000000002</v>
      </c>
      <c r="H58" s="128">
        <v>73079.570000000007</v>
      </c>
      <c r="I58" s="128">
        <v>2854.31</v>
      </c>
      <c r="J58" s="128">
        <v>516089.91</v>
      </c>
      <c r="K58" s="128">
        <v>305463.09999999998</v>
      </c>
      <c r="L58" s="128">
        <v>197314.23</v>
      </c>
      <c r="M58" s="128">
        <v>2975.57</v>
      </c>
      <c r="N58" s="128">
        <v>99058.34</v>
      </c>
      <c r="O58" s="128">
        <v>104974.62</v>
      </c>
      <c r="P58" s="128">
        <v>7923.01</v>
      </c>
      <c r="Q58" s="128">
        <v>3170.62</v>
      </c>
      <c r="R58" s="128">
        <v>1607871.43</v>
      </c>
    </row>
    <row r="59" spans="1:18" s="147" customFormat="1" ht="17.25" customHeight="1" thickBot="1" x14ac:dyDescent="0.4">
      <c r="A59" s="159" t="s">
        <v>25</v>
      </c>
      <c r="B59" s="160"/>
      <c r="C59" s="160"/>
      <c r="D59" s="160"/>
      <c r="E59" s="160"/>
      <c r="F59" s="161"/>
      <c r="G59" s="125">
        <v>853905.91</v>
      </c>
      <c r="H59" s="125">
        <v>291425.40999999997</v>
      </c>
      <c r="I59" s="125">
        <v>881578.9</v>
      </c>
      <c r="J59" s="125">
        <v>2044360.34</v>
      </c>
      <c r="K59" s="125">
        <v>914745.65</v>
      </c>
      <c r="L59" s="125">
        <v>1729684.69</v>
      </c>
      <c r="M59" s="125">
        <v>1723253.04</v>
      </c>
      <c r="N59" s="125">
        <v>1369366.81</v>
      </c>
      <c r="O59" s="125">
        <v>1180192.3600000001</v>
      </c>
      <c r="P59" s="125">
        <v>1052528.6299999999</v>
      </c>
      <c r="Q59" s="125">
        <v>1082593.46</v>
      </c>
      <c r="R59" s="125">
        <v>13123635.199999999</v>
      </c>
    </row>
    <row r="61" spans="1:18" ht="12.75" customHeight="1" x14ac:dyDescent="0.35">
      <c r="F61" s="68" t="s">
        <v>58</v>
      </c>
      <c r="G61" s="1">
        <f>ROUND(G58*'PT Ratio with 2020 Data'!$E$35,2)</f>
        <v>101646.02</v>
      </c>
      <c r="H61" s="1">
        <f>ROUND(H58*'PT Ratio with 2020 Data'!$E$35,2)</f>
        <v>25183.22</v>
      </c>
      <c r="I61" s="1">
        <f>ROUND(I58*'PT Ratio with 2020 Data'!$E$35,2)</f>
        <v>983.6</v>
      </c>
      <c r="J61" s="1">
        <f>ROUND(J58*'PT Ratio with 2020 Data'!$E$35,2)</f>
        <v>177844.58</v>
      </c>
      <c r="K61" s="1">
        <f>ROUND(K58*'PT Ratio with 2021 Data'!$E$35,2)</f>
        <v>105293.13</v>
      </c>
      <c r="L61" s="1">
        <f>ROUND(L58*'PT Ratio with 2021 Data'!$E$35,2)</f>
        <v>68014.22</v>
      </c>
      <c r="M61" s="1">
        <f>ROUND(M58*'PT Ratio with 2021 Data'!$E$35,2)</f>
        <v>1025.68</v>
      </c>
      <c r="N61" s="1">
        <f>ROUND(N58*'PT Ratio with 2021 Data'!$E$35,2)</f>
        <v>34145.410000000003</v>
      </c>
      <c r="O61" s="1">
        <f>ROUND(O58*'PT Ratio with 2021 Data'!$E$35,2)</f>
        <v>36184.75</v>
      </c>
      <c r="P61" s="1">
        <f>ROUND(P58*'PT Ratio with 2021 Data'!$E$35,2)</f>
        <v>2731.06</v>
      </c>
      <c r="Q61" s="1">
        <f>ROUND(Q58*'PT Ratio with 2021 Data'!$E$35,2)</f>
        <v>1092.9100000000001</v>
      </c>
      <c r="R61" s="18">
        <f>SUM(G61:Q61)</f>
        <v>554144.58000000007</v>
      </c>
    </row>
    <row r="62" spans="1:18" ht="12.75" customHeight="1" thickBot="1" x14ac:dyDescent="0.4">
      <c r="F62" s="68" t="s">
        <v>101</v>
      </c>
      <c r="G62" s="67">
        <f t="shared" ref="G62:P62" si="0">G25+G61</f>
        <v>501583.07</v>
      </c>
      <c r="H62" s="67">
        <f t="shared" si="0"/>
        <v>98996.13</v>
      </c>
      <c r="I62" s="67">
        <f t="shared" si="0"/>
        <v>712361.11</v>
      </c>
      <c r="J62" s="67">
        <f t="shared" si="0"/>
        <v>978877.12</v>
      </c>
      <c r="K62" s="67">
        <f t="shared" si="0"/>
        <v>557081.04</v>
      </c>
      <c r="L62" s="67">
        <f t="shared" si="0"/>
        <v>849256.37</v>
      </c>
      <c r="M62" s="67">
        <f t="shared" si="0"/>
        <v>742328.6100000001</v>
      </c>
      <c r="N62" s="140">
        <f t="shared" si="0"/>
        <v>408433.64</v>
      </c>
      <c r="O62" s="140">
        <f t="shared" si="0"/>
        <v>287421.96999999997</v>
      </c>
      <c r="P62" s="140">
        <f t="shared" si="0"/>
        <v>155447.26</v>
      </c>
      <c r="Q62" s="76">
        <f>Q25+Q61</f>
        <v>167490.58000000002</v>
      </c>
      <c r="R62" s="32">
        <f>SUM(G62:Q62)</f>
        <v>5459276.8999999994</v>
      </c>
    </row>
    <row r="63" spans="1:18" ht="12.75" customHeight="1" thickTop="1" x14ac:dyDescent="0.35">
      <c r="F63" s="68"/>
      <c r="G63" s="68"/>
      <c r="H63" s="65"/>
      <c r="I63" s="65"/>
      <c r="J63" s="65"/>
      <c r="K63" s="65"/>
      <c r="L63" s="65"/>
      <c r="M63" s="65"/>
      <c r="N63" s="65"/>
      <c r="O63" s="65"/>
      <c r="P63" s="65"/>
      <c r="Q63" s="65"/>
      <c r="R63" s="68"/>
    </row>
    <row r="64" spans="1:18" ht="12.75" customHeight="1" x14ac:dyDescent="0.35">
      <c r="F64" s="68" t="s">
        <v>100</v>
      </c>
      <c r="G64" s="1">
        <v>0</v>
      </c>
      <c r="H64" s="66">
        <f>ROUND(H58*'PT Ratio with 2020 Data'!$D$35,2)</f>
        <v>47896.35</v>
      </c>
      <c r="I64" s="66">
        <f>ROUND(I58*'PT Ratio with 2020 Data'!$D$35,2)</f>
        <v>1870.71</v>
      </c>
      <c r="J64" s="66">
        <f>ROUND(J58*'PT Ratio with 2020 Data'!$D$35,2)</f>
        <v>338245.33</v>
      </c>
      <c r="K64" s="66">
        <f>ROUND(K58*'PT Ratio with 2021 Data'!$D$35,2)</f>
        <v>200169.97</v>
      </c>
      <c r="L64" s="66">
        <f>ROUND(L58*'PT Ratio with 2021 Data'!$D$35,2)</f>
        <v>129300.01</v>
      </c>
      <c r="M64" s="66">
        <f>ROUND(M58*'PT Ratio with 2021 Data'!$D$35,2)</f>
        <v>1949.89</v>
      </c>
      <c r="N64" s="66">
        <f>ROUND(N58*'PT Ratio with 2021 Data'!$D$35,2)</f>
        <v>64912.93</v>
      </c>
      <c r="O64" s="66">
        <f>ROUND(O58*'PT Ratio with 2021 Data'!$D$35,2)</f>
        <v>68789.87</v>
      </c>
      <c r="P64" s="66">
        <f>ROUND(P58*'PT Ratio with 2021 Data'!$D$35,2)</f>
        <v>5191.95</v>
      </c>
      <c r="Q64" s="66">
        <f>ROUND(Q58*'PT Ratio with 2021 Data'!$D$35,2)</f>
        <v>2077.71</v>
      </c>
      <c r="R64" s="18">
        <f>SUM(G64:Q64)</f>
        <v>860404.72</v>
      </c>
    </row>
    <row r="65" spans="1:18" ht="12.75" customHeight="1" thickBot="1" x14ac:dyDescent="0.4">
      <c r="F65" s="68" t="s">
        <v>99</v>
      </c>
      <c r="G65" s="67">
        <v>0</v>
      </c>
      <c r="H65" s="32">
        <f t="shared" ref="H65:P65" si="1">H13+H64</f>
        <v>192429.28</v>
      </c>
      <c r="I65" s="32">
        <f t="shared" si="1"/>
        <v>169217.78999999998</v>
      </c>
      <c r="J65" s="32">
        <f t="shared" si="1"/>
        <v>1065483.22</v>
      </c>
      <c r="K65" s="32">
        <f t="shared" si="1"/>
        <v>357664.61</v>
      </c>
      <c r="L65" s="32">
        <f t="shared" si="1"/>
        <v>880428.32000000007</v>
      </c>
      <c r="M65" s="32">
        <f t="shared" si="1"/>
        <v>980924.43</v>
      </c>
      <c r="N65" s="32">
        <f t="shared" si="1"/>
        <v>960933.17</v>
      </c>
      <c r="O65" s="32">
        <f t="shared" si="1"/>
        <v>892770.39</v>
      </c>
      <c r="P65" s="32">
        <f t="shared" si="1"/>
        <v>897081.37</v>
      </c>
      <c r="Q65" s="77">
        <f>Q13+Q64</f>
        <v>915102.88</v>
      </c>
      <c r="R65" s="32">
        <f>SUM(G65:Q65)</f>
        <v>7312035.46</v>
      </c>
    </row>
    <row r="66" spans="1:18" s="64" customFormat="1" ht="12.75" customHeight="1" thickTop="1" x14ac:dyDescent="0.35">
      <c r="F66" s="68"/>
      <c r="G66" s="59"/>
      <c r="H66" s="61"/>
      <c r="I66" s="61"/>
      <c r="J66" s="61"/>
      <c r="K66" s="61"/>
      <c r="L66" s="61"/>
      <c r="M66" s="61"/>
      <c r="N66" s="61"/>
      <c r="O66" s="61"/>
      <c r="P66" s="61"/>
      <c r="Q66" s="61"/>
      <c r="R66" s="60"/>
    </row>
    <row r="67" spans="1:18" s="58" customFormat="1" ht="12.75" customHeight="1" x14ac:dyDescent="0.35">
      <c r="F67" s="68" t="s">
        <v>121</v>
      </c>
      <c r="G67" s="61"/>
      <c r="H67" s="61">
        <f>H62+H65-H59</f>
        <v>0</v>
      </c>
      <c r="I67" s="61">
        <f t="shared" ref="I67:M67" si="2">I62+I65-I59</f>
        <v>0</v>
      </c>
      <c r="J67" s="61">
        <f t="shared" si="2"/>
        <v>0</v>
      </c>
      <c r="K67" s="61">
        <f t="shared" si="2"/>
        <v>0</v>
      </c>
      <c r="L67" s="61">
        <f t="shared" si="2"/>
        <v>0</v>
      </c>
      <c r="M67" s="61">
        <f t="shared" si="2"/>
        <v>0</v>
      </c>
      <c r="N67" s="61">
        <f>N62+N65-N59</f>
        <v>0</v>
      </c>
      <c r="O67" s="61">
        <f>O62+O65-O59</f>
        <v>0</v>
      </c>
      <c r="P67" s="61">
        <f>P62+P65-P59</f>
        <v>0</v>
      </c>
      <c r="Q67" s="61">
        <f>Q62+Q65-Q59</f>
        <v>0</v>
      </c>
      <c r="R67" s="61"/>
    </row>
    <row r="69" spans="1:18" ht="27" customHeight="1" x14ac:dyDescent="0.35">
      <c r="A69" s="2" t="s">
        <v>20</v>
      </c>
      <c r="B69" s="158" t="s">
        <v>174</v>
      </c>
      <c r="C69" s="158"/>
      <c r="D69" s="158"/>
      <c r="E69" s="158"/>
      <c r="F69" s="158"/>
      <c r="G69" s="158"/>
      <c r="H69" s="158"/>
      <c r="I69" s="158"/>
      <c r="J69" s="158"/>
      <c r="K69" s="129"/>
      <c r="L69" s="131"/>
      <c r="M69" s="133"/>
      <c r="N69" s="135"/>
      <c r="O69" s="138"/>
      <c r="P69" s="141"/>
      <c r="Q69" s="143"/>
    </row>
  </sheetData>
  <mergeCells count="40">
    <mergeCell ref="C55:C57"/>
    <mergeCell ref="D55:D57"/>
    <mergeCell ref="E55:E56"/>
    <mergeCell ref="C29:C39"/>
    <mergeCell ref="D29:D39"/>
    <mergeCell ref="E36:E39"/>
    <mergeCell ref="C40:C44"/>
    <mergeCell ref="D40:D44"/>
    <mergeCell ref="E42:E43"/>
    <mergeCell ref="C45:C53"/>
    <mergeCell ref="D45:D53"/>
    <mergeCell ref="E45:E46"/>
    <mergeCell ref="E48:E50"/>
    <mergeCell ref="E51:E52"/>
    <mergeCell ref="B69:J69"/>
    <mergeCell ref="A59:F59"/>
    <mergeCell ref="A2:A13"/>
    <mergeCell ref="B3:B12"/>
    <mergeCell ref="C4:C11"/>
    <mergeCell ref="D4:D11"/>
    <mergeCell ref="E20:E21"/>
    <mergeCell ref="E22:E23"/>
    <mergeCell ref="B25:F25"/>
    <mergeCell ref="A26:A58"/>
    <mergeCell ref="C26:C28"/>
    <mergeCell ref="D26:D28"/>
    <mergeCell ref="E26:E27"/>
    <mergeCell ref="E29:E34"/>
    <mergeCell ref="B58:F58"/>
    <mergeCell ref="B26:B57"/>
    <mergeCell ref="A1:F1"/>
    <mergeCell ref="E16:E18"/>
    <mergeCell ref="E4:E6"/>
    <mergeCell ref="E8:E9"/>
    <mergeCell ref="E10:E11"/>
    <mergeCell ref="B13:F13"/>
    <mergeCell ref="A14:A25"/>
    <mergeCell ref="B15:B24"/>
    <mergeCell ref="C16:C23"/>
    <mergeCell ref="D16:D23"/>
  </mergeCells>
  <pageMargins left="0.7" right="0.7" top="0.75" bottom="0.75" header="0.3" footer="0.3"/>
  <pageSetup scale="39" orientation="landscape" horizontalDpi="1200" verticalDpi="1200" r:id="rId1"/>
  <headerFooter>
    <oddHeader>&amp;C&amp;F - &amp;A</oddHeader>
    <oddFooter>&amp;C&amp;Z&amp;F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A28E8D-B1B7-4BAE-B2D0-787C74684001}">
  <sheetPr>
    <tabColor theme="6" tint="0.59999389629810485"/>
    <pageSetUpPr fitToPage="1"/>
  </sheetPr>
  <dimension ref="A1:F50"/>
  <sheetViews>
    <sheetView zoomScaleNormal="100" workbookViewId="0">
      <selection activeCell="F49" sqref="F49"/>
    </sheetView>
  </sheetViews>
  <sheetFormatPr defaultColWidth="12.59765625" defaultRowHeight="15.4" x14ac:dyDescent="0.45"/>
  <cols>
    <col min="1" max="1" width="2.265625" style="3" customWidth="1"/>
    <col min="2" max="2" width="6.1328125" style="3" customWidth="1"/>
    <col min="3" max="3" width="53.73046875" style="3" customWidth="1"/>
    <col min="4" max="6" width="15.1328125" style="3" customWidth="1"/>
    <col min="7" max="16384" width="12.59765625" style="3"/>
  </cols>
  <sheetData>
    <row r="1" spans="1:6" x14ac:dyDescent="0.45">
      <c r="A1" s="3" t="s">
        <v>21</v>
      </c>
      <c r="F1" s="4"/>
    </row>
    <row r="2" spans="1:6" x14ac:dyDescent="0.45">
      <c r="A2" s="3" t="s">
        <v>22</v>
      </c>
    </row>
    <row r="3" spans="1:6" x14ac:dyDescent="0.45">
      <c r="A3" s="5" t="str">
        <f>+'[5]WA Adjustments'!A4</f>
        <v>12 Months Ended 12/31/2021</v>
      </c>
    </row>
    <row r="6" spans="1:6" x14ac:dyDescent="0.45">
      <c r="D6" s="6" t="s">
        <v>23</v>
      </c>
      <c r="E6" s="6" t="s">
        <v>24</v>
      </c>
      <c r="F6" s="6" t="s">
        <v>25</v>
      </c>
    </row>
    <row r="7" spans="1:6" x14ac:dyDescent="0.45">
      <c r="A7" s="7" t="s">
        <v>170</v>
      </c>
      <c r="B7" s="8"/>
      <c r="C7" s="8"/>
    </row>
    <row r="8" spans="1:6" x14ac:dyDescent="0.45">
      <c r="B8" s="3" t="s">
        <v>27</v>
      </c>
      <c r="D8" s="9">
        <f>[5]MWh!E13</f>
        <v>5729047</v>
      </c>
      <c r="E8" s="9">
        <f>[5]MWh!F13</f>
        <v>3500926</v>
      </c>
      <c r="F8" s="3">
        <f>D8+E8</f>
        <v>9229973</v>
      </c>
    </row>
    <row r="10" spans="1:6" x14ac:dyDescent="0.45">
      <c r="B10" s="3" t="s">
        <v>28</v>
      </c>
      <c r="D10" s="10">
        <f>ROUND(D8/$F8,4)</f>
        <v>0.62070000000000003</v>
      </c>
      <c r="E10" s="10">
        <f>ROUND(E8/$F8,4)</f>
        <v>0.37930000000000003</v>
      </c>
      <c r="F10" s="10">
        <f>D10+E10</f>
        <v>1</v>
      </c>
    </row>
    <row r="11" spans="1:6" x14ac:dyDescent="0.45">
      <c r="F11" s="3" t="str">
        <f>IF(F10=1," ","Rounding Error")</f>
        <v xml:space="preserve"> </v>
      </c>
    </row>
    <row r="12" spans="1:6" x14ac:dyDescent="0.45">
      <c r="B12" s="3" t="s">
        <v>29</v>
      </c>
      <c r="D12" s="9">
        <f>'[5]MW Peak'!E13</f>
        <v>12495.5</v>
      </c>
      <c r="E12" s="9">
        <f>'[5]MW Peak'!F13</f>
        <v>6576.5</v>
      </c>
      <c r="F12" s="3">
        <f>D12+E12</f>
        <v>19072</v>
      </c>
    </row>
    <row r="14" spans="1:6" x14ac:dyDescent="0.45">
      <c r="B14" s="3" t="s">
        <v>30</v>
      </c>
      <c r="D14" s="10">
        <f>ROUND(D12/$F12,4)</f>
        <v>0.6552</v>
      </c>
      <c r="E14" s="10">
        <f>ROUND(E12/$F12,4)</f>
        <v>0.3448</v>
      </c>
      <c r="F14" s="10">
        <f>D14+E14</f>
        <v>1</v>
      </c>
    </row>
    <row r="15" spans="1:6" x14ac:dyDescent="0.45">
      <c r="F15" s="3" t="str">
        <f>IF(F14=1," ","Rounding Error")</f>
        <v xml:space="preserve"> </v>
      </c>
    </row>
    <row r="16" spans="1:6" x14ac:dyDescent="0.45">
      <c r="A16" s="3" t="s">
        <v>31</v>
      </c>
    </row>
    <row r="17" spans="1:6" x14ac:dyDescent="0.45">
      <c r="B17" s="3" t="s">
        <v>32</v>
      </c>
      <c r="D17" s="11">
        <f>ROUND((D10+D14)/2,4)-0.0001</f>
        <v>0.63790000000000002</v>
      </c>
      <c r="E17" s="10">
        <f>ROUND((E10+E14)/2,4)</f>
        <v>0.36209999999999998</v>
      </c>
      <c r="F17" s="10">
        <f>D17+E17</f>
        <v>1</v>
      </c>
    </row>
    <row r="18" spans="1:6" x14ac:dyDescent="0.45">
      <c r="F18" s="3" t="str">
        <f>IF(F17=1," ","Rounding Error")</f>
        <v xml:space="preserve"> </v>
      </c>
    </row>
    <row r="20" spans="1:6" x14ac:dyDescent="0.45">
      <c r="A20" s="8" t="s">
        <v>33</v>
      </c>
      <c r="B20" s="8"/>
      <c r="C20" s="8"/>
    </row>
    <row r="21" spans="1:6" x14ac:dyDescent="0.45">
      <c r="B21" s="3" t="s">
        <v>27</v>
      </c>
      <c r="D21" s="3">
        <f>D8</f>
        <v>5729047</v>
      </c>
      <c r="E21" s="3">
        <f>E8</f>
        <v>3500926</v>
      </c>
      <c r="F21" s="3">
        <f>D21+E21</f>
        <v>9229973</v>
      </c>
    </row>
    <row r="22" spans="1:6" x14ac:dyDescent="0.45">
      <c r="B22" s="3" t="s">
        <v>34</v>
      </c>
      <c r="E22" s="12">
        <f>[5]MWh!J13</f>
        <v>-425937</v>
      </c>
      <c r="F22" s="3">
        <f>D22+E22</f>
        <v>-425937</v>
      </c>
    </row>
    <row r="23" spans="1:6" x14ac:dyDescent="0.45">
      <c r="B23" s="3" t="str">
        <f>B8</f>
        <v>Energy Retail Sales (MWH)</v>
      </c>
      <c r="D23" s="13">
        <f>D21+D22</f>
        <v>5729047</v>
      </c>
      <c r="E23" s="13">
        <f>E21+E22</f>
        <v>3074989</v>
      </c>
      <c r="F23" s="13">
        <f>F21+F22</f>
        <v>8804036</v>
      </c>
    </row>
    <row r="25" spans="1:6" x14ac:dyDescent="0.45">
      <c r="B25" s="3" t="str">
        <f>B10</f>
        <v>Energy Retail Sales Percentage</v>
      </c>
      <c r="D25" s="10">
        <f>ROUND(D23/$F23,4)</f>
        <v>0.65069999999999995</v>
      </c>
      <c r="E25" s="10">
        <f>ROUND(E23/$F23,4)</f>
        <v>0.3493</v>
      </c>
      <c r="F25" s="10">
        <f>D25+E25</f>
        <v>1</v>
      </c>
    </row>
    <row r="26" spans="1:6" x14ac:dyDescent="0.45">
      <c r="F26" s="3" t="str">
        <f>IF(F25=1," ","Rounding Error")</f>
        <v xml:space="preserve"> </v>
      </c>
    </row>
    <row r="27" spans="1:6" x14ac:dyDescent="0.45">
      <c r="B27" s="3" t="str">
        <f>+B12</f>
        <v>MW's Peak (Retail + Adjustments)</v>
      </c>
      <c r="D27" s="3">
        <f>D12</f>
        <v>12495.5</v>
      </c>
      <c r="E27" s="3">
        <f>E12</f>
        <v>6576.5</v>
      </c>
      <c r="F27" s="3">
        <f>D27+E27</f>
        <v>19072</v>
      </c>
    </row>
    <row r="28" spans="1:6" x14ac:dyDescent="0.45">
      <c r="B28" s="3" t="s">
        <v>35</v>
      </c>
      <c r="D28" s="3">
        <f>'[5]WA Adjustments'!K26</f>
        <v>-942</v>
      </c>
      <c r="F28" s="3">
        <f>D28+E28</f>
        <v>-942</v>
      </c>
    </row>
    <row r="29" spans="1:6" x14ac:dyDescent="0.45">
      <c r="B29" s="3" t="s">
        <v>36</v>
      </c>
      <c r="E29" s="3">
        <f>-'[5]ID Adjustment'!C26</f>
        <v>-622</v>
      </c>
      <c r="F29" s="3">
        <f>D29+E29</f>
        <v>-622</v>
      </c>
    </row>
    <row r="30" spans="1:6" x14ac:dyDescent="0.45">
      <c r="B30" s="3" t="str">
        <f>B12</f>
        <v>MW's Peak (Retail + Adjustments)</v>
      </c>
      <c r="D30" s="13">
        <f>SUM(D27:D29)</f>
        <v>11553.5</v>
      </c>
      <c r="E30" s="13">
        <f>SUM(E27:E29)</f>
        <v>5954.5</v>
      </c>
      <c r="F30" s="13">
        <f>SUM(F27:F29)</f>
        <v>17508</v>
      </c>
    </row>
    <row r="32" spans="1:6" x14ac:dyDescent="0.45">
      <c r="B32" s="3" t="str">
        <f>B14</f>
        <v>MW's Peak Percentage</v>
      </c>
      <c r="D32" s="10">
        <f>ROUND(D30/$F30,4)</f>
        <v>0.65990000000000004</v>
      </c>
      <c r="E32" s="10">
        <f>ROUND(E30/$F30,4)</f>
        <v>0.34010000000000001</v>
      </c>
      <c r="F32" s="10">
        <f>D32+E32</f>
        <v>1</v>
      </c>
    </row>
    <row r="33" spans="1:6" x14ac:dyDescent="0.45">
      <c r="F33" s="3" t="str">
        <f>IF(F32=1," ","Rounding Error")</f>
        <v xml:space="preserve"> </v>
      </c>
    </row>
    <row r="34" spans="1:6" x14ac:dyDescent="0.45">
      <c r="A34" s="3" t="s">
        <v>37</v>
      </c>
    </row>
    <row r="35" spans="1:6" x14ac:dyDescent="0.45">
      <c r="B35" s="3" t="s">
        <v>38</v>
      </c>
      <c r="D35" s="62">
        <f>ROUND((D25+D32)/2,4)</f>
        <v>0.65529999999999999</v>
      </c>
      <c r="E35" s="30">
        <f>ROUND((E25+E32)/2,4)</f>
        <v>0.34470000000000001</v>
      </c>
      <c r="F35" s="14">
        <f>D35+E35</f>
        <v>1</v>
      </c>
    </row>
    <row r="37" spans="1:6" x14ac:dyDescent="0.45">
      <c r="E37" s="15">
        <v>0</v>
      </c>
    </row>
    <row r="38" spans="1:6" x14ac:dyDescent="0.45">
      <c r="A38" s="3" t="s">
        <v>39</v>
      </c>
      <c r="C38" s="3" t="s">
        <v>40</v>
      </c>
    </row>
    <row r="39" spans="1:6" x14ac:dyDescent="0.45">
      <c r="A39" s="3" t="s">
        <v>41</v>
      </c>
      <c r="C39" s="3" t="s">
        <v>42</v>
      </c>
    </row>
    <row r="42" spans="1:6" x14ac:dyDescent="0.45">
      <c r="B42" s="3" t="s">
        <v>43</v>
      </c>
      <c r="C42" s="16" t="s">
        <v>44</v>
      </c>
      <c r="D42" s="16" t="s">
        <v>45</v>
      </c>
    </row>
    <row r="43" spans="1:6" x14ac:dyDescent="0.45">
      <c r="C43" s="3" t="s">
        <v>46</v>
      </c>
      <c r="D43" s="3" t="s">
        <v>47</v>
      </c>
    </row>
    <row r="44" spans="1:6" x14ac:dyDescent="0.45">
      <c r="C44" s="3" t="s">
        <v>48</v>
      </c>
      <c r="D44" s="3" t="s">
        <v>49</v>
      </c>
    </row>
    <row r="45" spans="1:6" x14ac:dyDescent="0.45">
      <c r="C45" s="3" t="s">
        <v>50</v>
      </c>
      <c r="D45" s="3" t="s">
        <v>51</v>
      </c>
    </row>
    <row r="46" spans="1:6" x14ac:dyDescent="0.45">
      <c r="C46" s="3" t="s">
        <v>52</v>
      </c>
      <c r="D46" s="3" t="s">
        <v>53</v>
      </c>
    </row>
    <row r="47" spans="1:6" x14ac:dyDescent="0.45">
      <c r="C47" s="3" t="s">
        <v>54</v>
      </c>
      <c r="D47" s="3" t="s">
        <v>55</v>
      </c>
    </row>
    <row r="48" spans="1:6" x14ac:dyDescent="0.45">
      <c r="C48" s="3" t="s">
        <v>56</v>
      </c>
      <c r="D48" s="3" t="s">
        <v>57</v>
      </c>
    </row>
    <row r="49" spans="3:4" x14ac:dyDescent="0.45">
      <c r="C49" s="3" t="s">
        <v>171</v>
      </c>
      <c r="D49" s="3" t="s">
        <v>172</v>
      </c>
    </row>
    <row r="50" spans="3:4" x14ac:dyDescent="0.45">
      <c r="C50" s="3" t="s">
        <v>173</v>
      </c>
    </row>
  </sheetData>
  <pageMargins left="0.7" right="0.7" top="0.75" bottom="0.75" header="0.3" footer="0.3"/>
  <pageSetup scale="84" orientation="portrait" horizontalDpi="1200" verticalDpi="12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P8"/>
  <sheetViews>
    <sheetView workbookViewId="0">
      <selection activeCell="C2" sqref="C2"/>
    </sheetView>
  </sheetViews>
  <sheetFormatPr defaultRowHeight="12.75" x14ac:dyDescent="0.35"/>
  <cols>
    <col min="1" max="1" width="14.86328125" style="19" customWidth="1"/>
    <col min="2" max="2" width="29.265625" style="19" bestFit="1" customWidth="1"/>
    <col min="3" max="3" width="17.73046875" style="19" bestFit="1" customWidth="1"/>
    <col min="4" max="4" width="20.86328125" style="19" bestFit="1" customWidth="1"/>
    <col min="5" max="5" width="40.1328125" style="19" bestFit="1" customWidth="1"/>
    <col min="6" max="6" width="15" style="19" bestFit="1" customWidth="1"/>
    <col min="7" max="7" width="30.59765625" style="19" bestFit="1" customWidth="1"/>
    <col min="8" max="8" width="10.73046875" style="19" bestFit="1" customWidth="1"/>
    <col min="9" max="9" width="7.265625" style="19" bestFit="1" customWidth="1"/>
    <col min="10" max="10" width="8.3984375" style="19" bestFit="1" customWidth="1"/>
    <col min="11" max="11" width="13.265625" style="19" bestFit="1" customWidth="1"/>
    <col min="12" max="12" width="17" style="19" bestFit="1" customWidth="1"/>
    <col min="13" max="13" width="15.3984375" style="19" bestFit="1" customWidth="1"/>
    <col min="14" max="14" width="10" style="19" customWidth="1"/>
    <col min="15" max="15" width="10.59765625" style="19" bestFit="1" customWidth="1"/>
    <col min="16" max="16" width="13.265625" style="19" bestFit="1" customWidth="1"/>
    <col min="17" max="256" width="9.1328125" style="19"/>
    <col min="257" max="257" width="14.86328125" style="19" customWidth="1"/>
    <col min="258" max="258" width="29.265625" style="19" bestFit="1" customWidth="1"/>
    <col min="259" max="259" width="17.73046875" style="19" bestFit="1" customWidth="1"/>
    <col min="260" max="260" width="20.86328125" style="19" bestFit="1" customWidth="1"/>
    <col min="261" max="261" width="40.1328125" style="19" bestFit="1" customWidth="1"/>
    <col min="262" max="262" width="15" style="19" bestFit="1" customWidth="1"/>
    <col min="263" max="263" width="30.59765625" style="19" bestFit="1" customWidth="1"/>
    <col min="264" max="264" width="10.73046875" style="19" bestFit="1" customWidth="1"/>
    <col min="265" max="265" width="7.265625" style="19" bestFit="1" customWidth="1"/>
    <col min="266" max="266" width="8.3984375" style="19" bestFit="1" customWidth="1"/>
    <col min="267" max="267" width="13.265625" style="19" bestFit="1" customWidth="1"/>
    <col min="268" max="268" width="17" style="19" bestFit="1" customWidth="1"/>
    <col min="269" max="269" width="15.3984375" style="19" bestFit="1" customWidth="1"/>
    <col min="270" max="270" width="10" style="19" customWidth="1"/>
    <col min="271" max="271" width="10.59765625" style="19" bestFit="1" customWidth="1"/>
    <col min="272" max="272" width="13.265625" style="19" bestFit="1" customWidth="1"/>
    <col min="273" max="512" width="9.1328125" style="19"/>
    <col min="513" max="513" width="14.86328125" style="19" customWidth="1"/>
    <col min="514" max="514" width="29.265625" style="19" bestFit="1" customWidth="1"/>
    <col min="515" max="515" width="17.73046875" style="19" bestFit="1" customWidth="1"/>
    <col min="516" max="516" width="20.86328125" style="19" bestFit="1" customWidth="1"/>
    <col min="517" max="517" width="40.1328125" style="19" bestFit="1" customWidth="1"/>
    <col min="518" max="518" width="15" style="19" bestFit="1" customWidth="1"/>
    <col min="519" max="519" width="30.59765625" style="19" bestFit="1" customWidth="1"/>
    <col min="520" max="520" width="10.73046875" style="19" bestFit="1" customWidth="1"/>
    <col min="521" max="521" width="7.265625" style="19" bestFit="1" customWidth="1"/>
    <col min="522" max="522" width="8.3984375" style="19" bestFit="1" customWidth="1"/>
    <col min="523" max="523" width="13.265625" style="19" bestFit="1" customWidth="1"/>
    <col min="524" max="524" width="17" style="19" bestFit="1" customWidth="1"/>
    <col min="525" max="525" width="15.3984375" style="19" bestFit="1" customWidth="1"/>
    <col min="526" max="526" width="10" style="19" customWidth="1"/>
    <col min="527" max="527" width="10.59765625" style="19" bestFit="1" customWidth="1"/>
    <col min="528" max="528" width="13.265625" style="19" bestFit="1" customWidth="1"/>
    <col min="529" max="768" width="9.1328125" style="19"/>
    <col min="769" max="769" width="14.86328125" style="19" customWidth="1"/>
    <col min="770" max="770" width="29.265625" style="19" bestFit="1" customWidth="1"/>
    <col min="771" max="771" width="17.73046875" style="19" bestFit="1" customWidth="1"/>
    <col min="772" max="772" width="20.86328125" style="19" bestFit="1" customWidth="1"/>
    <col min="773" max="773" width="40.1328125" style="19" bestFit="1" customWidth="1"/>
    <col min="774" max="774" width="15" style="19" bestFit="1" customWidth="1"/>
    <col min="775" max="775" width="30.59765625" style="19" bestFit="1" customWidth="1"/>
    <col min="776" max="776" width="10.73046875" style="19" bestFit="1" customWidth="1"/>
    <col min="777" max="777" width="7.265625" style="19" bestFit="1" customWidth="1"/>
    <col min="778" max="778" width="8.3984375" style="19" bestFit="1" customWidth="1"/>
    <col min="779" max="779" width="13.265625" style="19" bestFit="1" customWidth="1"/>
    <col min="780" max="780" width="17" style="19" bestFit="1" customWidth="1"/>
    <col min="781" max="781" width="15.3984375" style="19" bestFit="1" customWidth="1"/>
    <col min="782" max="782" width="10" style="19" customWidth="1"/>
    <col min="783" max="783" width="10.59765625" style="19" bestFit="1" customWidth="1"/>
    <col min="784" max="784" width="13.265625" style="19" bestFit="1" customWidth="1"/>
    <col min="785" max="1024" width="9.1328125" style="19"/>
    <col min="1025" max="1025" width="14.86328125" style="19" customWidth="1"/>
    <col min="1026" max="1026" width="29.265625" style="19" bestFit="1" customWidth="1"/>
    <col min="1027" max="1027" width="17.73046875" style="19" bestFit="1" customWidth="1"/>
    <col min="1028" max="1028" width="20.86328125" style="19" bestFit="1" customWidth="1"/>
    <col min="1029" max="1029" width="40.1328125" style="19" bestFit="1" customWidth="1"/>
    <col min="1030" max="1030" width="15" style="19" bestFit="1" customWidth="1"/>
    <col min="1031" max="1031" width="30.59765625" style="19" bestFit="1" customWidth="1"/>
    <col min="1032" max="1032" width="10.73046875" style="19" bestFit="1" customWidth="1"/>
    <col min="1033" max="1033" width="7.265625" style="19" bestFit="1" customWidth="1"/>
    <col min="1034" max="1034" width="8.3984375" style="19" bestFit="1" customWidth="1"/>
    <col min="1035" max="1035" width="13.265625" style="19" bestFit="1" customWidth="1"/>
    <col min="1036" max="1036" width="17" style="19" bestFit="1" customWidth="1"/>
    <col min="1037" max="1037" width="15.3984375" style="19" bestFit="1" customWidth="1"/>
    <col min="1038" max="1038" width="10" style="19" customWidth="1"/>
    <col min="1039" max="1039" width="10.59765625" style="19" bestFit="1" customWidth="1"/>
    <col min="1040" max="1040" width="13.265625" style="19" bestFit="1" customWidth="1"/>
    <col min="1041" max="1280" width="9.1328125" style="19"/>
    <col min="1281" max="1281" width="14.86328125" style="19" customWidth="1"/>
    <col min="1282" max="1282" width="29.265625" style="19" bestFit="1" customWidth="1"/>
    <col min="1283" max="1283" width="17.73046875" style="19" bestFit="1" customWidth="1"/>
    <col min="1284" max="1284" width="20.86328125" style="19" bestFit="1" customWidth="1"/>
    <col min="1285" max="1285" width="40.1328125" style="19" bestFit="1" customWidth="1"/>
    <col min="1286" max="1286" width="15" style="19" bestFit="1" customWidth="1"/>
    <col min="1287" max="1287" width="30.59765625" style="19" bestFit="1" customWidth="1"/>
    <col min="1288" max="1288" width="10.73046875" style="19" bestFit="1" customWidth="1"/>
    <col min="1289" max="1289" width="7.265625" style="19" bestFit="1" customWidth="1"/>
    <col min="1290" max="1290" width="8.3984375" style="19" bestFit="1" customWidth="1"/>
    <col min="1291" max="1291" width="13.265625" style="19" bestFit="1" customWidth="1"/>
    <col min="1292" max="1292" width="17" style="19" bestFit="1" customWidth="1"/>
    <col min="1293" max="1293" width="15.3984375" style="19" bestFit="1" customWidth="1"/>
    <col min="1294" max="1294" width="10" style="19" customWidth="1"/>
    <col min="1295" max="1295" width="10.59765625" style="19" bestFit="1" customWidth="1"/>
    <col min="1296" max="1296" width="13.265625" style="19" bestFit="1" customWidth="1"/>
    <col min="1297" max="1536" width="9.1328125" style="19"/>
    <col min="1537" max="1537" width="14.86328125" style="19" customWidth="1"/>
    <col min="1538" max="1538" width="29.265625" style="19" bestFit="1" customWidth="1"/>
    <col min="1539" max="1539" width="17.73046875" style="19" bestFit="1" customWidth="1"/>
    <col min="1540" max="1540" width="20.86328125" style="19" bestFit="1" customWidth="1"/>
    <col min="1541" max="1541" width="40.1328125" style="19" bestFit="1" customWidth="1"/>
    <col min="1542" max="1542" width="15" style="19" bestFit="1" customWidth="1"/>
    <col min="1543" max="1543" width="30.59765625" style="19" bestFit="1" customWidth="1"/>
    <col min="1544" max="1544" width="10.73046875" style="19" bestFit="1" customWidth="1"/>
    <col min="1545" max="1545" width="7.265625" style="19" bestFit="1" customWidth="1"/>
    <col min="1546" max="1546" width="8.3984375" style="19" bestFit="1" customWidth="1"/>
    <col min="1547" max="1547" width="13.265625" style="19" bestFit="1" customWidth="1"/>
    <col min="1548" max="1548" width="17" style="19" bestFit="1" customWidth="1"/>
    <col min="1549" max="1549" width="15.3984375" style="19" bestFit="1" customWidth="1"/>
    <col min="1550" max="1550" width="10" style="19" customWidth="1"/>
    <col min="1551" max="1551" width="10.59765625" style="19" bestFit="1" customWidth="1"/>
    <col min="1552" max="1552" width="13.265625" style="19" bestFit="1" customWidth="1"/>
    <col min="1553" max="1792" width="9.1328125" style="19"/>
    <col min="1793" max="1793" width="14.86328125" style="19" customWidth="1"/>
    <col min="1794" max="1794" width="29.265625" style="19" bestFit="1" customWidth="1"/>
    <col min="1795" max="1795" width="17.73046875" style="19" bestFit="1" customWidth="1"/>
    <col min="1796" max="1796" width="20.86328125" style="19" bestFit="1" customWidth="1"/>
    <col min="1797" max="1797" width="40.1328125" style="19" bestFit="1" customWidth="1"/>
    <col min="1798" max="1798" width="15" style="19" bestFit="1" customWidth="1"/>
    <col min="1799" max="1799" width="30.59765625" style="19" bestFit="1" customWidth="1"/>
    <col min="1800" max="1800" width="10.73046875" style="19" bestFit="1" customWidth="1"/>
    <col min="1801" max="1801" width="7.265625" style="19" bestFit="1" customWidth="1"/>
    <col min="1802" max="1802" width="8.3984375" style="19" bestFit="1" customWidth="1"/>
    <col min="1803" max="1803" width="13.265625" style="19" bestFit="1" customWidth="1"/>
    <col min="1804" max="1804" width="17" style="19" bestFit="1" customWidth="1"/>
    <col min="1805" max="1805" width="15.3984375" style="19" bestFit="1" customWidth="1"/>
    <col min="1806" max="1806" width="10" style="19" customWidth="1"/>
    <col min="1807" max="1807" width="10.59765625" style="19" bestFit="1" customWidth="1"/>
    <col min="1808" max="1808" width="13.265625" style="19" bestFit="1" customWidth="1"/>
    <col min="1809" max="2048" width="9.1328125" style="19"/>
    <col min="2049" max="2049" width="14.86328125" style="19" customWidth="1"/>
    <col min="2050" max="2050" width="29.265625" style="19" bestFit="1" customWidth="1"/>
    <col min="2051" max="2051" width="17.73046875" style="19" bestFit="1" customWidth="1"/>
    <col min="2052" max="2052" width="20.86328125" style="19" bestFit="1" customWidth="1"/>
    <col min="2053" max="2053" width="40.1328125" style="19" bestFit="1" customWidth="1"/>
    <col min="2054" max="2054" width="15" style="19" bestFit="1" customWidth="1"/>
    <col min="2055" max="2055" width="30.59765625" style="19" bestFit="1" customWidth="1"/>
    <col min="2056" max="2056" width="10.73046875" style="19" bestFit="1" customWidth="1"/>
    <col min="2057" max="2057" width="7.265625" style="19" bestFit="1" customWidth="1"/>
    <col min="2058" max="2058" width="8.3984375" style="19" bestFit="1" customWidth="1"/>
    <col min="2059" max="2059" width="13.265625" style="19" bestFit="1" customWidth="1"/>
    <col min="2060" max="2060" width="17" style="19" bestFit="1" customWidth="1"/>
    <col min="2061" max="2061" width="15.3984375" style="19" bestFit="1" customWidth="1"/>
    <col min="2062" max="2062" width="10" style="19" customWidth="1"/>
    <col min="2063" max="2063" width="10.59765625" style="19" bestFit="1" customWidth="1"/>
    <col min="2064" max="2064" width="13.265625" style="19" bestFit="1" customWidth="1"/>
    <col min="2065" max="2304" width="9.1328125" style="19"/>
    <col min="2305" max="2305" width="14.86328125" style="19" customWidth="1"/>
    <col min="2306" max="2306" width="29.265625" style="19" bestFit="1" customWidth="1"/>
    <col min="2307" max="2307" width="17.73046875" style="19" bestFit="1" customWidth="1"/>
    <col min="2308" max="2308" width="20.86328125" style="19" bestFit="1" customWidth="1"/>
    <col min="2309" max="2309" width="40.1328125" style="19" bestFit="1" customWidth="1"/>
    <col min="2310" max="2310" width="15" style="19" bestFit="1" customWidth="1"/>
    <col min="2311" max="2311" width="30.59765625" style="19" bestFit="1" customWidth="1"/>
    <col min="2312" max="2312" width="10.73046875" style="19" bestFit="1" customWidth="1"/>
    <col min="2313" max="2313" width="7.265625" style="19" bestFit="1" customWidth="1"/>
    <col min="2314" max="2314" width="8.3984375" style="19" bestFit="1" customWidth="1"/>
    <col min="2315" max="2315" width="13.265625" style="19" bestFit="1" customWidth="1"/>
    <col min="2316" max="2316" width="17" style="19" bestFit="1" customWidth="1"/>
    <col min="2317" max="2317" width="15.3984375" style="19" bestFit="1" customWidth="1"/>
    <col min="2318" max="2318" width="10" style="19" customWidth="1"/>
    <col min="2319" max="2319" width="10.59765625" style="19" bestFit="1" customWidth="1"/>
    <col min="2320" max="2320" width="13.265625" style="19" bestFit="1" customWidth="1"/>
    <col min="2321" max="2560" width="9.1328125" style="19"/>
    <col min="2561" max="2561" width="14.86328125" style="19" customWidth="1"/>
    <col min="2562" max="2562" width="29.265625" style="19" bestFit="1" customWidth="1"/>
    <col min="2563" max="2563" width="17.73046875" style="19" bestFit="1" customWidth="1"/>
    <col min="2564" max="2564" width="20.86328125" style="19" bestFit="1" customWidth="1"/>
    <col min="2565" max="2565" width="40.1328125" style="19" bestFit="1" customWidth="1"/>
    <col min="2566" max="2566" width="15" style="19" bestFit="1" customWidth="1"/>
    <col min="2567" max="2567" width="30.59765625" style="19" bestFit="1" customWidth="1"/>
    <col min="2568" max="2568" width="10.73046875" style="19" bestFit="1" customWidth="1"/>
    <col min="2569" max="2569" width="7.265625" style="19" bestFit="1" customWidth="1"/>
    <col min="2570" max="2570" width="8.3984375" style="19" bestFit="1" customWidth="1"/>
    <col min="2571" max="2571" width="13.265625" style="19" bestFit="1" customWidth="1"/>
    <col min="2572" max="2572" width="17" style="19" bestFit="1" customWidth="1"/>
    <col min="2573" max="2573" width="15.3984375" style="19" bestFit="1" customWidth="1"/>
    <col min="2574" max="2574" width="10" style="19" customWidth="1"/>
    <col min="2575" max="2575" width="10.59765625" style="19" bestFit="1" customWidth="1"/>
    <col min="2576" max="2576" width="13.265625" style="19" bestFit="1" customWidth="1"/>
    <col min="2577" max="2816" width="9.1328125" style="19"/>
    <col min="2817" max="2817" width="14.86328125" style="19" customWidth="1"/>
    <col min="2818" max="2818" width="29.265625" style="19" bestFit="1" customWidth="1"/>
    <col min="2819" max="2819" width="17.73046875" style="19" bestFit="1" customWidth="1"/>
    <col min="2820" max="2820" width="20.86328125" style="19" bestFit="1" customWidth="1"/>
    <col min="2821" max="2821" width="40.1328125" style="19" bestFit="1" customWidth="1"/>
    <col min="2822" max="2822" width="15" style="19" bestFit="1" customWidth="1"/>
    <col min="2823" max="2823" width="30.59765625" style="19" bestFit="1" customWidth="1"/>
    <col min="2824" max="2824" width="10.73046875" style="19" bestFit="1" customWidth="1"/>
    <col min="2825" max="2825" width="7.265625" style="19" bestFit="1" customWidth="1"/>
    <col min="2826" max="2826" width="8.3984375" style="19" bestFit="1" customWidth="1"/>
    <col min="2827" max="2827" width="13.265625" style="19" bestFit="1" customWidth="1"/>
    <col min="2828" max="2828" width="17" style="19" bestFit="1" customWidth="1"/>
    <col min="2829" max="2829" width="15.3984375" style="19" bestFit="1" customWidth="1"/>
    <col min="2830" max="2830" width="10" style="19" customWidth="1"/>
    <col min="2831" max="2831" width="10.59765625" style="19" bestFit="1" customWidth="1"/>
    <col min="2832" max="2832" width="13.265625" style="19" bestFit="1" customWidth="1"/>
    <col min="2833" max="3072" width="9.1328125" style="19"/>
    <col min="3073" max="3073" width="14.86328125" style="19" customWidth="1"/>
    <col min="3074" max="3074" width="29.265625" style="19" bestFit="1" customWidth="1"/>
    <col min="3075" max="3075" width="17.73046875" style="19" bestFit="1" customWidth="1"/>
    <col min="3076" max="3076" width="20.86328125" style="19" bestFit="1" customWidth="1"/>
    <col min="3077" max="3077" width="40.1328125" style="19" bestFit="1" customWidth="1"/>
    <col min="3078" max="3078" width="15" style="19" bestFit="1" customWidth="1"/>
    <col min="3079" max="3079" width="30.59765625" style="19" bestFit="1" customWidth="1"/>
    <col min="3080" max="3080" width="10.73046875" style="19" bestFit="1" customWidth="1"/>
    <col min="3081" max="3081" width="7.265625" style="19" bestFit="1" customWidth="1"/>
    <col min="3082" max="3082" width="8.3984375" style="19" bestFit="1" customWidth="1"/>
    <col min="3083" max="3083" width="13.265625" style="19" bestFit="1" customWidth="1"/>
    <col min="3084" max="3084" width="17" style="19" bestFit="1" customWidth="1"/>
    <col min="3085" max="3085" width="15.3984375" style="19" bestFit="1" customWidth="1"/>
    <col min="3086" max="3086" width="10" style="19" customWidth="1"/>
    <col min="3087" max="3087" width="10.59765625" style="19" bestFit="1" customWidth="1"/>
    <col min="3088" max="3088" width="13.265625" style="19" bestFit="1" customWidth="1"/>
    <col min="3089" max="3328" width="9.1328125" style="19"/>
    <col min="3329" max="3329" width="14.86328125" style="19" customWidth="1"/>
    <col min="3330" max="3330" width="29.265625" style="19" bestFit="1" customWidth="1"/>
    <col min="3331" max="3331" width="17.73046875" style="19" bestFit="1" customWidth="1"/>
    <col min="3332" max="3332" width="20.86328125" style="19" bestFit="1" customWidth="1"/>
    <col min="3333" max="3333" width="40.1328125" style="19" bestFit="1" customWidth="1"/>
    <col min="3334" max="3334" width="15" style="19" bestFit="1" customWidth="1"/>
    <col min="3335" max="3335" width="30.59765625" style="19" bestFit="1" customWidth="1"/>
    <col min="3336" max="3336" width="10.73046875" style="19" bestFit="1" customWidth="1"/>
    <col min="3337" max="3337" width="7.265625" style="19" bestFit="1" customWidth="1"/>
    <col min="3338" max="3338" width="8.3984375" style="19" bestFit="1" customWidth="1"/>
    <col min="3339" max="3339" width="13.265625" style="19" bestFit="1" customWidth="1"/>
    <col min="3340" max="3340" width="17" style="19" bestFit="1" customWidth="1"/>
    <col min="3341" max="3341" width="15.3984375" style="19" bestFit="1" customWidth="1"/>
    <col min="3342" max="3342" width="10" style="19" customWidth="1"/>
    <col min="3343" max="3343" width="10.59765625" style="19" bestFit="1" customWidth="1"/>
    <col min="3344" max="3344" width="13.265625" style="19" bestFit="1" customWidth="1"/>
    <col min="3345" max="3584" width="9.1328125" style="19"/>
    <col min="3585" max="3585" width="14.86328125" style="19" customWidth="1"/>
    <col min="3586" max="3586" width="29.265625" style="19" bestFit="1" customWidth="1"/>
    <col min="3587" max="3587" width="17.73046875" style="19" bestFit="1" customWidth="1"/>
    <col min="3588" max="3588" width="20.86328125" style="19" bestFit="1" customWidth="1"/>
    <col min="3589" max="3589" width="40.1328125" style="19" bestFit="1" customWidth="1"/>
    <col min="3590" max="3590" width="15" style="19" bestFit="1" customWidth="1"/>
    <col min="3591" max="3591" width="30.59765625" style="19" bestFit="1" customWidth="1"/>
    <col min="3592" max="3592" width="10.73046875" style="19" bestFit="1" customWidth="1"/>
    <col min="3593" max="3593" width="7.265625" style="19" bestFit="1" customWidth="1"/>
    <col min="3594" max="3594" width="8.3984375" style="19" bestFit="1" customWidth="1"/>
    <col min="3595" max="3595" width="13.265625" style="19" bestFit="1" customWidth="1"/>
    <col min="3596" max="3596" width="17" style="19" bestFit="1" customWidth="1"/>
    <col min="3597" max="3597" width="15.3984375" style="19" bestFit="1" customWidth="1"/>
    <col min="3598" max="3598" width="10" style="19" customWidth="1"/>
    <col min="3599" max="3599" width="10.59765625" style="19" bestFit="1" customWidth="1"/>
    <col min="3600" max="3600" width="13.265625" style="19" bestFit="1" customWidth="1"/>
    <col min="3601" max="3840" width="9.1328125" style="19"/>
    <col min="3841" max="3841" width="14.86328125" style="19" customWidth="1"/>
    <col min="3842" max="3842" width="29.265625" style="19" bestFit="1" customWidth="1"/>
    <col min="3843" max="3843" width="17.73046875" style="19" bestFit="1" customWidth="1"/>
    <col min="3844" max="3844" width="20.86328125" style="19" bestFit="1" customWidth="1"/>
    <col min="3845" max="3845" width="40.1328125" style="19" bestFit="1" customWidth="1"/>
    <col min="3846" max="3846" width="15" style="19" bestFit="1" customWidth="1"/>
    <col min="3847" max="3847" width="30.59765625" style="19" bestFit="1" customWidth="1"/>
    <col min="3848" max="3848" width="10.73046875" style="19" bestFit="1" customWidth="1"/>
    <col min="3849" max="3849" width="7.265625" style="19" bestFit="1" customWidth="1"/>
    <col min="3850" max="3850" width="8.3984375" style="19" bestFit="1" customWidth="1"/>
    <col min="3851" max="3851" width="13.265625" style="19" bestFit="1" customWidth="1"/>
    <col min="3852" max="3852" width="17" style="19" bestFit="1" customWidth="1"/>
    <col min="3853" max="3853" width="15.3984375" style="19" bestFit="1" customWidth="1"/>
    <col min="3854" max="3854" width="10" style="19" customWidth="1"/>
    <col min="3855" max="3855" width="10.59765625" style="19" bestFit="1" customWidth="1"/>
    <col min="3856" max="3856" width="13.265625" style="19" bestFit="1" customWidth="1"/>
    <col min="3857" max="4096" width="9.1328125" style="19"/>
    <col min="4097" max="4097" width="14.86328125" style="19" customWidth="1"/>
    <col min="4098" max="4098" width="29.265625" style="19" bestFit="1" customWidth="1"/>
    <col min="4099" max="4099" width="17.73046875" style="19" bestFit="1" customWidth="1"/>
    <col min="4100" max="4100" width="20.86328125" style="19" bestFit="1" customWidth="1"/>
    <col min="4101" max="4101" width="40.1328125" style="19" bestFit="1" customWidth="1"/>
    <col min="4102" max="4102" width="15" style="19" bestFit="1" customWidth="1"/>
    <col min="4103" max="4103" width="30.59765625" style="19" bestFit="1" customWidth="1"/>
    <col min="4104" max="4104" width="10.73046875" style="19" bestFit="1" customWidth="1"/>
    <col min="4105" max="4105" width="7.265625" style="19" bestFit="1" customWidth="1"/>
    <col min="4106" max="4106" width="8.3984375" style="19" bestFit="1" customWidth="1"/>
    <col min="4107" max="4107" width="13.265625" style="19" bestFit="1" customWidth="1"/>
    <col min="4108" max="4108" width="17" style="19" bestFit="1" customWidth="1"/>
    <col min="4109" max="4109" width="15.3984375" style="19" bestFit="1" customWidth="1"/>
    <col min="4110" max="4110" width="10" style="19" customWidth="1"/>
    <col min="4111" max="4111" width="10.59765625" style="19" bestFit="1" customWidth="1"/>
    <col min="4112" max="4112" width="13.265625" style="19" bestFit="1" customWidth="1"/>
    <col min="4113" max="4352" width="9.1328125" style="19"/>
    <col min="4353" max="4353" width="14.86328125" style="19" customWidth="1"/>
    <col min="4354" max="4354" width="29.265625" style="19" bestFit="1" customWidth="1"/>
    <col min="4355" max="4355" width="17.73046875" style="19" bestFit="1" customWidth="1"/>
    <col min="4356" max="4356" width="20.86328125" style="19" bestFit="1" customWidth="1"/>
    <col min="4357" max="4357" width="40.1328125" style="19" bestFit="1" customWidth="1"/>
    <col min="4358" max="4358" width="15" style="19" bestFit="1" customWidth="1"/>
    <col min="4359" max="4359" width="30.59765625" style="19" bestFit="1" customWidth="1"/>
    <col min="4360" max="4360" width="10.73046875" style="19" bestFit="1" customWidth="1"/>
    <col min="4361" max="4361" width="7.265625" style="19" bestFit="1" customWidth="1"/>
    <col min="4362" max="4362" width="8.3984375" style="19" bestFit="1" customWidth="1"/>
    <col min="4363" max="4363" width="13.265625" style="19" bestFit="1" customWidth="1"/>
    <col min="4364" max="4364" width="17" style="19" bestFit="1" customWidth="1"/>
    <col min="4365" max="4365" width="15.3984375" style="19" bestFit="1" customWidth="1"/>
    <col min="4366" max="4366" width="10" style="19" customWidth="1"/>
    <col min="4367" max="4367" width="10.59765625" style="19" bestFit="1" customWidth="1"/>
    <col min="4368" max="4368" width="13.265625" style="19" bestFit="1" customWidth="1"/>
    <col min="4369" max="4608" width="9.1328125" style="19"/>
    <col min="4609" max="4609" width="14.86328125" style="19" customWidth="1"/>
    <col min="4610" max="4610" width="29.265625" style="19" bestFit="1" customWidth="1"/>
    <col min="4611" max="4611" width="17.73046875" style="19" bestFit="1" customWidth="1"/>
    <col min="4612" max="4612" width="20.86328125" style="19" bestFit="1" customWidth="1"/>
    <col min="4613" max="4613" width="40.1328125" style="19" bestFit="1" customWidth="1"/>
    <col min="4614" max="4614" width="15" style="19" bestFit="1" customWidth="1"/>
    <col min="4615" max="4615" width="30.59765625" style="19" bestFit="1" customWidth="1"/>
    <col min="4616" max="4616" width="10.73046875" style="19" bestFit="1" customWidth="1"/>
    <col min="4617" max="4617" width="7.265625" style="19" bestFit="1" customWidth="1"/>
    <col min="4618" max="4618" width="8.3984375" style="19" bestFit="1" customWidth="1"/>
    <col min="4619" max="4619" width="13.265625" style="19" bestFit="1" customWidth="1"/>
    <col min="4620" max="4620" width="17" style="19" bestFit="1" customWidth="1"/>
    <col min="4621" max="4621" width="15.3984375" style="19" bestFit="1" customWidth="1"/>
    <col min="4622" max="4622" width="10" style="19" customWidth="1"/>
    <col min="4623" max="4623" width="10.59765625" style="19" bestFit="1" customWidth="1"/>
    <col min="4624" max="4624" width="13.265625" style="19" bestFit="1" customWidth="1"/>
    <col min="4625" max="4864" width="9.1328125" style="19"/>
    <col min="4865" max="4865" width="14.86328125" style="19" customWidth="1"/>
    <col min="4866" max="4866" width="29.265625" style="19" bestFit="1" customWidth="1"/>
    <col min="4867" max="4867" width="17.73046875" style="19" bestFit="1" customWidth="1"/>
    <col min="4868" max="4868" width="20.86328125" style="19" bestFit="1" customWidth="1"/>
    <col min="4869" max="4869" width="40.1328125" style="19" bestFit="1" customWidth="1"/>
    <col min="4870" max="4870" width="15" style="19" bestFit="1" customWidth="1"/>
    <col min="4871" max="4871" width="30.59765625" style="19" bestFit="1" customWidth="1"/>
    <col min="4872" max="4872" width="10.73046875" style="19" bestFit="1" customWidth="1"/>
    <col min="4873" max="4873" width="7.265625" style="19" bestFit="1" customWidth="1"/>
    <col min="4874" max="4874" width="8.3984375" style="19" bestFit="1" customWidth="1"/>
    <col min="4875" max="4875" width="13.265625" style="19" bestFit="1" customWidth="1"/>
    <col min="4876" max="4876" width="17" style="19" bestFit="1" customWidth="1"/>
    <col min="4877" max="4877" width="15.3984375" style="19" bestFit="1" customWidth="1"/>
    <col min="4878" max="4878" width="10" style="19" customWidth="1"/>
    <col min="4879" max="4879" width="10.59765625" style="19" bestFit="1" customWidth="1"/>
    <col min="4880" max="4880" width="13.265625" style="19" bestFit="1" customWidth="1"/>
    <col min="4881" max="5120" width="9.1328125" style="19"/>
    <col min="5121" max="5121" width="14.86328125" style="19" customWidth="1"/>
    <col min="5122" max="5122" width="29.265625" style="19" bestFit="1" customWidth="1"/>
    <col min="5123" max="5123" width="17.73046875" style="19" bestFit="1" customWidth="1"/>
    <col min="5124" max="5124" width="20.86328125" style="19" bestFit="1" customWidth="1"/>
    <col min="5125" max="5125" width="40.1328125" style="19" bestFit="1" customWidth="1"/>
    <col min="5126" max="5126" width="15" style="19" bestFit="1" customWidth="1"/>
    <col min="5127" max="5127" width="30.59765625" style="19" bestFit="1" customWidth="1"/>
    <col min="5128" max="5128" width="10.73046875" style="19" bestFit="1" customWidth="1"/>
    <col min="5129" max="5129" width="7.265625" style="19" bestFit="1" customWidth="1"/>
    <col min="5130" max="5130" width="8.3984375" style="19" bestFit="1" customWidth="1"/>
    <col min="5131" max="5131" width="13.265625" style="19" bestFit="1" customWidth="1"/>
    <col min="5132" max="5132" width="17" style="19" bestFit="1" customWidth="1"/>
    <col min="5133" max="5133" width="15.3984375" style="19" bestFit="1" customWidth="1"/>
    <col min="5134" max="5134" width="10" style="19" customWidth="1"/>
    <col min="5135" max="5135" width="10.59765625" style="19" bestFit="1" customWidth="1"/>
    <col min="5136" max="5136" width="13.265625" style="19" bestFit="1" customWidth="1"/>
    <col min="5137" max="5376" width="9.1328125" style="19"/>
    <col min="5377" max="5377" width="14.86328125" style="19" customWidth="1"/>
    <col min="5378" max="5378" width="29.265625" style="19" bestFit="1" customWidth="1"/>
    <col min="5379" max="5379" width="17.73046875" style="19" bestFit="1" customWidth="1"/>
    <col min="5380" max="5380" width="20.86328125" style="19" bestFit="1" customWidth="1"/>
    <col min="5381" max="5381" width="40.1328125" style="19" bestFit="1" customWidth="1"/>
    <col min="5382" max="5382" width="15" style="19" bestFit="1" customWidth="1"/>
    <col min="5383" max="5383" width="30.59765625" style="19" bestFit="1" customWidth="1"/>
    <col min="5384" max="5384" width="10.73046875" style="19" bestFit="1" customWidth="1"/>
    <col min="5385" max="5385" width="7.265625" style="19" bestFit="1" customWidth="1"/>
    <col min="5386" max="5386" width="8.3984375" style="19" bestFit="1" customWidth="1"/>
    <col min="5387" max="5387" width="13.265625" style="19" bestFit="1" customWidth="1"/>
    <col min="5388" max="5388" width="17" style="19" bestFit="1" customWidth="1"/>
    <col min="5389" max="5389" width="15.3984375" style="19" bestFit="1" customWidth="1"/>
    <col min="5390" max="5390" width="10" style="19" customWidth="1"/>
    <col min="5391" max="5391" width="10.59765625" style="19" bestFit="1" customWidth="1"/>
    <col min="5392" max="5392" width="13.265625" style="19" bestFit="1" customWidth="1"/>
    <col min="5393" max="5632" width="9.1328125" style="19"/>
    <col min="5633" max="5633" width="14.86328125" style="19" customWidth="1"/>
    <col min="5634" max="5634" width="29.265625" style="19" bestFit="1" customWidth="1"/>
    <col min="5635" max="5635" width="17.73046875" style="19" bestFit="1" customWidth="1"/>
    <col min="5636" max="5636" width="20.86328125" style="19" bestFit="1" customWidth="1"/>
    <col min="5637" max="5637" width="40.1328125" style="19" bestFit="1" customWidth="1"/>
    <col min="5638" max="5638" width="15" style="19" bestFit="1" customWidth="1"/>
    <col min="5639" max="5639" width="30.59765625" style="19" bestFit="1" customWidth="1"/>
    <col min="5640" max="5640" width="10.73046875" style="19" bestFit="1" customWidth="1"/>
    <col min="5641" max="5641" width="7.265625" style="19" bestFit="1" customWidth="1"/>
    <col min="5642" max="5642" width="8.3984375" style="19" bestFit="1" customWidth="1"/>
    <col min="5643" max="5643" width="13.265625" style="19" bestFit="1" customWidth="1"/>
    <col min="5644" max="5644" width="17" style="19" bestFit="1" customWidth="1"/>
    <col min="5645" max="5645" width="15.3984375" style="19" bestFit="1" customWidth="1"/>
    <col min="5646" max="5646" width="10" style="19" customWidth="1"/>
    <col min="5647" max="5647" width="10.59765625" style="19" bestFit="1" customWidth="1"/>
    <col min="5648" max="5648" width="13.265625" style="19" bestFit="1" customWidth="1"/>
    <col min="5649" max="5888" width="9.1328125" style="19"/>
    <col min="5889" max="5889" width="14.86328125" style="19" customWidth="1"/>
    <col min="5890" max="5890" width="29.265625" style="19" bestFit="1" customWidth="1"/>
    <col min="5891" max="5891" width="17.73046875" style="19" bestFit="1" customWidth="1"/>
    <col min="5892" max="5892" width="20.86328125" style="19" bestFit="1" customWidth="1"/>
    <col min="5893" max="5893" width="40.1328125" style="19" bestFit="1" customWidth="1"/>
    <col min="5894" max="5894" width="15" style="19" bestFit="1" customWidth="1"/>
    <col min="5895" max="5895" width="30.59765625" style="19" bestFit="1" customWidth="1"/>
    <col min="5896" max="5896" width="10.73046875" style="19" bestFit="1" customWidth="1"/>
    <col min="5897" max="5897" width="7.265625" style="19" bestFit="1" customWidth="1"/>
    <col min="5898" max="5898" width="8.3984375" style="19" bestFit="1" customWidth="1"/>
    <col min="5899" max="5899" width="13.265625" style="19" bestFit="1" customWidth="1"/>
    <col min="5900" max="5900" width="17" style="19" bestFit="1" customWidth="1"/>
    <col min="5901" max="5901" width="15.3984375" style="19" bestFit="1" customWidth="1"/>
    <col min="5902" max="5902" width="10" style="19" customWidth="1"/>
    <col min="5903" max="5903" width="10.59765625" style="19" bestFit="1" customWidth="1"/>
    <col min="5904" max="5904" width="13.265625" style="19" bestFit="1" customWidth="1"/>
    <col min="5905" max="6144" width="9.1328125" style="19"/>
    <col min="6145" max="6145" width="14.86328125" style="19" customWidth="1"/>
    <col min="6146" max="6146" width="29.265625" style="19" bestFit="1" customWidth="1"/>
    <col min="6147" max="6147" width="17.73046875" style="19" bestFit="1" customWidth="1"/>
    <col min="6148" max="6148" width="20.86328125" style="19" bestFit="1" customWidth="1"/>
    <col min="6149" max="6149" width="40.1328125" style="19" bestFit="1" customWidth="1"/>
    <col min="6150" max="6150" width="15" style="19" bestFit="1" customWidth="1"/>
    <col min="6151" max="6151" width="30.59765625" style="19" bestFit="1" customWidth="1"/>
    <col min="6152" max="6152" width="10.73046875" style="19" bestFit="1" customWidth="1"/>
    <col min="6153" max="6153" width="7.265625" style="19" bestFit="1" customWidth="1"/>
    <col min="6154" max="6154" width="8.3984375" style="19" bestFit="1" customWidth="1"/>
    <col min="6155" max="6155" width="13.265625" style="19" bestFit="1" customWidth="1"/>
    <col min="6156" max="6156" width="17" style="19" bestFit="1" customWidth="1"/>
    <col min="6157" max="6157" width="15.3984375" style="19" bestFit="1" customWidth="1"/>
    <col min="6158" max="6158" width="10" style="19" customWidth="1"/>
    <col min="6159" max="6159" width="10.59765625" style="19" bestFit="1" customWidth="1"/>
    <col min="6160" max="6160" width="13.265625" style="19" bestFit="1" customWidth="1"/>
    <col min="6161" max="6400" width="9.1328125" style="19"/>
    <col min="6401" max="6401" width="14.86328125" style="19" customWidth="1"/>
    <col min="6402" max="6402" width="29.265625" style="19" bestFit="1" customWidth="1"/>
    <col min="6403" max="6403" width="17.73046875" style="19" bestFit="1" customWidth="1"/>
    <col min="6404" max="6404" width="20.86328125" style="19" bestFit="1" customWidth="1"/>
    <col min="6405" max="6405" width="40.1328125" style="19" bestFit="1" customWidth="1"/>
    <col min="6406" max="6406" width="15" style="19" bestFit="1" customWidth="1"/>
    <col min="6407" max="6407" width="30.59765625" style="19" bestFit="1" customWidth="1"/>
    <col min="6408" max="6408" width="10.73046875" style="19" bestFit="1" customWidth="1"/>
    <col min="6409" max="6409" width="7.265625" style="19" bestFit="1" customWidth="1"/>
    <col min="6410" max="6410" width="8.3984375" style="19" bestFit="1" customWidth="1"/>
    <col min="6411" max="6411" width="13.265625" style="19" bestFit="1" customWidth="1"/>
    <col min="6412" max="6412" width="17" style="19" bestFit="1" customWidth="1"/>
    <col min="6413" max="6413" width="15.3984375" style="19" bestFit="1" customWidth="1"/>
    <col min="6414" max="6414" width="10" style="19" customWidth="1"/>
    <col min="6415" max="6415" width="10.59765625" style="19" bestFit="1" customWidth="1"/>
    <col min="6416" max="6416" width="13.265625" style="19" bestFit="1" customWidth="1"/>
    <col min="6417" max="6656" width="9.1328125" style="19"/>
    <col min="6657" max="6657" width="14.86328125" style="19" customWidth="1"/>
    <col min="6658" max="6658" width="29.265625" style="19" bestFit="1" customWidth="1"/>
    <col min="6659" max="6659" width="17.73046875" style="19" bestFit="1" customWidth="1"/>
    <col min="6660" max="6660" width="20.86328125" style="19" bestFit="1" customWidth="1"/>
    <col min="6661" max="6661" width="40.1328125" style="19" bestFit="1" customWidth="1"/>
    <col min="6662" max="6662" width="15" style="19" bestFit="1" customWidth="1"/>
    <col min="6663" max="6663" width="30.59765625" style="19" bestFit="1" customWidth="1"/>
    <col min="6664" max="6664" width="10.73046875" style="19" bestFit="1" customWidth="1"/>
    <col min="6665" max="6665" width="7.265625" style="19" bestFit="1" customWidth="1"/>
    <col min="6666" max="6666" width="8.3984375" style="19" bestFit="1" customWidth="1"/>
    <col min="6667" max="6667" width="13.265625" style="19" bestFit="1" customWidth="1"/>
    <col min="6668" max="6668" width="17" style="19" bestFit="1" customWidth="1"/>
    <col min="6669" max="6669" width="15.3984375" style="19" bestFit="1" customWidth="1"/>
    <col min="6670" max="6670" width="10" style="19" customWidth="1"/>
    <col min="6671" max="6671" width="10.59765625" style="19" bestFit="1" customWidth="1"/>
    <col min="6672" max="6672" width="13.265625" style="19" bestFit="1" customWidth="1"/>
    <col min="6673" max="6912" width="9.1328125" style="19"/>
    <col min="6913" max="6913" width="14.86328125" style="19" customWidth="1"/>
    <col min="6914" max="6914" width="29.265625" style="19" bestFit="1" customWidth="1"/>
    <col min="6915" max="6915" width="17.73046875" style="19" bestFit="1" customWidth="1"/>
    <col min="6916" max="6916" width="20.86328125" style="19" bestFit="1" customWidth="1"/>
    <col min="6917" max="6917" width="40.1328125" style="19" bestFit="1" customWidth="1"/>
    <col min="6918" max="6918" width="15" style="19" bestFit="1" customWidth="1"/>
    <col min="6919" max="6919" width="30.59765625" style="19" bestFit="1" customWidth="1"/>
    <col min="6920" max="6920" width="10.73046875" style="19" bestFit="1" customWidth="1"/>
    <col min="6921" max="6921" width="7.265625" style="19" bestFit="1" customWidth="1"/>
    <col min="6922" max="6922" width="8.3984375" style="19" bestFit="1" customWidth="1"/>
    <col min="6923" max="6923" width="13.265625" style="19" bestFit="1" customWidth="1"/>
    <col min="6924" max="6924" width="17" style="19" bestFit="1" customWidth="1"/>
    <col min="6925" max="6925" width="15.3984375" style="19" bestFit="1" customWidth="1"/>
    <col min="6926" max="6926" width="10" style="19" customWidth="1"/>
    <col min="6927" max="6927" width="10.59765625" style="19" bestFit="1" customWidth="1"/>
    <col min="6928" max="6928" width="13.265625" style="19" bestFit="1" customWidth="1"/>
    <col min="6929" max="7168" width="9.1328125" style="19"/>
    <col min="7169" max="7169" width="14.86328125" style="19" customWidth="1"/>
    <col min="7170" max="7170" width="29.265625" style="19" bestFit="1" customWidth="1"/>
    <col min="7171" max="7171" width="17.73046875" style="19" bestFit="1" customWidth="1"/>
    <col min="7172" max="7172" width="20.86328125" style="19" bestFit="1" customWidth="1"/>
    <col min="7173" max="7173" width="40.1328125" style="19" bestFit="1" customWidth="1"/>
    <col min="7174" max="7174" width="15" style="19" bestFit="1" customWidth="1"/>
    <col min="7175" max="7175" width="30.59765625" style="19" bestFit="1" customWidth="1"/>
    <col min="7176" max="7176" width="10.73046875" style="19" bestFit="1" customWidth="1"/>
    <col min="7177" max="7177" width="7.265625" style="19" bestFit="1" customWidth="1"/>
    <col min="7178" max="7178" width="8.3984375" style="19" bestFit="1" customWidth="1"/>
    <col min="7179" max="7179" width="13.265625" style="19" bestFit="1" customWidth="1"/>
    <col min="7180" max="7180" width="17" style="19" bestFit="1" customWidth="1"/>
    <col min="7181" max="7181" width="15.3984375" style="19" bestFit="1" customWidth="1"/>
    <col min="7182" max="7182" width="10" style="19" customWidth="1"/>
    <col min="7183" max="7183" width="10.59765625" style="19" bestFit="1" customWidth="1"/>
    <col min="7184" max="7184" width="13.265625" style="19" bestFit="1" customWidth="1"/>
    <col min="7185" max="7424" width="9.1328125" style="19"/>
    <col min="7425" max="7425" width="14.86328125" style="19" customWidth="1"/>
    <col min="7426" max="7426" width="29.265625" style="19" bestFit="1" customWidth="1"/>
    <col min="7427" max="7427" width="17.73046875" style="19" bestFit="1" customWidth="1"/>
    <col min="7428" max="7428" width="20.86328125" style="19" bestFit="1" customWidth="1"/>
    <col min="7429" max="7429" width="40.1328125" style="19" bestFit="1" customWidth="1"/>
    <col min="7430" max="7430" width="15" style="19" bestFit="1" customWidth="1"/>
    <col min="7431" max="7431" width="30.59765625" style="19" bestFit="1" customWidth="1"/>
    <col min="7432" max="7432" width="10.73046875" style="19" bestFit="1" customWidth="1"/>
    <col min="7433" max="7433" width="7.265625" style="19" bestFit="1" customWidth="1"/>
    <col min="7434" max="7434" width="8.3984375" style="19" bestFit="1" customWidth="1"/>
    <col min="7435" max="7435" width="13.265625" style="19" bestFit="1" customWidth="1"/>
    <col min="7436" max="7436" width="17" style="19" bestFit="1" customWidth="1"/>
    <col min="7437" max="7437" width="15.3984375" style="19" bestFit="1" customWidth="1"/>
    <col min="7438" max="7438" width="10" style="19" customWidth="1"/>
    <col min="7439" max="7439" width="10.59765625" style="19" bestFit="1" customWidth="1"/>
    <col min="7440" max="7440" width="13.265625" style="19" bestFit="1" customWidth="1"/>
    <col min="7441" max="7680" width="9.1328125" style="19"/>
    <col min="7681" max="7681" width="14.86328125" style="19" customWidth="1"/>
    <col min="7682" max="7682" width="29.265625" style="19" bestFit="1" customWidth="1"/>
    <col min="7683" max="7683" width="17.73046875" style="19" bestFit="1" customWidth="1"/>
    <col min="7684" max="7684" width="20.86328125" style="19" bestFit="1" customWidth="1"/>
    <col min="7685" max="7685" width="40.1328125" style="19" bestFit="1" customWidth="1"/>
    <col min="7686" max="7686" width="15" style="19" bestFit="1" customWidth="1"/>
    <col min="7687" max="7687" width="30.59765625" style="19" bestFit="1" customWidth="1"/>
    <col min="7688" max="7688" width="10.73046875" style="19" bestFit="1" customWidth="1"/>
    <col min="7689" max="7689" width="7.265625" style="19" bestFit="1" customWidth="1"/>
    <col min="7690" max="7690" width="8.3984375" style="19" bestFit="1" customWidth="1"/>
    <col min="7691" max="7691" width="13.265625" style="19" bestFit="1" customWidth="1"/>
    <col min="7692" max="7692" width="17" style="19" bestFit="1" customWidth="1"/>
    <col min="7693" max="7693" width="15.3984375" style="19" bestFit="1" customWidth="1"/>
    <col min="7694" max="7694" width="10" style="19" customWidth="1"/>
    <col min="7695" max="7695" width="10.59765625" style="19" bestFit="1" customWidth="1"/>
    <col min="7696" max="7696" width="13.265625" style="19" bestFit="1" customWidth="1"/>
    <col min="7697" max="7936" width="9.1328125" style="19"/>
    <col min="7937" max="7937" width="14.86328125" style="19" customWidth="1"/>
    <col min="7938" max="7938" width="29.265625" style="19" bestFit="1" customWidth="1"/>
    <col min="7939" max="7939" width="17.73046875" style="19" bestFit="1" customWidth="1"/>
    <col min="7940" max="7940" width="20.86328125" style="19" bestFit="1" customWidth="1"/>
    <col min="7941" max="7941" width="40.1328125" style="19" bestFit="1" customWidth="1"/>
    <col min="7942" max="7942" width="15" style="19" bestFit="1" customWidth="1"/>
    <col min="7943" max="7943" width="30.59765625" style="19" bestFit="1" customWidth="1"/>
    <col min="7944" max="7944" width="10.73046875" style="19" bestFit="1" customWidth="1"/>
    <col min="7945" max="7945" width="7.265625" style="19" bestFit="1" customWidth="1"/>
    <col min="7946" max="7946" width="8.3984375" style="19" bestFit="1" customWidth="1"/>
    <col min="7947" max="7947" width="13.265625" style="19" bestFit="1" customWidth="1"/>
    <col min="7948" max="7948" width="17" style="19" bestFit="1" customWidth="1"/>
    <col min="7949" max="7949" width="15.3984375" style="19" bestFit="1" customWidth="1"/>
    <col min="7950" max="7950" width="10" style="19" customWidth="1"/>
    <col min="7951" max="7951" width="10.59765625" style="19" bestFit="1" customWidth="1"/>
    <col min="7952" max="7952" width="13.265625" style="19" bestFit="1" customWidth="1"/>
    <col min="7953" max="8192" width="9.1328125" style="19"/>
    <col min="8193" max="8193" width="14.86328125" style="19" customWidth="1"/>
    <col min="8194" max="8194" width="29.265625" style="19" bestFit="1" customWidth="1"/>
    <col min="8195" max="8195" width="17.73046875" style="19" bestFit="1" customWidth="1"/>
    <col min="8196" max="8196" width="20.86328125" style="19" bestFit="1" customWidth="1"/>
    <col min="8197" max="8197" width="40.1328125" style="19" bestFit="1" customWidth="1"/>
    <col min="8198" max="8198" width="15" style="19" bestFit="1" customWidth="1"/>
    <col min="8199" max="8199" width="30.59765625" style="19" bestFit="1" customWidth="1"/>
    <col min="8200" max="8200" width="10.73046875" style="19" bestFit="1" customWidth="1"/>
    <col min="8201" max="8201" width="7.265625" style="19" bestFit="1" customWidth="1"/>
    <col min="8202" max="8202" width="8.3984375" style="19" bestFit="1" customWidth="1"/>
    <col min="8203" max="8203" width="13.265625" style="19" bestFit="1" customWidth="1"/>
    <col min="8204" max="8204" width="17" style="19" bestFit="1" customWidth="1"/>
    <col min="8205" max="8205" width="15.3984375" style="19" bestFit="1" customWidth="1"/>
    <col min="8206" max="8206" width="10" style="19" customWidth="1"/>
    <col min="8207" max="8207" width="10.59765625" style="19" bestFit="1" customWidth="1"/>
    <col min="8208" max="8208" width="13.265625" style="19" bestFit="1" customWidth="1"/>
    <col min="8209" max="8448" width="9.1328125" style="19"/>
    <col min="8449" max="8449" width="14.86328125" style="19" customWidth="1"/>
    <col min="8450" max="8450" width="29.265625" style="19" bestFit="1" customWidth="1"/>
    <col min="8451" max="8451" width="17.73046875" style="19" bestFit="1" customWidth="1"/>
    <col min="8452" max="8452" width="20.86328125" style="19" bestFit="1" customWidth="1"/>
    <col min="8453" max="8453" width="40.1328125" style="19" bestFit="1" customWidth="1"/>
    <col min="8454" max="8454" width="15" style="19" bestFit="1" customWidth="1"/>
    <col min="8455" max="8455" width="30.59765625" style="19" bestFit="1" customWidth="1"/>
    <col min="8456" max="8456" width="10.73046875" style="19" bestFit="1" customWidth="1"/>
    <col min="8457" max="8457" width="7.265625" style="19" bestFit="1" customWidth="1"/>
    <col min="8458" max="8458" width="8.3984375" style="19" bestFit="1" customWidth="1"/>
    <col min="8459" max="8459" width="13.265625" style="19" bestFit="1" customWidth="1"/>
    <col min="8460" max="8460" width="17" style="19" bestFit="1" customWidth="1"/>
    <col min="8461" max="8461" width="15.3984375" style="19" bestFit="1" customWidth="1"/>
    <col min="8462" max="8462" width="10" style="19" customWidth="1"/>
    <col min="8463" max="8463" width="10.59765625" style="19" bestFit="1" customWidth="1"/>
    <col min="8464" max="8464" width="13.265625" style="19" bestFit="1" customWidth="1"/>
    <col min="8465" max="8704" width="9.1328125" style="19"/>
    <col min="8705" max="8705" width="14.86328125" style="19" customWidth="1"/>
    <col min="8706" max="8706" width="29.265625" style="19" bestFit="1" customWidth="1"/>
    <col min="8707" max="8707" width="17.73046875" style="19" bestFit="1" customWidth="1"/>
    <col min="8708" max="8708" width="20.86328125" style="19" bestFit="1" customWidth="1"/>
    <col min="8709" max="8709" width="40.1328125" style="19" bestFit="1" customWidth="1"/>
    <col min="8710" max="8710" width="15" style="19" bestFit="1" customWidth="1"/>
    <col min="8711" max="8711" width="30.59765625" style="19" bestFit="1" customWidth="1"/>
    <col min="8712" max="8712" width="10.73046875" style="19" bestFit="1" customWidth="1"/>
    <col min="8713" max="8713" width="7.265625" style="19" bestFit="1" customWidth="1"/>
    <col min="8714" max="8714" width="8.3984375" style="19" bestFit="1" customWidth="1"/>
    <col min="8715" max="8715" width="13.265625" style="19" bestFit="1" customWidth="1"/>
    <col min="8716" max="8716" width="17" style="19" bestFit="1" customWidth="1"/>
    <col min="8717" max="8717" width="15.3984375" style="19" bestFit="1" customWidth="1"/>
    <col min="8718" max="8718" width="10" style="19" customWidth="1"/>
    <col min="8719" max="8719" width="10.59765625" style="19" bestFit="1" customWidth="1"/>
    <col min="8720" max="8720" width="13.265625" style="19" bestFit="1" customWidth="1"/>
    <col min="8721" max="8960" width="9.1328125" style="19"/>
    <col min="8961" max="8961" width="14.86328125" style="19" customWidth="1"/>
    <col min="8962" max="8962" width="29.265625" style="19" bestFit="1" customWidth="1"/>
    <col min="8963" max="8963" width="17.73046875" style="19" bestFit="1" customWidth="1"/>
    <col min="8964" max="8964" width="20.86328125" style="19" bestFit="1" customWidth="1"/>
    <col min="8965" max="8965" width="40.1328125" style="19" bestFit="1" customWidth="1"/>
    <col min="8966" max="8966" width="15" style="19" bestFit="1" customWidth="1"/>
    <col min="8967" max="8967" width="30.59765625" style="19" bestFit="1" customWidth="1"/>
    <col min="8968" max="8968" width="10.73046875" style="19" bestFit="1" customWidth="1"/>
    <col min="8969" max="8969" width="7.265625" style="19" bestFit="1" customWidth="1"/>
    <col min="8970" max="8970" width="8.3984375" style="19" bestFit="1" customWidth="1"/>
    <col min="8971" max="8971" width="13.265625" style="19" bestFit="1" customWidth="1"/>
    <col min="8972" max="8972" width="17" style="19" bestFit="1" customWidth="1"/>
    <col min="8973" max="8973" width="15.3984375" style="19" bestFit="1" customWidth="1"/>
    <col min="8974" max="8974" width="10" style="19" customWidth="1"/>
    <col min="8975" max="8975" width="10.59765625" style="19" bestFit="1" customWidth="1"/>
    <col min="8976" max="8976" width="13.265625" style="19" bestFit="1" customWidth="1"/>
    <col min="8977" max="9216" width="9.1328125" style="19"/>
    <col min="9217" max="9217" width="14.86328125" style="19" customWidth="1"/>
    <col min="9218" max="9218" width="29.265625" style="19" bestFit="1" customWidth="1"/>
    <col min="9219" max="9219" width="17.73046875" style="19" bestFit="1" customWidth="1"/>
    <col min="9220" max="9220" width="20.86328125" style="19" bestFit="1" customWidth="1"/>
    <col min="9221" max="9221" width="40.1328125" style="19" bestFit="1" customWidth="1"/>
    <col min="9222" max="9222" width="15" style="19" bestFit="1" customWidth="1"/>
    <col min="9223" max="9223" width="30.59765625" style="19" bestFit="1" customWidth="1"/>
    <col min="9224" max="9224" width="10.73046875" style="19" bestFit="1" customWidth="1"/>
    <col min="9225" max="9225" width="7.265625" style="19" bestFit="1" customWidth="1"/>
    <col min="9226" max="9226" width="8.3984375" style="19" bestFit="1" customWidth="1"/>
    <col min="9227" max="9227" width="13.265625" style="19" bestFit="1" customWidth="1"/>
    <col min="9228" max="9228" width="17" style="19" bestFit="1" customWidth="1"/>
    <col min="9229" max="9229" width="15.3984375" style="19" bestFit="1" customWidth="1"/>
    <col min="9230" max="9230" width="10" style="19" customWidth="1"/>
    <col min="9231" max="9231" width="10.59765625" style="19" bestFit="1" customWidth="1"/>
    <col min="9232" max="9232" width="13.265625" style="19" bestFit="1" customWidth="1"/>
    <col min="9233" max="9472" width="9.1328125" style="19"/>
    <col min="9473" max="9473" width="14.86328125" style="19" customWidth="1"/>
    <col min="9474" max="9474" width="29.265625" style="19" bestFit="1" customWidth="1"/>
    <col min="9475" max="9475" width="17.73046875" style="19" bestFit="1" customWidth="1"/>
    <col min="9476" max="9476" width="20.86328125" style="19" bestFit="1" customWidth="1"/>
    <col min="9477" max="9477" width="40.1328125" style="19" bestFit="1" customWidth="1"/>
    <col min="9478" max="9478" width="15" style="19" bestFit="1" customWidth="1"/>
    <col min="9479" max="9479" width="30.59765625" style="19" bestFit="1" customWidth="1"/>
    <col min="9480" max="9480" width="10.73046875" style="19" bestFit="1" customWidth="1"/>
    <col min="9481" max="9481" width="7.265625" style="19" bestFit="1" customWidth="1"/>
    <col min="9482" max="9482" width="8.3984375" style="19" bestFit="1" customWidth="1"/>
    <col min="9483" max="9483" width="13.265625" style="19" bestFit="1" customWidth="1"/>
    <col min="9484" max="9484" width="17" style="19" bestFit="1" customWidth="1"/>
    <col min="9485" max="9485" width="15.3984375" style="19" bestFit="1" customWidth="1"/>
    <col min="9486" max="9486" width="10" style="19" customWidth="1"/>
    <col min="9487" max="9487" width="10.59765625" style="19" bestFit="1" customWidth="1"/>
    <col min="9488" max="9488" width="13.265625" style="19" bestFit="1" customWidth="1"/>
    <col min="9489" max="9728" width="9.1328125" style="19"/>
    <col min="9729" max="9729" width="14.86328125" style="19" customWidth="1"/>
    <col min="9730" max="9730" width="29.265625" style="19" bestFit="1" customWidth="1"/>
    <col min="9731" max="9731" width="17.73046875" style="19" bestFit="1" customWidth="1"/>
    <col min="9732" max="9732" width="20.86328125" style="19" bestFit="1" customWidth="1"/>
    <col min="9733" max="9733" width="40.1328125" style="19" bestFit="1" customWidth="1"/>
    <col min="9734" max="9734" width="15" style="19" bestFit="1" customWidth="1"/>
    <col min="9735" max="9735" width="30.59765625" style="19" bestFit="1" customWidth="1"/>
    <col min="9736" max="9736" width="10.73046875" style="19" bestFit="1" customWidth="1"/>
    <col min="9737" max="9737" width="7.265625" style="19" bestFit="1" customWidth="1"/>
    <col min="9738" max="9738" width="8.3984375" style="19" bestFit="1" customWidth="1"/>
    <col min="9739" max="9739" width="13.265625" style="19" bestFit="1" customWidth="1"/>
    <col min="9740" max="9740" width="17" style="19" bestFit="1" customWidth="1"/>
    <col min="9741" max="9741" width="15.3984375" style="19" bestFit="1" customWidth="1"/>
    <col min="9742" max="9742" width="10" style="19" customWidth="1"/>
    <col min="9743" max="9743" width="10.59765625" style="19" bestFit="1" customWidth="1"/>
    <col min="9744" max="9744" width="13.265625" style="19" bestFit="1" customWidth="1"/>
    <col min="9745" max="9984" width="9.1328125" style="19"/>
    <col min="9985" max="9985" width="14.86328125" style="19" customWidth="1"/>
    <col min="9986" max="9986" width="29.265625" style="19" bestFit="1" customWidth="1"/>
    <col min="9987" max="9987" width="17.73046875" style="19" bestFit="1" customWidth="1"/>
    <col min="9988" max="9988" width="20.86328125" style="19" bestFit="1" customWidth="1"/>
    <col min="9989" max="9989" width="40.1328125" style="19" bestFit="1" customWidth="1"/>
    <col min="9990" max="9990" width="15" style="19" bestFit="1" customWidth="1"/>
    <col min="9991" max="9991" width="30.59765625" style="19" bestFit="1" customWidth="1"/>
    <col min="9992" max="9992" width="10.73046875" style="19" bestFit="1" customWidth="1"/>
    <col min="9993" max="9993" width="7.265625" style="19" bestFit="1" customWidth="1"/>
    <col min="9994" max="9994" width="8.3984375" style="19" bestFit="1" customWidth="1"/>
    <col min="9995" max="9995" width="13.265625" style="19" bestFit="1" customWidth="1"/>
    <col min="9996" max="9996" width="17" style="19" bestFit="1" customWidth="1"/>
    <col min="9997" max="9997" width="15.3984375" style="19" bestFit="1" customWidth="1"/>
    <col min="9998" max="9998" width="10" style="19" customWidth="1"/>
    <col min="9999" max="9999" width="10.59765625" style="19" bestFit="1" customWidth="1"/>
    <col min="10000" max="10000" width="13.265625" style="19" bestFit="1" customWidth="1"/>
    <col min="10001" max="10240" width="9.1328125" style="19"/>
    <col min="10241" max="10241" width="14.86328125" style="19" customWidth="1"/>
    <col min="10242" max="10242" width="29.265625" style="19" bestFit="1" customWidth="1"/>
    <col min="10243" max="10243" width="17.73046875" style="19" bestFit="1" customWidth="1"/>
    <col min="10244" max="10244" width="20.86328125" style="19" bestFit="1" customWidth="1"/>
    <col min="10245" max="10245" width="40.1328125" style="19" bestFit="1" customWidth="1"/>
    <col min="10246" max="10246" width="15" style="19" bestFit="1" customWidth="1"/>
    <col min="10247" max="10247" width="30.59765625" style="19" bestFit="1" customWidth="1"/>
    <col min="10248" max="10248" width="10.73046875" style="19" bestFit="1" customWidth="1"/>
    <col min="10249" max="10249" width="7.265625" style="19" bestFit="1" customWidth="1"/>
    <col min="10250" max="10250" width="8.3984375" style="19" bestFit="1" customWidth="1"/>
    <col min="10251" max="10251" width="13.265625" style="19" bestFit="1" customWidth="1"/>
    <col min="10252" max="10252" width="17" style="19" bestFit="1" customWidth="1"/>
    <col min="10253" max="10253" width="15.3984375" style="19" bestFit="1" customWidth="1"/>
    <col min="10254" max="10254" width="10" style="19" customWidth="1"/>
    <col min="10255" max="10255" width="10.59765625" style="19" bestFit="1" customWidth="1"/>
    <col min="10256" max="10256" width="13.265625" style="19" bestFit="1" customWidth="1"/>
    <col min="10257" max="10496" width="9.1328125" style="19"/>
    <col min="10497" max="10497" width="14.86328125" style="19" customWidth="1"/>
    <col min="10498" max="10498" width="29.265625" style="19" bestFit="1" customWidth="1"/>
    <col min="10499" max="10499" width="17.73046875" style="19" bestFit="1" customWidth="1"/>
    <col min="10500" max="10500" width="20.86328125" style="19" bestFit="1" customWidth="1"/>
    <col min="10501" max="10501" width="40.1328125" style="19" bestFit="1" customWidth="1"/>
    <col min="10502" max="10502" width="15" style="19" bestFit="1" customWidth="1"/>
    <col min="10503" max="10503" width="30.59765625" style="19" bestFit="1" customWidth="1"/>
    <col min="10504" max="10504" width="10.73046875" style="19" bestFit="1" customWidth="1"/>
    <col min="10505" max="10505" width="7.265625" style="19" bestFit="1" customWidth="1"/>
    <col min="10506" max="10506" width="8.3984375" style="19" bestFit="1" customWidth="1"/>
    <col min="10507" max="10507" width="13.265625" style="19" bestFit="1" customWidth="1"/>
    <col min="10508" max="10508" width="17" style="19" bestFit="1" customWidth="1"/>
    <col min="10509" max="10509" width="15.3984375" style="19" bestFit="1" customWidth="1"/>
    <col min="10510" max="10510" width="10" style="19" customWidth="1"/>
    <col min="10511" max="10511" width="10.59765625" style="19" bestFit="1" customWidth="1"/>
    <col min="10512" max="10512" width="13.265625" style="19" bestFit="1" customWidth="1"/>
    <col min="10513" max="10752" width="9.1328125" style="19"/>
    <col min="10753" max="10753" width="14.86328125" style="19" customWidth="1"/>
    <col min="10754" max="10754" width="29.265625" style="19" bestFit="1" customWidth="1"/>
    <col min="10755" max="10755" width="17.73046875" style="19" bestFit="1" customWidth="1"/>
    <col min="10756" max="10756" width="20.86328125" style="19" bestFit="1" customWidth="1"/>
    <col min="10757" max="10757" width="40.1328125" style="19" bestFit="1" customWidth="1"/>
    <col min="10758" max="10758" width="15" style="19" bestFit="1" customWidth="1"/>
    <col min="10759" max="10759" width="30.59765625" style="19" bestFit="1" customWidth="1"/>
    <col min="10760" max="10760" width="10.73046875" style="19" bestFit="1" customWidth="1"/>
    <col min="10761" max="10761" width="7.265625" style="19" bestFit="1" customWidth="1"/>
    <col min="10762" max="10762" width="8.3984375" style="19" bestFit="1" customWidth="1"/>
    <col min="10763" max="10763" width="13.265625" style="19" bestFit="1" customWidth="1"/>
    <col min="10764" max="10764" width="17" style="19" bestFit="1" customWidth="1"/>
    <col min="10765" max="10765" width="15.3984375" style="19" bestFit="1" customWidth="1"/>
    <col min="10766" max="10766" width="10" style="19" customWidth="1"/>
    <col min="10767" max="10767" width="10.59765625" style="19" bestFit="1" customWidth="1"/>
    <col min="10768" max="10768" width="13.265625" style="19" bestFit="1" customWidth="1"/>
    <col min="10769" max="11008" width="9.1328125" style="19"/>
    <col min="11009" max="11009" width="14.86328125" style="19" customWidth="1"/>
    <col min="11010" max="11010" width="29.265625" style="19" bestFit="1" customWidth="1"/>
    <col min="11011" max="11011" width="17.73046875" style="19" bestFit="1" customWidth="1"/>
    <col min="11012" max="11012" width="20.86328125" style="19" bestFit="1" customWidth="1"/>
    <col min="11013" max="11013" width="40.1328125" style="19" bestFit="1" customWidth="1"/>
    <col min="11014" max="11014" width="15" style="19" bestFit="1" customWidth="1"/>
    <col min="11015" max="11015" width="30.59765625" style="19" bestFit="1" customWidth="1"/>
    <col min="11016" max="11016" width="10.73046875" style="19" bestFit="1" customWidth="1"/>
    <col min="11017" max="11017" width="7.265625" style="19" bestFit="1" customWidth="1"/>
    <col min="11018" max="11018" width="8.3984375" style="19" bestFit="1" customWidth="1"/>
    <col min="11019" max="11019" width="13.265625" style="19" bestFit="1" customWidth="1"/>
    <col min="11020" max="11020" width="17" style="19" bestFit="1" customWidth="1"/>
    <col min="11021" max="11021" width="15.3984375" style="19" bestFit="1" customWidth="1"/>
    <col min="11022" max="11022" width="10" style="19" customWidth="1"/>
    <col min="11023" max="11023" width="10.59765625" style="19" bestFit="1" customWidth="1"/>
    <col min="11024" max="11024" width="13.265625" style="19" bestFit="1" customWidth="1"/>
    <col min="11025" max="11264" width="9.1328125" style="19"/>
    <col min="11265" max="11265" width="14.86328125" style="19" customWidth="1"/>
    <col min="11266" max="11266" width="29.265625" style="19" bestFit="1" customWidth="1"/>
    <col min="11267" max="11267" width="17.73046875" style="19" bestFit="1" customWidth="1"/>
    <col min="11268" max="11268" width="20.86328125" style="19" bestFit="1" customWidth="1"/>
    <col min="11269" max="11269" width="40.1328125" style="19" bestFit="1" customWidth="1"/>
    <col min="11270" max="11270" width="15" style="19" bestFit="1" customWidth="1"/>
    <col min="11271" max="11271" width="30.59765625" style="19" bestFit="1" customWidth="1"/>
    <col min="11272" max="11272" width="10.73046875" style="19" bestFit="1" customWidth="1"/>
    <col min="11273" max="11273" width="7.265625" style="19" bestFit="1" customWidth="1"/>
    <col min="11274" max="11274" width="8.3984375" style="19" bestFit="1" customWidth="1"/>
    <col min="11275" max="11275" width="13.265625" style="19" bestFit="1" customWidth="1"/>
    <col min="11276" max="11276" width="17" style="19" bestFit="1" customWidth="1"/>
    <col min="11277" max="11277" width="15.3984375" style="19" bestFit="1" customWidth="1"/>
    <col min="11278" max="11278" width="10" style="19" customWidth="1"/>
    <col min="11279" max="11279" width="10.59765625" style="19" bestFit="1" customWidth="1"/>
    <col min="11280" max="11280" width="13.265625" style="19" bestFit="1" customWidth="1"/>
    <col min="11281" max="11520" width="9.1328125" style="19"/>
    <col min="11521" max="11521" width="14.86328125" style="19" customWidth="1"/>
    <col min="11522" max="11522" width="29.265625" style="19" bestFit="1" customWidth="1"/>
    <col min="11523" max="11523" width="17.73046875" style="19" bestFit="1" customWidth="1"/>
    <col min="11524" max="11524" width="20.86328125" style="19" bestFit="1" customWidth="1"/>
    <col min="11525" max="11525" width="40.1328125" style="19" bestFit="1" customWidth="1"/>
    <col min="11526" max="11526" width="15" style="19" bestFit="1" customWidth="1"/>
    <col min="11527" max="11527" width="30.59765625" style="19" bestFit="1" customWidth="1"/>
    <col min="11528" max="11528" width="10.73046875" style="19" bestFit="1" customWidth="1"/>
    <col min="11529" max="11529" width="7.265625" style="19" bestFit="1" customWidth="1"/>
    <col min="11530" max="11530" width="8.3984375" style="19" bestFit="1" customWidth="1"/>
    <col min="11531" max="11531" width="13.265625" style="19" bestFit="1" customWidth="1"/>
    <col min="11532" max="11532" width="17" style="19" bestFit="1" customWidth="1"/>
    <col min="11533" max="11533" width="15.3984375" style="19" bestFit="1" customWidth="1"/>
    <col min="11534" max="11534" width="10" style="19" customWidth="1"/>
    <col min="11535" max="11535" width="10.59765625" style="19" bestFit="1" customWidth="1"/>
    <col min="11536" max="11536" width="13.265625" style="19" bestFit="1" customWidth="1"/>
    <col min="11537" max="11776" width="9.1328125" style="19"/>
    <col min="11777" max="11777" width="14.86328125" style="19" customWidth="1"/>
    <col min="11778" max="11778" width="29.265625" style="19" bestFit="1" customWidth="1"/>
    <col min="11779" max="11779" width="17.73046875" style="19" bestFit="1" customWidth="1"/>
    <col min="11780" max="11780" width="20.86328125" style="19" bestFit="1" customWidth="1"/>
    <col min="11781" max="11781" width="40.1328125" style="19" bestFit="1" customWidth="1"/>
    <col min="11782" max="11782" width="15" style="19" bestFit="1" customWidth="1"/>
    <col min="11783" max="11783" width="30.59765625" style="19" bestFit="1" customWidth="1"/>
    <col min="11784" max="11784" width="10.73046875" style="19" bestFit="1" customWidth="1"/>
    <col min="11785" max="11785" width="7.265625" style="19" bestFit="1" customWidth="1"/>
    <col min="11786" max="11786" width="8.3984375" style="19" bestFit="1" customWidth="1"/>
    <col min="11787" max="11787" width="13.265625" style="19" bestFit="1" customWidth="1"/>
    <col min="11788" max="11788" width="17" style="19" bestFit="1" customWidth="1"/>
    <col min="11789" max="11789" width="15.3984375" style="19" bestFit="1" customWidth="1"/>
    <col min="11790" max="11790" width="10" style="19" customWidth="1"/>
    <col min="11791" max="11791" width="10.59765625" style="19" bestFit="1" customWidth="1"/>
    <col min="11792" max="11792" width="13.265625" style="19" bestFit="1" customWidth="1"/>
    <col min="11793" max="12032" width="9.1328125" style="19"/>
    <col min="12033" max="12033" width="14.86328125" style="19" customWidth="1"/>
    <col min="12034" max="12034" width="29.265625" style="19" bestFit="1" customWidth="1"/>
    <col min="12035" max="12035" width="17.73046875" style="19" bestFit="1" customWidth="1"/>
    <col min="12036" max="12036" width="20.86328125" style="19" bestFit="1" customWidth="1"/>
    <col min="12037" max="12037" width="40.1328125" style="19" bestFit="1" customWidth="1"/>
    <col min="12038" max="12038" width="15" style="19" bestFit="1" customWidth="1"/>
    <col min="12039" max="12039" width="30.59765625" style="19" bestFit="1" customWidth="1"/>
    <col min="12040" max="12040" width="10.73046875" style="19" bestFit="1" customWidth="1"/>
    <col min="12041" max="12041" width="7.265625" style="19" bestFit="1" customWidth="1"/>
    <col min="12042" max="12042" width="8.3984375" style="19" bestFit="1" customWidth="1"/>
    <col min="12043" max="12043" width="13.265625" style="19" bestFit="1" customWidth="1"/>
    <col min="12044" max="12044" width="17" style="19" bestFit="1" customWidth="1"/>
    <col min="12045" max="12045" width="15.3984375" style="19" bestFit="1" customWidth="1"/>
    <col min="12046" max="12046" width="10" style="19" customWidth="1"/>
    <col min="12047" max="12047" width="10.59765625" style="19" bestFit="1" customWidth="1"/>
    <col min="12048" max="12048" width="13.265625" style="19" bestFit="1" customWidth="1"/>
    <col min="12049" max="12288" width="9.1328125" style="19"/>
    <col min="12289" max="12289" width="14.86328125" style="19" customWidth="1"/>
    <col min="12290" max="12290" width="29.265625" style="19" bestFit="1" customWidth="1"/>
    <col min="12291" max="12291" width="17.73046875" style="19" bestFit="1" customWidth="1"/>
    <col min="12292" max="12292" width="20.86328125" style="19" bestFit="1" customWidth="1"/>
    <col min="12293" max="12293" width="40.1328125" style="19" bestFit="1" customWidth="1"/>
    <col min="12294" max="12294" width="15" style="19" bestFit="1" customWidth="1"/>
    <col min="12295" max="12295" width="30.59765625" style="19" bestFit="1" customWidth="1"/>
    <col min="12296" max="12296" width="10.73046875" style="19" bestFit="1" customWidth="1"/>
    <col min="12297" max="12297" width="7.265625" style="19" bestFit="1" customWidth="1"/>
    <col min="12298" max="12298" width="8.3984375" style="19" bestFit="1" customWidth="1"/>
    <col min="12299" max="12299" width="13.265625" style="19" bestFit="1" customWidth="1"/>
    <col min="12300" max="12300" width="17" style="19" bestFit="1" customWidth="1"/>
    <col min="12301" max="12301" width="15.3984375" style="19" bestFit="1" customWidth="1"/>
    <col min="12302" max="12302" width="10" style="19" customWidth="1"/>
    <col min="12303" max="12303" width="10.59765625" style="19" bestFit="1" customWidth="1"/>
    <col min="12304" max="12304" width="13.265625" style="19" bestFit="1" customWidth="1"/>
    <col min="12305" max="12544" width="9.1328125" style="19"/>
    <col min="12545" max="12545" width="14.86328125" style="19" customWidth="1"/>
    <col min="12546" max="12546" width="29.265625" style="19" bestFit="1" customWidth="1"/>
    <col min="12547" max="12547" width="17.73046875" style="19" bestFit="1" customWidth="1"/>
    <col min="12548" max="12548" width="20.86328125" style="19" bestFit="1" customWidth="1"/>
    <col min="12549" max="12549" width="40.1328125" style="19" bestFit="1" customWidth="1"/>
    <col min="12550" max="12550" width="15" style="19" bestFit="1" customWidth="1"/>
    <col min="12551" max="12551" width="30.59765625" style="19" bestFit="1" customWidth="1"/>
    <col min="12552" max="12552" width="10.73046875" style="19" bestFit="1" customWidth="1"/>
    <col min="12553" max="12553" width="7.265625" style="19" bestFit="1" customWidth="1"/>
    <col min="12554" max="12554" width="8.3984375" style="19" bestFit="1" customWidth="1"/>
    <col min="12555" max="12555" width="13.265625" style="19" bestFit="1" customWidth="1"/>
    <col min="12556" max="12556" width="17" style="19" bestFit="1" customWidth="1"/>
    <col min="12557" max="12557" width="15.3984375" style="19" bestFit="1" customWidth="1"/>
    <col min="12558" max="12558" width="10" style="19" customWidth="1"/>
    <col min="12559" max="12559" width="10.59765625" style="19" bestFit="1" customWidth="1"/>
    <col min="12560" max="12560" width="13.265625" style="19" bestFit="1" customWidth="1"/>
    <col min="12561" max="12800" width="9.1328125" style="19"/>
    <col min="12801" max="12801" width="14.86328125" style="19" customWidth="1"/>
    <col min="12802" max="12802" width="29.265625" style="19" bestFit="1" customWidth="1"/>
    <col min="12803" max="12803" width="17.73046875" style="19" bestFit="1" customWidth="1"/>
    <col min="12804" max="12804" width="20.86328125" style="19" bestFit="1" customWidth="1"/>
    <col min="12805" max="12805" width="40.1328125" style="19" bestFit="1" customWidth="1"/>
    <col min="12806" max="12806" width="15" style="19" bestFit="1" customWidth="1"/>
    <col min="12807" max="12807" width="30.59765625" style="19" bestFit="1" customWidth="1"/>
    <col min="12808" max="12808" width="10.73046875" style="19" bestFit="1" customWidth="1"/>
    <col min="12809" max="12809" width="7.265625" style="19" bestFit="1" customWidth="1"/>
    <col min="12810" max="12810" width="8.3984375" style="19" bestFit="1" customWidth="1"/>
    <col min="12811" max="12811" width="13.265625" style="19" bestFit="1" customWidth="1"/>
    <col min="12812" max="12812" width="17" style="19" bestFit="1" customWidth="1"/>
    <col min="12813" max="12813" width="15.3984375" style="19" bestFit="1" customWidth="1"/>
    <col min="12814" max="12814" width="10" style="19" customWidth="1"/>
    <col min="12815" max="12815" width="10.59765625" style="19" bestFit="1" customWidth="1"/>
    <col min="12816" max="12816" width="13.265625" style="19" bestFit="1" customWidth="1"/>
    <col min="12817" max="13056" width="9.1328125" style="19"/>
    <col min="13057" max="13057" width="14.86328125" style="19" customWidth="1"/>
    <col min="13058" max="13058" width="29.265625" style="19" bestFit="1" customWidth="1"/>
    <col min="13059" max="13059" width="17.73046875" style="19" bestFit="1" customWidth="1"/>
    <col min="13060" max="13060" width="20.86328125" style="19" bestFit="1" customWidth="1"/>
    <col min="13061" max="13061" width="40.1328125" style="19" bestFit="1" customWidth="1"/>
    <col min="13062" max="13062" width="15" style="19" bestFit="1" customWidth="1"/>
    <col min="13063" max="13063" width="30.59765625" style="19" bestFit="1" customWidth="1"/>
    <col min="13064" max="13064" width="10.73046875" style="19" bestFit="1" customWidth="1"/>
    <col min="13065" max="13065" width="7.265625" style="19" bestFit="1" customWidth="1"/>
    <col min="13066" max="13066" width="8.3984375" style="19" bestFit="1" customWidth="1"/>
    <col min="13067" max="13067" width="13.265625" style="19" bestFit="1" customWidth="1"/>
    <col min="13068" max="13068" width="17" style="19" bestFit="1" customWidth="1"/>
    <col min="13069" max="13069" width="15.3984375" style="19" bestFit="1" customWidth="1"/>
    <col min="13070" max="13070" width="10" style="19" customWidth="1"/>
    <col min="13071" max="13071" width="10.59765625" style="19" bestFit="1" customWidth="1"/>
    <col min="13072" max="13072" width="13.265625" style="19" bestFit="1" customWidth="1"/>
    <col min="13073" max="13312" width="9.1328125" style="19"/>
    <col min="13313" max="13313" width="14.86328125" style="19" customWidth="1"/>
    <col min="13314" max="13314" width="29.265625" style="19" bestFit="1" customWidth="1"/>
    <col min="13315" max="13315" width="17.73046875" style="19" bestFit="1" customWidth="1"/>
    <col min="13316" max="13316" width="20.86328125" style="19" bestFit="1" customWidth="1"/>
    <col min="13317" max="13317" width="40.1328125" style="19" bestFit="1" customWidth="1"/>
    <col min="13318" max="13318" width="15" style="19" bestFit="1" customWidth="1"/>
    <col min="13319" max="13319" width="30.59765625" style="19" bestFit="1" customWidth="1"/>
    <col min="13320" max="13320" width="10.73046875" style="19" bestFit="1" customWidth="1"/>
    <col min="13321" max="13321" width="7.265625" style="19" bestFit="1" customWidth="1"/>
    <col min="13322" max="13322" width="8.3984375" style="19" bestFit="1" customWidth="1"/>
    <col min="13323" max="13323" width="13.265625" style="19" bestFit="1" customWidth="1"/>
    <col min="13324" max="13324" width="17" style="19" bestFit="1" customWidth="1"/>
    <col min="13325" max="13325" width="15.3984375" style="19" bestFit="1" customWidth="1"/>
    <col min="13326" max="13326" width="10" style="19" customWidth="1"/>
    <col min="13327" max="13327" width="10.59765625" style="19" bestFit="1" customWidth="1"/>
    <col min="13328" max="13328" width="13.265625" style="19" bestFit="1" customWidth="1"/>
    <col min="13329" max="13568" width="9.1328125" style="19"/>
    <col min="13569" max="13569" width="14.86328125" style="19" customWidth="1"/>
    <col min="13570" max="13570" width="29.265625" style="19" bestFit="1" customWidth="1"/>
    <col min="13571" max="13571" width="17.73046875" style="19" bestFit="1" customWidth="1"/>
    <col min="13572" max="13572" width="20.86328125" style="19" bestFit="1" customWidth="1"/>
    <col min="13573" max="13573" width="40.1328125" style="19" bestFit="1" customWidth="1"/>
    <col min="13574" max="13574" width="15" style="19" bestFit="1" customWidth="1"/>
    <col min="13575" max="13575" width="30.59765625" style="19" bestFit="1" customWidth="1"/>
    <col min="13576" max="13576" width="10.73046875" style="19" bestFit="1" customWidth="1"/>
    <col min="13577" max="13577" width="7.265625" style="19" bestFit="1" customWidth="1"/>
    <col min="13578" max="13578" width="8.3984375" style="19" bestFit="1" customWidth="1"/>
    <col min="13579" max="13579" width="13.265625" style="19" bestFit="1" customWidth="1"/>
    <col min="13580" max="13580" width="17" style="19" bestFit="1" customWidth="1"/>
    <col min="13581" max="13581" width="15.3984375" style="19" bestFit="1" customWidth="1"/>
    <col min="13582" max="13582" width="10" style="19" customWidth="1"/>
    <col min="13583" max="13583" width="10.59765625" style="19" bestFit="1" customWidth="1"/>
    <col min="13584" max="13584" width="13.265625" style="19" bestFit="1" customWidth="1"/>
    <col min="13585" max="13824" width="9.1328125" style="19"/>
    <col min="13825" max="13825" width="14.86328125" style="19" customWidth="1"/>
    <col min="13826" max="13826" width="29.265625" style="19" bestFit="1" customWidth="1"/>
    <col min="13827" max="13827" width="17.73046875" style="19" bestFit="1" customWidth="1"/>
    <col min="13828" max="13828" width="20.86328125" style="19" bestFit="1" customWidth="1"/>
    <col min="13829" max="13829" width="40.1328125" style="19" bestFit="1" customWidth="1"/>
    <col min="13830" max="13830" width="15" style="19" bestFit="1" customWidth="1"/>
    <col min="13831" max="13831" width="30.59765625" style="19" bestFit="1" customWidth="1"/>
    <col min="13832" max="13832" width="10.73046875" style="19" bestFit="1" customWidth="1"/>
    <col min="13833" max="13833" width="7.265625" style="19" bestFit="1" customWidth="1"/>
    <col min="13834" max="13834" width="8.3984375" style="19" bestFit="1" customWidth="1"/>
    <col min="13835" max="13835" width="13.265625" style="19" bestFit="1" customWidth="1"/>
    <col min="13836" max="13836" width="17" style="19" bestFit="1" customWidth="1"/>
    <col min="13837" max="13837" width="15.3984375" style="19" bestFit="1" customWidth="1"/>
    <col min="13838" max="13838" width="10" style="19" customWidth="1"/>
    <col min="13839" max="13839" width="10.59765625" style="19" bestFit="1" customWidth="1"/>
    <col min="13840" max="13840" width="13.265625" style="19" bestFit="1" customWidth="1"/>
    <col min="13841" max="14080" width="9.1328125" style="19"/>
    <col min="14081" max="14081" width="14.86328125" style="19" customWidth="1"/>
    <col min="14082" max="14082" width="29.265625" style="19" bestFit="1" customWidth="1"/>
    <col min="14083" max="14083" width="17.73046875" style="19" bestFit="1" customWidth="1"/>
    <col min="14084" max="14084" width="20.86328125" style="19" bestFit="1" customWidth="1"/>
    <col min="14085" max="14085" width="40.1328125" style="19" bestFit="1" customWidth="1"/>
    <col min="14086" max="14086" width="15" style="19" bestFit="1" customWidth="1"/>
    <col min="14087" max="14087" width="30.59765625" style="19" bestFit="1" customWidth="1"/>
    <col min="14088" max="14088" width="10.73046875" style="19" bestFit="1" customWidth="1"/>
    <col min="14089" max="14089" width="7.265625" style="19" bestFit="1" customWidth="1"/>
    <col min="14090" max="14090" width="8.3984375" style="19" bestFit="1" customWidth="1"/>
    <col min="14091" max="14091" width="13.265625" style="19" bestFit="1" customWidth="1"/>
    <col min="14092" max="14092" width="17" style="19" bestFit="1" customWidth="1"/>
    <col min="14093" max="14093" width="15.3984375" style="19" bestFit="1" customWidth="1"/>
    <col min="14094" max="14094" width="10" style="19" customWidth="1"/>
    <col min="14095" max="14095" width="10.59765625" style="19" bestFit="1" customWidth="1"/>
    <col min="14096" max="14096" width="13.265625" style="19" bestFit="1" customWidth="1"/>
    <col min="14097" max="14336" width="9.1328125" style="19"/>
    <col min="14337" max="14337" width="14.86328125" style="19" customWidth="1"/>
    <col min="14338" max="14338" width="29.265625" style="19" bestFit="1" customWidth="1"/>
    <col min="14339" max="14339" width="17.73046875" style="19" bestFit="1" customWidth="1"/>
    <col min="14340" max="14340" width="20.86328125" style="19" bestFit="1" customWidth="1"/>
    <col min="14341" max="14341" width="40.1328125" style="19" bestFit="1" customWidth="1"/>
    <col min="14342" max="14342" width="15" style="19" bestFit="1" customWidth="1"/>
    <col min="14343" max="14343" width="30.59765625" style="19" bestFit="1" customWidth="1"/>
    <col min="14344" max="14344" width="10.73046875" style="19" bestFit="1" customWidth="1"/>
    <col min="14345" max="14345" width="7.265625" style="19" bestFit="1" customWidth="1"/>
    <col min="14346" max="14346" width="8.3984375" style="19" bestFit="1" customWidth="1"/>
    <col min="14347" max="14347" width="13.265625" style="19" bestFit="1" customWidth="1"/>
    <col min="14348" max="14348" width="17" style="19" bestFit="1" customWidth="1"/>
    <col min="14349" max="14349" width="15.3984375" style="19" bestFit="1" customWidth="1"/>
    <col min="14350" max="14350" width="10" style="19" customWidth="1"/>
    <col min="14351" max="14351" width="10.59765625" style="19" bestFit="1" customWidth="1"/>
    <col min="14352" max="14352" width="13.265625" style="19" bestFit="1" customWidth="1"/>
    <col min="14353" max="14592" width="9.1328125" style="19"/>
    <col min="14593" max="14593" width="14.86328125" style="19" customWidth="1"/>
    <col min="14594" max="14594" width="29.265625" style="19" bestFit="1" customWidth="1"/>
    <col min="14595" max="14595" width="17.73046875" style="19" bestFit="1" customWidth="1"/>
    <col min="14596" max="14596" width="20.86328125" style="19" bestFit="1" customWidth="1"/>
    <col min="14597" max="14597" width="40.1328125" style="19" bestFit="1" customWidth="1"/>
    <col min="14598" max="14598" width="15" style="19" bestFit="1" customWidth="1"/>
    <col min="14599" max="14599" width="30.59765625" style="19" bestFit="1" customWidth="1"/>
    <col min="14600" max="14600" width="10.73046875" style="19" bestFit="1" customWidth="1"/>
    <col min="14601" max="14601" width="7.265625" style="19" bestFit="1" customWidth="1"/>
    <col min="14602" max="14602" width="8.3984375" style="19" bestFit="1" customWidth="1"/>
    <col min="14603" max="14603" width="13.265625" style="19" bestFit="1" customWidth="1"/>
    <col min="14604" max="14604" width="17" style="19" bestFit="1" customWidth="1"/>
    <col min="14605" max="14605" width="15.3984375" style="19" bestFit="1" customWidth="1"/>
    <col min="14606" max="14606" width="10" style="19" customWidth="1"/>
    <col min="14607" max="14607" width="10.59765625" style="19" bestFit="1" customWidth="1"/>
    <col min="14608" max="14608" width="13.265625" style="19" bestFit="1" customWidth="1"/>
    <col min="14609" max="14848" width="9.1328125" style="19"/>
    <col min="14849" max="14849" width="14.86328125" style="19" customWidth="1"/>
    <col min="14850" max="14850" width="29.265625" style="19" bestFit="1" customWidth="1"/>
    <col min="14851" max="14851" width="17.73046875" style="19" bestFit="1" customWidth="1"/>
    <col min="14852" max="14852" width="20.86328125" style="19" bestFit="1" customWidth="1"/>
    <col min="14853" max="14853" width="40.1328125" style="19" bestFit="1" customWidth="1"/>
    <col min="14854" max="14854" width="15" style="19" bestFit="1" customWidth="1"/>
    <col min="14855" max="14855" width="30.59765625" style="19" bestFit="1" customWidth="1"/>
    <col min="14856" max="14856" width="10.73046875" style="19" bestFit="1" customWidth="1"/>
    <col min="14857" max="14857" width="7.265625" style="19" bestFit="1" customWidth="1"/>
    <col min="14858" max="14858" width="8.3984375" style="19" bestFit="1" customWidth="1"/>
    <col min="14859" max="14859" width="13.265625" style="19" bestFit="1" customWidth="1"/>
    <col min="14860" max="14860" width="17" style="19" bestFit="1" customWidth="1"/>
    <col min="14861" max="14861" width="15.3984375" style="19" bestFit="1" customWidth="1"/>
    <col min="14862" max="14862" width="10" style="19" customWidth="1"/>
    <col min="14863" max="14863" width="10.59765625" style="19" bestFit="1" customWidth="1"/>
    <col min="14864" max="14864" width="13.265625" style="19" bestFit="1" customWidth="1"/>
    <col min="14865" max="15104" width="9.1328125" style="19"/>
    <col min="15105" max="15105" width="14.86328125" style="19" customWidth="1"/>
    <col min="15106" max="15106" width="29.265625" style="19" bestFit="1" customWidth="1"/>
    <col min="15107" max="15107" width="17.73046875" style="19" bestFit="1" customWidth="1"/>
    <col min="15108" max="15108" width="20.86328125" style="19" bestFit="1" customWidth="1"/>
    <col min="15109" max="15109" width="40.1328125" style="19" bestFit="1" customWidth="1"/>
    <col min="15110" max="15110" width="15" style="19" bestFit="1" customWidth="1"/>
    <col min="15111" max="15111" width="30.59765625" style="19" bestFit="1" customWidth="1"/>
    <col min="15112" max="15112" width="10.73046875" style="19" bestFit="1" customWidth="1"/>
    <col min="15113" max="15113" width="7.265625" style="19" bestFit="1" customWidth="1"/>
    <col min="15114" max="15114" width="8.3984375" style="19" bestFit="1" customWidth="1"/>
    <col min="15115" max="15115" width="13.265625" style="19" bestFit="1" customWidth="1"/>
    <col min="15116" max="15116" width="17" style="19" bestFit="1" customWidth="1"/>
    <col min="15117" max="15117" width="15.3984375" style="19" bestFit="1" customWidth="1"/>
    <col min="15118" max="15118" width="10" style="19" customWidth="1"/>
    <col min="15119" max="15119" width="10.59765625" style="19" bestFit="1" customWidth="1"/>
    <col min="15120" max="15120" width="13.265625" style="19" bestFit="1" customWidth="1"/>
    <col min="15121" max="15360" width="9.1328125" style="19"/>
    <col min="15361" max="15361" width="14.86328125" style="19" customWidth="1"/>
    <col min="15362" max="15362" width="29.265625" style="19" bestFit="1" customWidth="1"/>
    <col min="15363" max="15363" width="17.73046875" style="19" bestFit="1" customWidth="1"/>
    <col min="15364" max="15364" width="20.86328125" style="19" bestFit="1" customWidth="1"/>
    <col min="15365" max="15365" width="40.1328125" style="19" bestFit="1" customWidth="1"/>
    <col min="15366" max="15366" width="15" style="19" bestFit="1" customWidth="1"/>
    <col min="15367" max="15367" width="30.59765625" style="19" bestFit="1" customWidth="1"/>
    <col min="15368" max="15368" width="10.73046875" style="19" bestFit="1" customWidth="1"/>
    <col min="15369" max="15369" width="7.265625" style="19" bestFit="1" customWidth="1"/>
    <col min="15370" max="15370" width="8.3984375" style="19" bestFit="1" customWidth="1"/>
    <col min="15371" max="15371" width="13.265625" style="19" bestFit="1" customWidth="1"/>
    <col min="15372" max="15372" width="17" style="19" bestFit="1" customWidth="1"/>
    <col min="15373" max="15373" width="15.3984375" style="19" bestFit="1" customWidth="1"/>
    <col min="15374" max="15374" width="10" style="19" customWidth="1"/>
    <col min="15375" max="15375" width="10.59765625" style="19" bestFit="1" customWidth="1"/>
    <col min="15376" max="15376" width="13.265625" style="19" bestFit="1" customWidth="1"/>
    <col min="15377" max="15616" width="9.1328125" style="19"/>
    <col min="15617" max="15617" width="14.86328125" style="19" customWidth="1"/>
    <col min="15618" max="15618" width="29.265625" style="19" bestFit="1" customWidth="1"/>
    <col min="15619" max="15619" width="17.73046875" style="19" bestFit="1" customWidth="1"/>
    <col min="15620" max="15620" width="20.86328125" style="19" bestFit="1" customWidth="1"/>
    <col min="15621" max="15621" width="40.1328125" style="19" bestFit="1" customWidth="1"/>
    <col min="15622" max="15622" width="15" style="19" bestFit="1" customWidth="1"/>
    <col min="15623" max="15623" width="30.59765625" style="19" bestFit="1" customWidth="1"/>
    <col min="15624" max="15624" width="10.73046875" style="19" bestFit="1" customWidth="1"/>
    <col min="15625" max="15625" width="7.265625" style="19" bestFit="1" customWidth="1"/>
    <col min="15626" max="15626" width="8.3984375" style="19" bestFit="1" customWidth="1"/>
    <col min="15627" max="15627" width="13.265625" style="19" bestFit="1" customWidth="1"/>
    <col min="15628" max="15628" width="17" style="19" bestFit="1" customWidth="1"/>
    <col min="15629" max="15629" width="15.3984375" style="19" bestFit="1" customWidth="1"/>
    <col min="15630" max="15630" width="10" style="19" customWidth="1"/>
    <col min="15631" max="15631" width="10.59765625" style="19" bestFit="1" customWidth="1"/>
    <col min="15632" max="15632" width="13.265625" style="19" bestFit="1" customWidth="1"/>
    <col min="15633" max="15872" width="9.1328125" style="19"/>
    <col min="15873" max="15873" width="14.86328125" style="19" customWidth="1"/>
    <col min="15874" max="15874" width="29.265625" style="19" bestFit="1" customWidth="1"/>
    <col min="15875" max="15875" width="17.73046875" style="19" bestFit="1" customWidth="1"/>
    <col min="15876" max="15876" width="20.86328125" style="19" bestFit="1" customWidth="1"/>
    <col min="15877" max="15877" width="40.1328125" style="19" bestFit="1" customWidth="1"/>
    <col min="15878" max="15878" width="15" style="19" bestFit="1" customWidth="1"/>
    <col min="15879" max="15879" width="30.59765625" style="19" bestFit="1" customWidth="1"/>
    <col min="15880" max="15880" width="10.73046875" style="19" bestFit="1" customWidth="1"/>
    <col min="15881" max="15881" width="7.265625" style="19" bestFit="1" customWidth="1"/>
    <col min="15882" max="15882" width="8.3984375" style="19" bestFit="1" customWidth="1"/>
    <col min="15883" max="15883" width="13.265625" style="19" bestFit="1" customWidth="1"/>
    <col min="15884" max="15884" width="17" style="19" bestFit="1" customWidth="1"/>
    <col min="15885" max="15885" width="15.3984375" style="19" bestFit="1" customWidth="1"/>
    <col min="15886" max="15886" width="10" style="19" customWidth="1"/>
    <col min="15887" max="15887" width="10.59765625" style="19" bestFit="1" customWidth="1"/>
    <col min="15888" max="15888" width="13.265625" style="19" bestFit="1" customWidth="1"/>
    <col min="15889" max="16128" width="9.1328125" style="19"/>
    <col min="16129" max="16129" width="14.86328125" style="19" customWidth="1"/>
    <col min="16130" max="16130" width="29.265625" style="19" bestFit="1" customWidth="1"/>
    <col min="16131" max="16131" width="17.73046875" style="19" bestFit="1" customWidth="1"/>
    <col min="16132" max="16132" width="20.86328125" style="19" bestFit="1" customWidth="1"/>
    <col min="16133" max="16133" width="40.1328125" style="19" bestFit="1" customWidth="1"/>
    <col min="16134" max="16134" width="15" style="19" bestFit="1" customWidth="1"/>
    <col min="16135" max="16135" width="30.59765625" style="19" bestFit="1" customWidth="1"/>
    <col min="16136" max="16136" width="10.73046875" style="19" bestFit="1" customWidth="1"/>
    <col min="16137" max="16137" width="7.265625" style="19" bestFit="1" customWidth="1"/>
    <col min="16138" max="16138" width="8.3984375" style="19" bestFit="1" customWidth="1"/>
    <col min="16139" max="16139" width="13.265625" style="19" bestFit="1" customWidth="1"/>
    <col min="16140" max="16140" width="17" style="19" bestFit="1" customWidth="1"/>
    <col min="16141" max="16141" width="15.3984375" style="19" bestFit="1" customWidth="1"/>
    <col min="16142" max="16142" width="10" style="19" customWidth="1"/>
    <col min="16143" max="16143" width="10.59765625" style="19" bestFit="1" customWidth="1"/>
    <col min="16144" max="16144" width="13.265625" style="19" bestFit="1" customWidth="1"/>
    <col min="16145" max="16384" width="9.1328125" style="19"/>
  </cols>
  <sheetData>
    <row r="1" spans="1:16" s="25" customFormat="1" ht="28.5" x14ac:dyDescent="0.45">
      <c r="A1" s="23" t="s">
        <v>60</v>
      </c>
      <c r="B1" s="23" t="s">
        <v>61</v>
      </c>
      <c r="C1" s="23" t="s">
        <v>62</v>
      </c>
      <c r="D1" s="23" t="s">
        <v>63</v>
      </c>
      <c r="E1" s="23" t="s">
        <v>64</v>
      </c>
      <c r="F1" s="23" t="s">
        <v>65</v>
      </c>
      <c r="G1" s="23" t="s">
        <v>66</v>
      </c>
      <c r="H1" s="23" t="s">
        <v>67</v>
      </c>
      <c r="I1" s="23" t="s">
        <v>68</v>
      </c>
      <c r="J1" s="23" t="s">
        <v>69</v>
      </c>
      <c r="K1" s="23" t="s">
        <v>70</v>
      </c>
      <c r="L1" s="23" t="s">
        <v>71</v>
      </c>
      <c r="M1" s="23" t="s">
        <v>72</v>
      </c>
      <c r="N1" s="24" t="s">
        <v>73</v>
      </c>
      <c r="O1" s="24" t="s">
        <v>86</v>
      </c>
    </row>
    <row r="2" spans="1:16" x14ac:dyDescent="0.35">
      <c r="A2" s="19">
        <v>29901053</v>
      </c>
      <c r="B2" s="19" t="s">
        <v>79</v>
      </c>
      <c r="C2" s="19" t="s">
        <v>75</v>
      </c>
      <c r="D2" s="19" t="s">
        <v>76</v>
      </c>
      <c r="E2" s="19" t="s">
        <v>77</v>
      </c>
      <c r="F2" s="26">
        <v>44136</v>
      </c>
      <c r="G2" s="19" t="s">
        <v>78</v>
      </c>
      <c r="H2" s="19" t="s">
        <v>3</v>
      </c>
      <c r="I2" s="27">
        <v>44166</v>
      </c>
      <c r="J2" s="19">
        <v>2</v>
      </c>
      <c r="K2" s="20">
        <v>980.22</v>
      </c>
      <c r="L2" s="20">
        <v>11.45</v>
      </c>
      <c r="M2" s="20">
        <v>968.77</v>
      </c>
      <c r="N2" s="22">
        <f>34.36%</f>
        <v>0.34360000000000002</v>
      </c>
      <c r="O2" s="21">
        <f>L2*N2</f>
        <v>3.9342199999999998</v>
      </c>
      <c r="P2" s="21"/>
    </row>
    <row r="3" spans="1:16" x14ac:dyDescent="0.35">
      <c r="A3" s="19">
        <v>3801054</v>
      </c>
      <c r="B3" s="19" t="s">
        <v>84</v>
      </c>
      <c r="C3" s="19" t="s">
        <v>75</v>
      </c>
      <c r="D3" s="19" t="s">
        <v>81</v>
      </c>
      <c r="E3" s="19" t="s">
        <v>82</v>
      </c>
      <c r="F3" s="26">
        <v>44105</v>
      </c>
      <c r="G3" s="19" t="s">
        <v>83</v>
      </c>
      <c r="H3" s="19" t="s">
        <v>8</v>
      </c>
      <c r="I3" s="27">
        <v>44166</v>
      </c>
      <c r="J3" s="19">
        <v>6</v>
      </c>
      <c r="K3" s="20">
        <v>14586.83</v>
      </c>
      <c r="L3" s="20">
        <v>225.44</v>
      </c>
      <c r="M3" s="20">
        <v>14361.39</v>
      </c>
      <c r="N3" s="22">
        <v>1</v>
      </c>
      <c r="O3" s="21">
        <f>L3*N3</f>
        <v>225.44</v>
      </c>
      <c r="P3" s="21"/>
    </row>
    <row r="4" spans="1:16" x14ac:dyDescent="0.35">
      <c r="A4" s="19">
        <v>3801051</v>
      </c>
      <c r="B4" s="19" t="s">
        <v>80</v>
      </c>
      <c r="C4" s="19" t="s">
        <v>75</v>
      </c>
      <c r="D4" s="19" t="s">
        <v>81</v>
      </c>
      <c r="E4" s="19" t="s">
        <v>82</v>
      </c>
      <c r="F4" s="26">
        <v>44013</v>
      </c>
      <c r="G4" s="19" t="s">
        <v>83</v>
      </c>
      <c r="H4" s="19" t="s">
        <v>8</v>
      </c>
      <c r="I4" s="27">
        <v>44166</v>
      </c>
      <c r="J4" s="19">
        <v>30</v>
      </c>
      <c r="K4" s="20">
        <v>1590549.64</v>
      </c>
      <c r="L4" s="20">
        <v>25575.78</v>
      </c>
      <c r="M4" s="20">
        <v>1564973.86</v>
      </c>
      <c r="N4" s="22">
        <v>1</v>
      </c>
      <c r="O4" s="21">
        <f>L4*N4</f>
        <v>25575.78</v>
      </c>
      <c r="P4" s="21"/>
    </row>
    <row r="5" spans="1:16" x14ac:dyDescent="0.35">
      <c r="A5" s="19">
        <v>3801054</v>
      </c>
      <c r="B5" s="19" t="s">
        <v>84</v>
      </c>
      <c r="C5" s="19" t="s">
        <v>75</v>
      </c>
      <c r="D5" s="19" t="s">
        <v>85</v>
      </c>
      <c r="E5" s="19" t="s">
        <v>82</v>
      </c>
      <c r="F5" s="26">
        <v>44105</v>
      </c>
      <c r="G5" s="19" t="s">
        <v>83</v>
      </c>
      <c r="H5" s="19" t="s">
        <v>8</v>
      </c>
      <c r="I5" s="27">
        <v>44166</v>
      </c>
      <c r="J5" s="19">
        <v>3</v>
      </c>
      <c r="K5" s="20">
        <v>1620.77</v>
      </c>
      <c r="L5" s="20">
        <v>4.57</v>
      </c>
      <c r="M5" s="20">
        <v>1616.2</v>
      </c>
      <c r="N5" s="22">
        <v>1</v>
      </c>
      <c r="O5" s="21">
        <f>L5*N5</f>
        <v>4.57</v>
      </c>
      <c r="P5" s="21"/>
    </row>
    <row r="6" spans="1:16" x14ac:dyDescent="0.35">
      <c r="A6" s="19">
        <v>29901051</v>
      </c>
      <c r="B6" s="19" t="s">
        <v>74</v>
      </c>
      <c r="C6" s="19" t="s">
        <v>75</v>
      </c>
      <c r="D6" s="19" t="s">
        <v>76</v>
      </c>
      <c r="E6" s="19" t="s">
        <v>77</v>
      </c>
      <c r="F6" s="26">
        <v>43983</v>
      </c>
      <c r="G6" s="19" t="s">
        <v>78</v>
      </c>
      <c r="H6" s="19" t="s">
        <v>3</v>
      </c>
      <c r="I6" s="27">
        <v>44166</v>
      </c>
      <c r="J6" s="19">
        <v>7</v>
      </c>
      <c r="K6" s="20">
        <v>73567.95</v>
      </c>
      <c r="L6" s="20">
        <v>859.4</v>
      </c>
      <c r="M6" s="20">
        <v>72708.55</v>
      </c>
      <c r="N6" s="22">
        <v>0.34360000000000002</v>
      </c>
      <c r="O6" s="21">
        <f>L6*N6</f>
        <v>295.28984000000003</v>
      </c>
      <c r="P6" s="21"/>
    </row>
    <row r="7" spans="1:16" ht="14.65" thickBot="1" x14ac:dyDescent="0.5">
      <c r="K7" s="21">
        <f>SUM(K2:K6)</f>
        <v>1681305.41</v>
      </c>
      <c r="L7" s="28">
        <f>SUM(L2:L6)</f>
        <v>26676.639999999999</v>
      </c>
      <c r="M7" s="21">
        <f>SUM(M2:M6)</f>
        <v>1654628.77</v>
      </c>
      <c r="O7" s="29">
        <f>SUM(O2:O6)</f>
        <v>26105.014060000001</v>
      </c>
    </row>
    <row r="8" spans="1:16" ht="13.15" thickTop="1" x14ac:dyDescent="0.35"/>
  </sheetData>
  <pageMargins left="0.25" right="0.25" top="0.75" bottom="0.75" header="0.3" footer="0.3"/>
  <pageSetup scale="53" orientation="landscape" horizontalDpi="1200" verticalDpi="1200" r:id="rId1"/>
  <headerFooter>
    <oddHeader>&amp;C&amp;F - &amp;A</oddHeader>
    <oddFooter>&amp;C&amp;Z&amp;F</oddFooter>
  </headerFooter>
  <customProperties>
    <customPr name="xxe4aP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transitionEvaluation="1">
    <pageSetUpPr fitToPage="1"/>
  </sheetPr>
  <dimension ref="A1:F48"/>
  <sheetViews>
    <sheetView showZeros="0" zoomScaleNormal="100" zoomScaleSheetLayoutView="100" workbookViewId="0">
      <pane xSplit="3" ySplit="7" topLeftCell="D12" activePane="bottomRight" state="frozen"/>
      <selection activeCell="I30" sqref="I30"/>
      <selection pane="topRight" activeCell="I30" sqref="I30"/>
      <selection pane="bottomLeft" activeCell="I30" sqref="I30"/>
      <selection pane="bottomRight" sqref="A1:XFD1048576"/>
    </sheetView>
  </sheetViews>
  <sheetFormatPr defaultColWidth="12.59765625" defaultRowHeight="15.4" x14ac:dyDescent="0.45"/>
  <cols>
    <col min="1" max="1" width="2.265625" style="3" customWidth="1"/>
    <col min="2" max="2" width="6.1328125" style="3" customWidth="1"/>
    <col min="3" max="3" width="53.73046875" style="3" customWidth="1"/>
    <col min="4" max="6" width="15.1328125" style="3" customWidth="1"/>
    <col min="7" max="16384" width="12.59765625" style="3"/>
  </cols>
  <sheetData>
    <row r="1" spans="1:6" x14ac:dyDescent="0.45">
      <c r="A1" s="3" t="s">
        <v>21</v>
      </c>
      <c r="F1" s="4"/>
    </row>
    <row r="2" spans="1:6" x14ac:dyDescent="0.45">
      <c r="A2" s="3" t="s">
        <v>22</v>
      </c>
    </row>
    <row r="3" spans="1:6" x14ac:dyDescent="0.45">
      <c r="A3" s="5" t="str">
        <f>+'[6]WA Adjustments'!A4</f>
        <v>12 Months Ended 12/31/2020</v>
      </c>
    </row>
    <row r="6" spans="1:6" x14ac:dyDescent="0.45">
      <c r="D6" s="6" t="s">
        <v>23</v>
      </c>
      <c r="E6" s="6" t="s">
        <v>24</v>
      </c>
      <c r="F6" s="6" t="s">
        <v>25</v>
      </c>
    </row>
    <row r="7" spans="1:6" x14ac:dyDescent="0.45">
      <c r="A7" s="7" t="s">
        <v>26</v>
      </c>
      <c r="B7" s="8"/>
      <c r="C7" s="8"/>
    </row>
    <row r="8" spans="1:6" x14ac:dyDescent="0.45">
      <c r="B8" s="3" t="s">
        <v>27</v>
      </c>
      <c r="D8" s="9">
        <f>[6]MWh!E13</f>
        <v>5452433</v>
      </c>
      <c r="E8" s="9">
        <f>[6]MWh!F13</f>
        <v>3399712</v>
      </c>
      <c r="F8" s="3">
        <f>D8+E8</f>
        <v>8852145</v>
      </c>
    </row>
    <row r="10" spans="1:6" x14ac:dyDescent="0.45">
      <c r="B10" s="3" t="s">
        <v>28</v>
      </c>
      <c r="D10" s="10">
        <f>ROUND(D8/$F8,4)</f>
        <v>0.6159</v>
      </c>
      <c r="E10" s="10">
        <f>ROUND(E8/$F8,4)</f>
        <v>0.3841</v>
      </c>
      <c r="F10" s="10">
        <f>D10+E10</f>
        <v>1</v>
      </c>
    </row>
    <row r="11" spans="1:6" x14ac:dyDescent="0.45">
      <c r="F11" s="3" t="str">
        <f>IF(F10=1," ","Rounding Error")</f>
        <v xml:space="preserve"> </v>
      </c>
    </row>
    <row r="12" spans="1:6" x14ac:dyDescent="0.45">
      <c r="B12" s="3" t="s">
        <v>29</v>
      </c>
      <c r="D12" s="9">
        <f>'[6]MW Peak'!E13</f>
        <v>12453</v>
      </c>
      <c r="E12" s="9">
        <f>'[6]MW Peak'!F13</f>
        <v>6284</v>
      </c>
      <c r="F12" s="3">
        <f>D12+E12</f>
        <v>18737</v>
      </c>
    </row>
    <row r="14" spans="1:6" x14ac:dyDescent="0.45">
      <c r="B14" s="3" t="s">
        <v>30</v>
      </c>
      <c r="D14" s="10">
        <f>ROUND(D12/$F12,4)</f>
        <v>0.66459999999999997</v>
      </c>
      <c r="E14" s="10">
        <f>ROUND(E12/$F12,4)</f>
        <v>0.33539999999999998</v>
      </c>
      <c r="F14" s="10">
        <f>D14+E14</f>
        <v>1</v>
      </c>
    </row>
    <row r="15" spans="1:6" x14ac:dyDescent="0.45">
      <c r="F15" s="3" t="str">
        <f>IF(F14=1," ","Rounding Error")</f>
        <v xml:space="preserve"> </v>
      </c>
    </row>
    <row r="16" spans="1:6" x14ac:dyDescent="0.45">
      <c r="A16" s="3" t="s">
        <v>31</v>
      </c>
    </row>
    <row r="17" spans="1:6" x14ac:dyDescent="0.45">
      <c r="B17" s="3" t="s">
        <v>32</v>
      </c>
      <c r="D17" s="11">
        <f>ROUND((D10+D14)/2,4)-0.0001</f>
        <v>0.64019999999999999</v>
      </c>
      <c r="E17" s="10">
        <f>ROUND((E10+E14)/2,4)</f>
        <v>0.35980000000000001</v>
      </c>
      <c r="F17" s="10">
        <f>D17+E17</f>
        <v>1</v>
      </c>
    </row>
    <row r="18" spans="1:6" x14ac:dyDescent="0.45">
      <c r="F18" s="3" t="str">
        <f>IF(F17=1," ","Rounding Error")</f>
        <v xml:space="preserve"> </v>
      </c>
    </row>
    <row r="20" spans="1:6" x14ac:dyDescent="0.45">
      <c r="A20" s="8" t="s">
        <v>33</v>
      </c>
      <c r="B20" s="8"/>
      <c r="C20" s="8"/>
    </row>
    <row r="21" spans="1:6" x14ac:dyDescent="0.45">
      <c r="B21" s="3" t="s">
        <v>27</v>
      </c>
      <c r="D21" s="3">
        <f>D8</f>
        <v>5452433</v>
      </c>
      <c r="E21" s="3">
        <f>E8</f>
        <v>3399712</v>
      </c>
      <c r="F21" s="3">
        <f>D21+E21</f>
        <v>8852145</v>
      </c>
    </row>
    <row r="22" spans="1:6" x14ac:dyDescent="0.45">
      <c r="B22" s="3" t="s">
        <v>34</v>
      </c>
      <c r="E22" s="12">
        <f>[6]MWh!J13</f>
        <v>-425937</v>
      </c>
      <c r="F22" s="3">
        <f>D22+E22</f>
        <v>-425937</v>
      </c>
    </row>
    <row r="23" spans="1:6" x14ac:dyDescent="0.45">
      <c r="B23" s="3" t="str">
        <f>B8</f>
        <v>Energy Retail Sales (MWH)</v>
      </c>
      <c r="D23" s="13">
        <f>D21+D22</f>
        <v>5452433</v>
      </c>
      <c r="E23" s="13">
        <f>E21+E22</f>
        <v>2973775</v>
      </c>
      <c r="F23" s="13">
        <f>F21+F22</f>
        <v>8426208</v>
      </c>
    </row>
    <row r="25" spans="1:6" x14ac:dyDescent="0.45">
      <c r="B25" s="3" t="str">
        <f>B10</f>
        <v>Energy Retail Sales Percentage</v>
      </c>
      <c r="D25" s="10">
        <f>ROUND(D23/$F23,4)</f>
        <v>0.64710000000000001</v>
      </c>
      <c r="E25" s="10">
        <f>ROUND(E23/$F23,4)</f>
        <v>0.35289999999999999</v>
      </c>
      <c r="F25" s="10">
        <f>D25+E25</f>
        <v>1</v>
      </c>
    </row>
    <row r="26" spans="1:6" x14ac:dyDescent="0.45">
      <c r="F26" s="3" t="str">
        <f>IF(F25=1," ","Rounding Error")</f>
        <v xml:space="preserve"> </v>
      </c>
    </row>
    <row r="27" spans="1:6" x14ac:dyDescent="0.45">
      <c r="B27" s="3" t="str">
        <f>+B12</f>
        <v>MW's Peak (Retail + Adjustments)</v>
      </c>
      <c r="D27" s="3">
        <f>D12</f>
        <v>12453</v>
      </c>
      <c r="E27" s="3">
        <f>E12</f>
        <v>6284</v>
      </c>
      <c r="F27" s="3">
        <f>D27+E27</f>
        <v>18737</v>
      </c>
    </row>
    <row r="28" spans="1:6" x14ac:dyDescent="0.45">
      <c r="B28" s="3" t="s">
        <v>35</v>
      </c>
      <c r="D28" s="3">
        <f>'[6]WA Adjustments'!K26</f>
        <v>-1256</v>
      </c>
      <c r="F28" s="3">
        <f>D28+E28</f>
        <v>-1256</v>
      </c>
    </row>
    <row r="29" spans="1:6" x14ac:dyDescent="0.45">
      <c r="B29" s="3" t="s">
        <v>36</v>
      </c>
      <c r="E29" s="3">
        <f>-'[6]ID Adjustment'!C26</f>
        <v>-614</v>
      </c>
      <c r="F29" s="3">
        <f>D29+E29</f>
        <v>-614</v>
      </c>
    </row>
    <row r="30" spans="1:6" x14ac:dyDescent="0.45">
      <c r="B30" s="3" t="str">
        <f>B12</f>
        <v>MW's Peak (Retail + Adjustments)</v>
      </c>
      <c r="D30" s="13">
        <f>SUM(D27:D29)</f>
        <v>11197</v>
      </c>
      <c r="E30" s="13">
        <f>SUM(E27:E29)</f>
        <v>5670</v>
      </c>
      <c r="F30" s="13">
        <f>SUM(F27:F29)</f>
        <v>16867</v>
      </c>
    </row>
    <row r="32" spans="1:6" x14ac:dyDescent="0.45">
      <c r="B32" s="3" t="str">
        <f>B14</f>
        <v>MW's Peak Percentage</v>
      </c>
      <c r="D32" s="10">
        <f>ROUND(D30/$F30,4)</f>
        <v>0.66379999999999995</v>
      </c>
      <c r="E32" s="10">
        <f>ROUND(E30/$F30,4)</f>
        <v>0.3362</v>
      </c>
      <c r="F32" s="10">
        <f>D32+E32</f>
        <v>1</v>
      </c>
    </row>
    <row r="33" spans="1:6" x14ac:dyDescent="0.45">
      <c r="F33" s="3" t="str">
        <f>IF(F32=1," ","Rounding Error")</f>
        <v xml:space="preserve"> </v>
      </c>
    </row>
    <row r="34" spans="1:6" x14ac:dyDescent="0.45">
      <c r="A34" s="3" t="s">
        <v>37</v>
      </c>
    </row>
    <row r="35" spans="1:6" x14ac:dyDescent="0.45">
      <c r="B35" s="3" t="s">
        <v>38</v>
      </c>
      <c r="D35" s="62">
        <f>ROUND((D25+D32)/2,4)-0.0001</f>
        <v>0.65539999999999998</v>
      </c>
      <c r="E35" s="30">
        <f>ROUND((E25+E32)/2,4)</f>
        <v>0.34460000000000002</v>
      </c>
      <c r="F35" s="14">
        <f>D35+E35</f>
        <v>1</v>
      </c>
    </row>
    <row r="37" spans="1:6" x14ac:dyDescent="0.45">
      <c r="E37" s="15">
        <v>0</v>
      </c>
    </row>
    <row r="38" spans="1:6" x14ac:dyDescent="0.45">
      <c r="A38" s="3" t="s">
        <v>39</v>
      </c>
      <c r="C38" s="3" t="s">
        <v>40</v>
      </c>
    </row>
    <row r="39" spans="1:6" x14ac:dyDescent="0.45">
      <c r="A39" s="3" t="s">
        <v>41</v>
      </c>
      <c r="C39" s="3" t="s">
        <v>42</v>
      </c>
    </row>
    <row r="42" spans="1:6" x14ac:dyDescent="0.45">
      <c r="B42" s="3" t="s">
        <v>43</v>
      </c>
      <c r="C42" s="16" t="s">
        <v>44</v>
      </c>
      <c r="D42" s="16" t="s">
        <v>45</v>
      </c>
    </row>
    <row r="43" spans="1:6" x14ac:dyDescent="0.45">
      <c r="C43" s="3" t="s">
        <v>46</v>
      </c>
      <c r="D43" s="3" t="s">
        <v>47</v>
      </c>
    </row>
    <row r="44" spans="1:6" x14ac:dyDescent="0.45">
      <c r="C44" s="3" t="s">
        <v>48</v>
      </c>
      <c r="D44" s="3" t="s">
        <v>49</v>
      </c>
    </row>
    <row r="45" spans="1:6" x14ac:dyDescent="0.45">
      <c r="C45" s="3" t="s">
        <v>50</v>
      </c>
      <c r="D45" s="3" t="s">
        <v>51</v>
      </c>
    </row>
    <row r="46" spans="1:6" x14ac:dyDescent="0.45">
      <c r="C46" s="3" t="s">
        <v>52</v>
      </c>
      <c r="D46" s="3" t="s">
        <v>53</v>
      </c>
    </row>
    <row r="47" spans="1:6" x14ac:dyDescent="0.45">
      <c r="C47" s="3" t="s">
        <v>54</v>
      </c>
      <c r="D47" s="3" t="s">
        <v>55</v>
      </c>
    </row>
    <row r="48" spans="1:6" x14ac:dyDescent="0.45">
      <c r="C48" s="3" t="s">
        <v>56</v>
      </c>
      <c r="D48" s="3" t="s">
        <v>57</v>
      </c>
    </row>
  </sheetData>
  <pageMargins left="0.7" right="0.7" top="0.75" bottom="0.75" header="0.3" footer="0.3"/>
  <pageSetup scale="55" orientation="portrait" horizontalDpi="1200" verticalDpi="1200" r:id="rId1"/>
  <headerFooter>
    <oddHeader>&amp;C&amp;F - &amp;A</oddHeader>
    <oddFooter>&amp;C&amp;Z&amp;F</oddFooter>
  </headerFooter>
  <rowBreaks count="1" manualBreakCount="1">
    <brk id="48" max="16383" man="1"/>
  </rowBreaks>
  <customProperties>
    <customPr name="xxe4aPID" r:id="rId2"/>
  </customProperties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45DEFD-89D1-4B8E-ADFC-39C4D091D2CA}">
  <dimension ref="A1:T69"/>
  <sheetViews>
    <sheetView workbookViewId="0">
      <selection activeCell="H41" sqref="H41"/>
    </sheetView>
  </sheetViews>
  <sheetFormatPr defaultColWidth="9.1328125" defaultRowHeight="14.25" x14ac:dyDescent="0.45"/>
  <cols>
    <col min="1" max="1" width="23.59765625" style="80" bestFit="1" customWidth="1"/>
    <col min="2" max="2" width="6.86328125" style="122" customWidth="1"/>
    <col min="3" max="4" width="13.265625" style="80" bestFit="1" customWidth="1"/>
    <col min="5" max="15" width="13.1328125" style="80" bestFit="1" customWidth="1"/>
    <col min="16" max="16384" width="9.1328125" style="80"/>
  </cols>
  <sheetData>
    <row r="1" spans="1:20" x14ac:dyDescent="0.45">
      <c r="A1" s="78"/>
      <c r="B1" s="79"/>
      <c r="C1" s="79"/>
    </row>
    <row r="2" spans="1:20" x14ac:dyDescent="0.45">
      <c r="A2" s="163" t="s">
        <v>139</v>
      </c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63"/>
      <c r="Q2" s="164" t="s">
        <v>140</v>
      </c>
      <c r="R2" s="164"/>
      <c r="S2" s="164"/>
      <c r="T2" s="164"/>
    </row>
    <row r="3" spans="1:20" ht="14.65" thickBot="1" x14ac:dyDescent="0.5">
      <c r="A3" s="81" t="s">
        <v>141</v>
      </c>
      <c r="B3" s="81"/>
      <c r="C3" s="82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Q3" s="81"/>
      <c r="R3" s="81"/>
      <c r="S3" s="81"/>
      <c r="T3" s="81"/>
    </row>
    <row r="4" spans="1:20" x14ac:dyDescent="0.45">
      <c r="A4" s="84" t="s">
        <v>142</v>
      </c>
      <c r="B4" s="85"/>
      <c r="C4" s="85">
        <v>2022</v>
      </c>
      <c r="D4" s="86">
        <v>44562</v>
      </c>
      <c r="E4" s="86">
        <v>44593</v>
      </c>
      <c r="F4" s="86">
        <v>44621</v>
      </c>
      <c r="G4" s="86">
        <v>44652</v>
      </c>
      <c r="H4" s="86">
        <v>44682</v>
      </c>
      <c r="I4" s="86">
        <v>44713</v>
      </c>
      <c r="J4" s="86">
        <v>44743</v>
      </c>
      <c r="K4" s="86">
        <v>44774</v>
      </c>
      <c r="L4" s="86">
        <v>44805</v>
      </c>
      <c r="M4" s="86">
        <v>44835</v>
      </c>
      <c r="N4" s="86">
        <v>44866</v>
      </c>
      <c r="O4" s="87">
        <v>44896</v>
      </c>
      <c r="Q4" s="88" t="s">
        <v>143</v>
      </c>
      <c r="R4" s="89" t="s">
        <v>144</v>
      </c>
      <c r="S4" s="89" t="s">
        <v>145</v>
      </c>
      <c r="T4" s="90" t="s">
        <v>146</v>
      </c>
    </row>
    <row r="5" spans="1:20" x14ac:dyDescent="0.45">
      <c r="A5" s="91" t="s">
        <v>147</v>
      </c>
      <c r="B5" s="92"/>
      <c r="C5" s="93">
        <v>147000</v>
      </c>
      <c r="D5" s="94">
        <f>$C5*$Q5/100/3</f>
        <v>12250</v>
      </c>
      <c r="E5" s="94">
        <f t="shared" ref="E5:F15" si="0">$C5*$Q5/100/3</f>
        <v>12250</v>
      </c>
      <c r="F5" s="94">
        <f t="shared" si="0"/>
        <v>12250</v>
      </c>
      <c r="G5" s="94">
        <f>$C5*$R5/100/3</f>
        <v>12250</v>
      </c>
      <c r="H5" s="94">
        <f t="shared" ref="H5:I17" si="1">$C5*$R5/100/3</f>
        <v>12250</v>
      </c>
      <c r="I5" s="94">
        <f t="shared" si="1"/>
        <v>12250</v>
      </c>
      <c r="J5" s="94">
        <f>$C5*$S5/100/3</f>
        <v>12250</v>
      </c>
      <c r="K5" s="94">
        <f t="shared" ref="K5:L17" si="2">$C5*$S5/100/3</f>
        <v>12250</v>
      </c>
      <c r="L5" s="94">
        <f t="shared" si="2"/>
        <v>12250</v>
      </c>
      <c r="M5" s="94">
        <f>$C5*$T5/100/3</f>
        <v>12250</v>
      </c>
      <c r="N5" s="94">
        <f t="shared" ref="N5:O17" si="3">$C5*$T5/100/3</f>
        <v>12250</v>
      </c>
      <c r="O5" s="95">
        <f t="shared" si="3"/>
        <v>12250</v>
      </c>
      <c r="Q5" s="91">
        <v>25</v>
      </c>
      <c r="R5" s="81">
        <v>25</v>
      </c>
      <c r="S5" s="81">
        <v>25</v>
      </c>
      <c r="T5" s="96">
        <v>25</v>
      </c>
    </row>
    <row r="6" spans="1:20" x14ac:dyDescent="0.45">
      <c r="A6" s="91" t="s">
        <v>148</v>
      </c>
      <c r="B6" s="92"/>
      <c r="C6" s="93">
        <v>150000</v>
      </c>
      <c r="D6" s="94">
        <f t="shared" ref="D6:D15" si="4">$C6*$Q6/100/3</f>
        <v>12500</v>
      </c>
      <c r="E6" s="94">
        <f t="shared" si="0"/>
        <v>12500</v>
      </c>
      <c r="F6" s="94">
        <f t="shared" si="0"/>
        <v>12500</v>
      </c>
      <c r="G6" s="94">
        <f t="shared" ref="G6:G15" si="5">$C6*$R6/100/3</f>
        <v>12500</v>
      </c>
      <c r="H6" s="94">
        <f t="shared" si="1"/>
        <v>12500</v>
      </c>
      <c r="I6" s="94">
        <f t="shared" si="1"/>
        <v>12500</v>
      </c>
      <c r="J6" s="94">
        <f t="shared" ref="J6:J15" si="6">$C6*$S6/100/3</f>
        <v>12500</v>
      </c>
      <c r="K6" s="94">
        <f t="shared" si="2"/>
        <v>12500</v>
      </c>
      <c r="L6" s="94">
        <f t="shared" si="2"/>
        <v>12500</v>
      </c>
      <c r="M6" s="94">
        <f t="shared" ref="M6:M17" si="7">$C6*$T6/100/3</f>
        <v>12500</v>
      </c>
      <c r="N6" s="94">
        <f t="shared" si="3"/>
        <v>12500</v>
      </c>
      <c r="O6" s="95">
        <f t="shared" si="3"/>
        <v>12500</v>
      </c>
      <c r="Q6" s="91">
        <v>25</v>
      </c>
      <c r="R6" s="81">
        <v>25</v>
      </c>
      <c r="S6" s="81">
        <v>25</v>
      </c>
      <c r="T6" s="96">
        <v>25</v>
      </c>
    </row>
    <row r="7" spans="1:20" x14ac:dyDescent="0.45">
      <c r="A7" s="91" t="s">
        <v>149</v>
      </c>
      <c r="B7" s="92"/>
      <c r="C7" s="93">
        <v>750000</v>
      </c>
      <c r="D7" s="94">
        <f t="shared" si="4"/>
        <v>50000</v>
      </c>
      <c r="E7" s="94">
        <f t="shared" si="0"/>
        <v>50000</v>
      </c>
      <c r="F7" s="94">
        <f t="shared" si="0"/>
        <v>50000</v>
      </c>
      <c r="G7" s="94">
        <f t="shared" si="5"/>
        <v>75000</v>
      </c>
      <c r="H7" s="94">
        <f t="shared" si="1"/>
        <v>75000</v>
      </c>
      <c r="I7" s="94">
        <f t="shared" si="1"/>
        <v>75000</v>
      </c>
      <c r="J7" s="94">
        <f t="shared" si="6"/>
        <v>75000</v>
      </c>
      <c r="K7" s="94">
        <f t="shared" si="2"/>
        <v>75000</v>
      </c>
      <c r="L7" s="94">
        <f t="shared" si="2"/>
        <v>75000</v>
      </c>
      <c r="M7" s="94">
        <f t="shared" si="7"/>
        <v>50000</v>
      </c>
      <c r="N7" s="94">
        <f t="shared" si="3"/>
        <v>50000</v>
      </c>
      <c r="O7" s="95">
        <f t="shared" si="3"/>
        <v>50000</v>
      </c>
      <c r="Q7" s="91">
        <v>20</v>
      </c>
      <c r="R7" s="81">
        <v>30</v>
      </c>
      <c r="S7" s="81">
        <v>30</v>
      </c>
      <c r="T7" s="96">
        <v>20</v>
      </c>
    </row>
    <row r="8" spans="1:20" x14ac:dyDescent="0.45">
      <c r="A8" s="91" t="s">
        <v>150</v>
      </c>
      <c r="B8" s="92"/>
      <c r="C8" s="93">
        <v>550000</v>
      </c>
      <c r="D8" s="94">
        <f t="shared" si="4"/>
        <v>45833.333333333336</v>
      </c>
      <c r="E8" s="94">
        <f t="shared" si="0"/>
        <v>45833.333333333336</v>
      </c>
      <c r="F8" s="94">
        <f t="shared" si="0"/>
        <v>45833.333333333336</v>
      </c>
      <c r="G8" s="94">
        <f t="shared" si="5"/>
        <v>64166.666666666664</v>
      </c>
      <c r="H8" s="94">
        <f t="shared" si="1"/>
        <v>64166.666666666664</v>
      </c>
      <c r="I8" s="94">
        <f t="shared" si="1"/>
        <v>64166.666666666664</v>
      </c>
      <c r="J8" s="94">
        <f t="shared" si="6"/>
        <v>73333.333333333328</v>
      </c>
      <c r="K8" s="94">
        <f t="shared" si="2"/>
        <v>73333.333333333328</v>
      </c>
      <c r="L8" s="94">
        <f t="shared" si="2"/>
        <v>73333.333333333328</v>
      </c>
      <c r="M8" s="94">
        <f t="shared" si="7"/>
        <v>0</v>
      </c>
      <c r="N8" s="94">
        <f t="shared" si="3"/>
        <v>0</v>
      </c>
      <c r="O8" s="95">
        <f t="shared" si="3"/>
        <v>0</v>
      </c>
      <c r="Q8" s="91">
        <v>25</v>
      </c>
      <c r="R8" s="81">
        <v>35</v>
      </c>
      <c r="S8" s="81">
        <v>40</v>
      </c>
      <c r="T8" s="96">
        <v>0</v>
      </c>
    </row>
    <row r="9" spans="1:20" x14ac:dyDescent="0.45">
      <c r="A9" s="91" t="s">
        <v>151</v>
      </c>
      <c r="B9" s="92"/>
      <c r="C9" s="93">
        <v>300000</v>
      </c>
      <c r="D9" s="94">
        <f t="shared" si="4"/>
        <v>20000</v>
      </c>
      <c r="E9" s="94">
        <f t="shared" si="0"/>
        <v>20000</v>
      </c>
      <c r="F9" s="94">
        <f t="shared" si="0"/>
        <v>20000</v>
      </c>
      <c r="G9" s="94">
        <f t="shared" si="5"/>
        <v>10000</v>
      </c>
      <c r="H9" s="94">
        <f t="shared" si="1"/>
        <v>10000</v>
      </c>
      <c r="I9" s="94">
        <f t="shared" si="1"/>
        <v>10000</v>
      </c>
      <c r="J9" s="94">
        <f t="shared" si="6"/>
        <v>10000</v>
      </c>
      <c r="K9" s="94">
        <f t="shared" si="2"/>
        <v>10000</v>
      </c>
      <c r="L9" s="94">
        <f>$C9*$S9/100/3</f>
        <v>10000</v>
      </c>
      <c r="M9" s="94">
        <f t="shared" si="7"/>
        <v>60000</v>
      </c>
      <c r="N9" s="94">
        <f t="shared" si="3"/>
        <v>60000</v>
      </c>
      <c r="O9" s="95">
        <f t="shared" si="3"/>
        <v>60000</v>
      </c>
      <c r="Q9" s="91">
        <v>20</v>
      </c>
      <c r="R9" s="81">
        <v>10</v>
      </c>
      <c r="S9" s="81">
        <v>10</v>
      </c>
      <c r="T9" s="96">
        <v>60</v>
      </c>
    </row>
    <row r="10" spans="1:20" x14ac:dyDescent="0.45">
      <c r="A10" s="91" t="s">
        <v>152</v>
      </c>
      <c r="B10" s="92"/>
      <c r="C10" s="93">
        <v>150000</v>
      </c>
      <c r="D10" s="94">
        <f t="shared" si="4"/>
        <v>0</v>
      </c>
      <c r="E10" s="94">
        <f t="shared" si="0"/>
        <v>0</v>
      </c>
      <c r="F10" s="94">
        <f t="shared" si="0"/>
        <v>0</v>
      </c>
      <c r="G10" s="94">
        <f t="shared" si="5"/>
        <v>37500</v>
      </c>
      <c r="H10" s="94">
        <f t="shared" si="1"/>
        <v>37500</v>
      </c>
      <c r="I10" s="94">
        <f t="shared" si="1"/>
        <v>37500</v>
      </c>
      <c r="J10" s="94">
        <f t="shared" si="6"/>
        <v>12500</v>
      </c>
      <c r="K10" s="94">
        <f t="shared" si="2"/>
        <v>12500</v>
      </c>
      <c r="L10" s="94">
        <f t="shared" si="2"/>
        <v>12500</v>
      </c>
      <c r="M10" s="94">
        <f t="shared" si="7"/>
        <v>0</v>
      </c>
      <c r="N10" s="94">
        <f t="shared" si="3"/>
        <v>0</v>
      </c>
      <c r="O10" s="95">
        <f t="shared" si="3"/>
        <v>0</v>
      </c>
      <c r="Q10" s="91">
        <v>0</v>
      </c>
      <c r="R10" s="81">
        <v>75</v>
      </c>
      <c r="S10" s="81">
        <v>25</v>
      </c>
      <c r="T10" s="96">
        <v>0</v>
      </c>
    </row>
    <row r="11" spans="1:20" x14ac:dyDescent="0.45">
      <c r="A11" s="91" t="s">
        <v>153</v>
      </c>
      <c r="B11" s="92"/>
      <c r="C11" s="93">
        <v>294000</v>
      </c>
      <c r="D11" s="94">
        <f t="shared" si="4"/>
        <v>24500</v>
      </c>
      <c r="E11" s="94">
        <f t="shared" si="0"/>
        <v>24500</v>
      </c>
      <c r="F11" s="94">
        <f t="shared" si="0"/>
        <v>24500</v>
      </c>
      <c r="G11" s="94">
        <f t="shared" si="5"/>
        <v>24500</v>
      </c>
      <c r="H11" s="94">
        <f t="shared" si="1"/>
        <v>24500</v>
      </c>
      <c r="I11" s="94">
        <f t="shared" si="1"/>
        <v>24500</v>
      </c>
      <c r="J11" s="94">
        <f t="shared" si="6"/>
        <v>24500</v>
      </c>
      <c r="K11" s="94">
        <f t="shared" si="2"/>
        <v>24500</v>
      </c>
      <c r="L11" s="94">
        <f t="shared" si="2"/>
        <v>24500</v>
      </c>
      <c r="M11" s="94">
        <f t="shared" si="7"/>
        <v>24500</v>
      </c>
      <c r="N11" s="94">
        <f t="shared" si="3"/>
        <v>24500</v>
      </c>
      <c r="O11" s="95">
        <f t="shared" si="3"/>
        <v>24500</v>
      </c>
      <c r="Q11" s="91">
        <v>25</v>
      </c>
      <c r="R11" s="81">
        <v>25</v>
      </c>
      <c r="S11" s="81">
        <v>25</v>
      </c>
      <c r="T11" s="96">
        <v>25</v>
      </c>
    </row>
    <row r="12" spans="1:20" x14ac:dyDescent="0.45">
      <c r="A12" s="91" t="s">
        <v>154</v>
      </c>
      <c r="B12" s="92"/>
      <c r="C12" s="93">
        <v>3232000</v>
      </c>
      <c r="D12" s="94">
        <f t="shared" si="4"/>
        <v>215466.66666666666</v>
      </c>
      <c r="E12" s="94">
        <f t="shared" si="0"/>
        <v>215466.66666666666</v>
      </c>
      <c r="F12" s="94">
        <f t="shared" si="0"/>
        <v>215466.66666666666</v>
      </c>
      <c r="G12" s="94">
        <f t="shared" si="5"/>
        <v>215466.66666666666</v>
      </c>
      <c r="H12" s="94">
        <f t="shared" si="1"/>
        <v>215466.66666666666</v>
      </c>
      <c r="I12" s="94">
        <f t="shared" si="1"/>
        <v>215466.66666666666</v>
      </c>
      <c r="J12" s="94">
        <f t="shared" si="6"/>
        <v>323200</v>
      </c>
      <c r="K12" s="94">
        <f t="shared" si="2"/>
        <v>323200</v>
      </c>
      <c r="L12" s="94">
        <f t="shared" si="2"/>
        <v>323200</v>
      </c>
      <c r="M12" s="94">
        <f t="shared" si="7"/>
        <v>323200</v>
      </c>
      <c r="N12" s="94">
        <f t="shared" si="3"/>
        <v>323200</v>
      </c>
      <c r="O12" s="95">
        <f t="shared" si="3"/>
        <v>323200</v>
      </c>
      <c r="Q12" s="91">
        <v>20</v>
      </c>
      <c r="R12" s="81">
        <v>20</v>
      </c>
      <c r="S12" s="81">
        <v>30</v>
      </c>
      <c r="T12" s="96">
        <v>30</v>
      </c>
    </row>
    <row r="13" spans="1:20" x14ac:dyDescent="0.45">
      <c r="A13" s="91" t="s">
        <v>155</v>
      </c>
      <c r="B13" s="92"/>
      <c r="C13" s="93">
        <v>1818000</v>
      </c>
      <c r="D13" s="94">
        <f t="shared" si="4"/>
        <v>121200</v>
      </c>
      <c r="E13" s="94">
        <f t="shared" si="0"/>
        <v>121200</v>
      </c>
      <c r="F13" s="94">
        <f t="shared" si="0"/>
        <v>121200</v>
      </c>
      <c r="G13" s="94">
        <f t="shared" si="5"/>
        <v>121200</v>
      </c>
      <c r="H13" s="94">
        <f t="shared" si="1"/>
        <v>121200</v>
      </c>
      <c r="I13" s="94">
        <f t="shared" si="1"/>
        <v>121200</v>
      </c>
      <c r="J13" s="94">
        <f t="shared" si="6"/>
        <v>181800</v>
      </c>
      <c r="K13" s="94">
        <f t="shared" si="2"/>
        <v>181800</v>
      </c>
      <c r="L13" s="94">
        <f t="shared" si="2"/>
        <v>181800</v>
      </c>
      <c r="M13" s="94">
        <f t="shared" si="7"/>
        <v>181800</v>
      </c>
      <c r="N13" s="94">
        <f t="shared" si="3"/>
        <v>181800</v>
      </c>
      <c r="O13" s="95">
        <f t="shared" si="3"/>
        <v>181800</v>
      </c>
      <c r="Q13" s="91">
        <v>20</v>
      </c>
      <c r="R13" s="81">
        <v>20</v>
      </c>
      <c r="S13" s="81">
        <v>30</v>
      </c>
      <c r="T13" s="96">
        <v>30</v>
      </c>
    </row>
    <row r="14" spans="1:20" x14ac:dyDescent="0.45">
      <c r="A14" s="91" t="s">
        <v>156</v>
      </c>
      <c r="B14" s="92"/>
      <c r="C14" s="93">
        <v>350000</v>
      </c>
      <c r="D14" s="94">
        <f t="shared" si="4"/>
        <v>11666.666666666666</v>
      </c>
      <c r="E14" s="94">
        <f t="shared" si="0"/>
        <v>11666.666666666666</v>
      </c>
      <c r="F14" s="94">
        <f t="shared" si="0"/>
        <v>11666.666666666666</v>
      </c>
      <c r="G14" s="94">
        <f t="shared" si="5"/>
        <v>23333.333333333332</v>
      </c>
      <c r="H14" s="94">
        <f t="shared" si="1"/>
        <v>23333.333333333332</v>
      </c>
      <c r="I14" s="94">
        <f t="shared" si="1"/>
        <v>23333.333333333332</v>
      </c>
      <c r="J14" s="94">
        <f t="shared" si="6"/>
        <v>35000</v>
      </c>
      <c r="K14" s="94">
        <f t="shared" si="2"/>
        <v>35000</v>
      </c>
      <c r="L14" s="94">
        <f t="shared" si="2"/>
        <v>35000</v>
      </c>
      <c r="M14" s="94">
        <f t="shared" si="7"/>
        <v>46666.666666666664</v>
      </c>
      <c r="N14" s="94">
        <f t="shared" si="3"/>
        <v>46666.666666666664</v>
      </c>
      <c r="O14" s="95">
        <f t="shared" si="3"/>
        <v>46666.666666666664</v>
      </c>
      <c r="Q14" s="91">
        <v>10</v>
      </c>
      <c r="R14" s="81">
        <v>20</v>
      </c>
      <c r="S14" s="81">
        <v>30</v>
      </c>
      <c r="T14" s="96">
        <v>40</v>
      </c>
    </row>
    <row r="15" spans="1:20" s="102" customFormat="1" ht="14.65" thickBot="1" x14ac:dyDescent="0.5">
      <c r="A15" s="97" t="s">
        <v>157</v>
      </c>
      <c r="B15" s="98"/>
      <c r="C15" s="99">
        <v>535000</v>
      </c>
      <c r="D15" s="100">
        <f t="shared" si="4"/>
        <v>26750</v>
      </c>
      <c r="E15" s="100">
        <f t="shared" si="0"/>
        <v>26750</v>
      </c>
      <c r="F15" s="100">
        <f t="shared" si="0"/>
        <v>26750</v>
      </c>
      <c r="G15" s="100">
        <f t="shared" si="5"/>
        <v>53500</v>
      </c>
      <c r="H15" s="100">
        <f t="shared" si="1"/>
        <v>53500</v>
      </c>
      <c r="I15" s="100">
        <f t="shared" si="1"/>
        <v>53500</v>
      </c>
      <c r="J15" s="100">
        <f t="shared" si="6"/>
        <v>53500</v>
      </c>
      <c r="K15" s="100">
        <f t="shared" si="2"/>
        <v>53500</v>
      </c>
      <c r="L15" s="100">
        <f t="shared" si="2"/>
        <v>53500</v>
      </c>
      <c r="M15" s="100">
        <f t="shared" si="7"/>
        <v>44583.333333333336</v>
      </c>
      <c r="N15" s="100">
        <f t="shared" si="3"/>
        <v>44583.333333333336</v>
      </c>
      <c r="O15" s="101">
        <f t="shared" si="3"/>
        <v>44583.333333333336</v>
      </c>
      <c r="Q15" s="97">
        <v>15</v>
      </c>
      <c r="R15" s="82">
        <v>30</v>
      </c>
      <c r="S15" s="82">
        <v>30</v>
      </c>
      <c r="T15" s="103">
        <v>25</v>
      </c>
    </row>
    <row r="16" spans="1:20" s="102" customFormat="1" ht="14.65" thickBot="1" x14ac:dyDescent="0.5">
      <c r="A16" s="104" t="s">
        <v>158</v>
      </c>
      <c r="B16" s="104"/>
      <c r="C16" s="105">
        <f>SUM(C5:C15)</f>
        <v>8276000</v>
      </c>
      <c r="D16" s="106">
        <f>SUM(D5:D15)</f>
        <v>540166.66666666674</v>
      </c>
      <c r="E16" s="106">
        <f t="shared" ref="E16:O16" si="8">SUM(E5:E15)</f>
        <v>540166.66666666674</v>
      </c>
      <c r="F16" s="106">
        <f t="shared" si="8"/>
        <v>540166.66666666674</v>
      </c>
      <c r="G16" s="106">
        <f t="shared" si="8"/>
        <v>649416.66666666663</v>
      </c>
      <c r="H16" s="106">
        <f t="shared" si="8"/>
        <v>649416.66666666663</v>
      </c>
      <c r="I16" s="106">
        <f t="shared" si="8"/>
        <v>649416.66666666663</v>
      </c>
      <c r="J16" s="106">
        <f t="shared" si="8"/>
        <v>813583.33333333326</v>
      </c>
      <c r="K16" s="106">
        <f t="shared" si="8"/>
        <v>813583.33333333326</v>
      </c>
      <c r="L16" s="106">
        <f t="shared" si="8"/>
        <v>813583.33333333326</v>
      </c>
      <c r="M16" s="106">
        <f t="shared" si="8"/>
        <v>755500</v>
      </c>
      <c r="N16" s="106">
        <f t="shared" si="8"/>
        <v>755500</v>
      </c>
      <c r="O16" s="106">
        <f t="shared" si="8"/>
        <v>755500</v>
      </c>
      <c r="Q16" s="81"/>
      <c r="R16" s="81"/>
      <c r="S16" s="81"/>
      <c r="T16" s="81"/>
    </row>
    <row r="17" spans="1:20" s="102" customFormat="1" ht="14.65" thickTop="1" x14ac:dyDescent="0.45">
      <c r="A17" s="104" t="s">
        <v>159</v>
      </c>
      <c r="B17" s="104"/>
      <c r="C17" s="107">
        <v>498696</v>
      </c>
      <c r="D17" s="94">
        <f>$C17*$Q17/100/3</f>
        <v>30979.600000000002</v>
      </c>
      <c r="E17" s="94">
        <f t="shared" ref="E17:F17" si="9">$C17*$Q17/100/3</f>
        <v>30979.600000000002</v>
      </c>
      <c r="F17" s="94">
        <f t="shared" si="9"/>
        <v>30979.600000000002</v>
      </c>
      <c r="G17" s="94">
        <f>$C17*$R17/100/3</f>
        <v>47602.799999999996</v>
      </c>
      <c r="H17" s="94">
        <f t="shared" si="1"/>
        <v>47602.799999999996</v>
      </c>
      <c r="I17" s="94">
        <f t="shared" si="1"/>
        <v>47602.799999999996</v>
      </c>
      <c r="J17" s="94">
        <f>$C17*$S17/100/3</f>
        <v>45336</v>
      </c>
      <c r="K17" s="94">
        <f t="shared" si="2"/>
        <v>45336</v>
      </c>
      <c r="L17" s="94">
        <f t="shared" si="2"/>
        <v>45336</v>
      </c>
      <c r="M17" s="94">
        <f t="shared" si="7"/>
        <v>42313.599999999999</v>
      </c>
      <c r="N17" s="94">
        <f t="shared" si="3"/>
        <v>42313.599999999999</v>
      </c>
      <c r="O17" s="95">
        <f t="shared" si="3"/>
        <v>42313.599999999999</v>
      </c>
      <c r="Q17" s="81">
        <f>AVERAGE(Q5:Q15)</f>
        <v>18.636363636363637</v>
      </c>
      <c r="R17" s="81">
        <f t="shared" ref="R17:T17" si="10">AVERAGE(R5:R15)</f>
        <v>28.636363636363637</v>
      </c>
      <c r="S17" s="81">
        <f t="shared" si="10"/>
        <v>27.272727272727273</v>
      </c>
      <c r="T17" s="81">
        <f t="shared" si="10"/>
        <v>25.454545454545453</v>
      </c>
    </row>
    <row r="18" spans="1:20" s="102" customFormat="1" ht="14.65" thickBot="1" x14ac:dyDescent="0.5">
      <c r="A18" s="104" t="s">
        <v>160</v>
      </c>
      <c r="B18" s="104"/>
      <c r="C18" s="108">
        <f>C16-C17</f>
        <v>7777304</v>
      </c>
      <c r="D18" s="109">
        <f>D16-D17</f>
        <v>509187.06666666677</v>
      </c>
      <c r="E18" s="109">
        <f t="shared" ref="E18:O18" si="11">E16-E17</f>
        <v>509187.06666666677</v>
      </c>
      <c r="F18" s="109">
        <f t="shared" si="11"/>
        <v>509187.06666666677</v>
      </c>
      <c r="G18" s="109">
        <f t="shared" si="11"/>
        <v>601813.86666666658</v>
      </c>
      <c r="H18" s="109">
        <f t="shared" si="11"/>
        <v>601813.86666666658</v>
      </c>
      <c r="I18" s="109">
        <f t="shared" si="11"/>
        <v>601813.86666666658</v>
      </c>
      <c r="J18" s="109">
        <f t="shared" si="11"/>
        <v>768247.33333333326</v>
      </c>
      <c r="K18" s="109">
        <f t="shared" si="11"/>
        <v>768247.33333333326</v>
      </c>
      <c r="L18" s="109">
        <f t="shared" si="11"/>
        <v>768247.33333333326</v>
      </c>
      <c r="M18" s="109">
        <f t="shared" si="11"/>
        <v>713186.4</v>
      </c>
      <c r="N18" s="109">
        <f t="shared" si="11"/>
        <v>713186.4</v>
      </c>
      <c r="O18" s="109">
        <f t="shared" si="11"/>
        <v>713186.4</v>
      </c>
      <c r="Q18" s="81"/>
      <c r="R18" s="81"/>
      <c r="S18" s="81"/>
      <c r="T18" s="81"/>
    </row>
    <row r="19" spans="1:20" ht="14.65" thickTop="1" x14ac:dyDescent="0.45">
      <c r="A19" s="110"/>
      <c r="B19" s="111" t="s">
        <v>161</v>
      </c>
      <c r="C19" s="112">
        <f>SUM(D16:O16)-C16</f>
        <v>0</v>
      </c>
    </row>
    <row r="20" spans="1:20" x14ac:dyDescent="0.45">
      <c r="A20" s="110"/>
      <c r="B20" s="110"/>
      <c r="C20" s="110"/>
    </row>
    <row r="21" spans="1:20" x14ac:dyDescent="0.45">
      <c r="A21" s="110" t="s">
        <v>162</v>
      </c>
      <c r="B21" s="110"/>
      <c r="C21" s="112">
        <f>SUM(D21:O21)</f>
        <v>3064999.9999999991</v>
      </c>
      <c r="D21" s="113">
        <v>307762.219788249</v>
      </c>
      <c r="E21" s="113">
        <v>272418.29253556428</v>
      </c>
      <c r="F21" s="113">
        <v>261513.40404999699</v>
      </c>
      <c r="G21" s="113">
        <v>228110.61655539283</v>
      </c>
      <c r="H21" s="113">
        <v>219896.18735209698</v>
      </c>
      <c r="I21" s="113">
        <v>226830.20764467903</v>
      </c>
      <c r="J21" s="113">
        <v>254238.56976650545</v>
      </c>
      <c r="K21" s="113">
        <v>258634.70354099458</v>
      </c>
      <c r="L21" s="113">
        <v>226523.505123232</v>
      </c>
      <c r="M21" s="114">
        <v>237690.69693830411</v>
      </c>
      <c r="N21" s="114">
        <v>264042.90846300608</v>
      </c>
      <c r="O21" s="114">
        <v>307338.68824197806</v>
      </c>
    </row>
    <row r="22" spans="1:20" x14ac:dyDescent="0.45">
      <c r="A22" s="110" t="s">
        <v>163</v>
      </c>
      <c r="B22" s="115">
        <f>'[7]PT Ratio with 2020 Data'!D35</f>
        <v>0.65539999999999998</v>
      </c>
      <c r="C22" s="113">
        <f>(C$18-SUM(C12:C13))*$B22+C12</f>
        <v>5019475.0416000001</v>
      </c>
      <c r="D22" s="113">
        <f>(D$18-SUM(D12:D13))*$B22+D12</f>
        <v>328536.53682666674</v>
      </c>
      <c r="E22" s="113">
        <f t="shared" ref="E22:O22" si="12">(E$18-SUM(E12:E13))*$B22+E12</f>
        <v>328536.53682666674</v>
      </c>
      <c r="F22" s="113">
        <f t="shared" si="12"/>
        <v>328536.53682666674</v>
      </c>
      <c r="G22" s="113">
        <f t="shared" si="12"/>
        <v>389244.14154666662</v>
      </c>
      <c r="H22" s="113">
        <f t="shared" si="12"/>
        <v>389244.14154666662</v>
      </c>
      <c r="I22" s="113">
        <f t="shared" si="12"/>
        <v>389244.14154666662</v>
      </c>
      <c r="J22" s="113">
        <f t="shared" si="12"/>
        <v>495732.30226666661</v>
      </c>
      <c r="K22" s="113">
        <f t="shared" si="12"/>
        <v>495732.30226666661</v>
      </c>
      <c r="L22" s="113">
        <f t="shared" si="12"/>
        <v>495732.30226666661</v>
      </c>
      <c r="M22" s="113">
        <f t="shared" si="12"/>
        <v>459645.36655999999</v>
      </c>
      <c r="N22" s="113">
        <f t="shared" si="12"/>
        <v>459645.36655999999</v>
      </c>
      <c r="O22" s="113">
        <f t="shared" si="12"/>
        <v>459645.36655999999</v>
      </c>
    </row>
    <row r="23" spans="1:20" ht="14.65" thickBot="1" x14ac:dyDescent="0.5">
      <c r="A23" s="116" t="s">
        <v>164</v>
      </c>
      <c r="B23" s="115"/>
      <c r="C23" s="117">
        <f>SUM(D23:O23)</f>
        <v>1954475.0416000006</v>
      </c>
      <c r="D23" s="117">
        <f>D22-D21</f>
        <v>20774.317038417736</v>
      </c>
      <c r="E23" s="117">
        <f t="shared" ref="E23:O23" si="13">E22-E21</f>
        <v>56118.244291102455</v>
      </c>
      <c r="F23" s="117">
        <f t="shared" si="13"/>
        <v>67023.13277666975</v>
      </c>
      <c r="G23" s="117">
        <f t="shared" si="13"/>
        <v>161133.52499127379</v>
      </c>
      <c r="H23" s="117">
        <f t="shared" si="13"/>
        <v>169347.95419456964</v>
      </c>
      <c r="I23" s="117">
        <f t="shared" si="13"/>
        <v>162413.93390198759</v>
      </c>
      <c r="J23" s="117">
        <f t="shared" si="13"/>
        <v>241493.73250016116</v>
      </c>
      <c r="K23" s="117">
        <f t="shared" si="13"/>
        <v>237097.59872567203</v>
      </c>
      <c r="L23" s="117">
        <f t="shared" si="13"/>
        <v>269208.79714343464</v>
      </c>
      <c r="M23" s="117">
        <f t="shared" si="13"/>
        <v>221954.66962169588</v>
      </c>
      <c r="N23" s="117">
        <f t="shared" si="13"/>
        <v>195602.45809699391</v>
      </c>
      <c r="O23" s="117">
        <f t="shared" si="13"/>
        <v>152306.67831802194</v>
      </c>
    </row>
    <row r="24" spans="1:20" ht="14.65" thickTop="1" x14ac:dyDescent="0.45">
      <c r="A24" s="110"/>
      <c r="B24" s="115"/>
      <c r="C24" s="113"/>
      <c r="D24" s="113"/>
      <c r="E24" s="113"/>
      <c r="F24" s="113"/>
      <c r="G24" s="113"/>
      <c r="H24" s="113"/>
      <c r="I24" s="113"/>
      <c r="J24" s="113"/>
      <c r="K24" s="113"/>
      <c r="L24" s="113"/>
      <c r="M24" s="113"/>
      <c r="N24" s="113"/>
      <c r="O24" s="113"/>
    </row>
    <row r="25" spans="1:20" x14ac:dyDescent="0.45">
      <c r="A25" s="110" t="s">
        <v>165</v>
      </c>
      <c r="B25" s="115"/>
      <c r="C25" s="113">
        <f>SUM(D25:O25)</f>
        <v>1586467.8013161458</v>
      </c>
      <c r="D25" s="113">
        <v>146742.58551583768</v>
      </c>
      <c r="E25" s="113">
        <v>128156.88589307693</v>
      </c>
      <c r="F25" s="113">
        <v>128735.57313221694</v>
      </c>
      <c r="G25" s="113">
        <v>111419.85705893076</v>
      </c>
      <c r="H25" s="113">
        <v>107083.86057923328</v>
      </c>
      <c r="I25" s="113">
        <v>106389.51861293007</v>
      </c>
      <c r="J25" s="113">
        <v>120123.15146953426</v>
      </c>
      <c r="K25" s="113">
        <v>117264.08171322824</v>
      </c>
      <c r="L25" s="113">
        <v>130084.12705702643</v>
      </c>
      <c r="M25" s="113">
        <v>142407.22998141704</v>
      </c>
      <c r="N25" s="113">
        <v>161196.05567754043</v>
      </c>
      <c r="O25" s="113">
        <v>186864.87462517389</v>
      </c>
    </row>
    <row r="26" spans="1:20" x14ac:dyDescent="0.45">
      <c r="A26" s="110" t="s">
        <v>166</v>
      </c>
      <c r="B26" s="115">
        <f>'[7]PT Ratio with 2020 Data'!E35</f>
        <v>0.34460000000000002</v>
      </c>
      <c r="C26" s="113">
        <f>(C$18-SUM(C12:C13))*$B26+C13</f>
        <v>2757828.9583999999</v>
      </c>
      <c r="D26" s="113">
        <f t="shared" ref="D26:O26" si="14">(D$18-SUM(D12:D13))*$B26+D13</f>
        <v>180650.52984000006</v>
      </c>
      <c r="E26" s="113">
        <f t="shared" si="14"/>
        <v>180650.52984000006</v>
      </c>
      <c r="F26" s="113">
        <f t="shared" si="14"/>
        <v>180650.52984000006</v>
      </c>
      <c r="G26" s="113">
        <f t="shared" si="14"/>
        <v>212569.72511999999</v>
      </c>
      <c r="H26" s="113">
        <f t="shared" si="14"/>
        <v>212569.72511999999</v>
      </c>
      <c r="I26" s="113">
        <f t="shared" si="14"/>
        <v>212569.72511999999</v>
      </c>
      <c r="J26" s="113">
        <f t="shared" si="14"/>
        <v>272515.03106666665</v>
      </c>
      <c r="K26" s="113">
        <f t="shared" si="14"/>
        <v>272515.03106666665</v>
      </c>
      <c r="L26" s="113">
        <f t="shared" si="14"/>
        <v>272515.03106666665</v>
      </c>
      <c r="M26" s="113">
        <f t="shared" si="14"/>
        <v>253541.03344000003</v>
      </c>
      <c r="N26" s="113">
        <f t="shared" si="14"/>
        <v>253541.03344000003</v>
      </c>
      <c r="O26" s="113">
        <f t="shared" si="14"/>
        <v>253541.03344000003</v>
      </c>
    </row>
    <row r="27" spans="1:20" ht="14.65" thickBot="1" x14ac:dyDescent="0.5">
      <c r="A27" s="118" t="s">
        <v>167</v>
      </c>
      <c r="B27" s="79"/>
      <c r="C27" s="117">
        <f>SUM(D27:O27)</f>
        <v>1171361.1570838541</v>
      </c>
      <c r="D27" s="117">
        <f>D26-D25</f>
        <v>33907.944324162381</v>
      </c>
      <c r="E27" s="117">
        <f t="shared" ref="E27:O27" si="15">E26-E25</f>
        <v>52493.643946923126</v>
      </c>
      <c r="F27" s="117">
        <f t="shared" si="15"/>
        <v>51914.956707783116</v>
      </c>
      <c r="G27" s="117">
        <f t="shared" si="15"/>
        <v>101149.86806106922</v>
      </c>
      <c r="H27" s="117">
        <f t="shared" si="15"/>
        <v>105485.86454076671</v>
      </c>
      <c r="I27" s="117">
        <f t="shared" si="15"/>
        <v>106180.20650706992</v>
      </c>
      <c r="J27" s="117">
        <f t="shared" si="15"/>
        <v>152391.87959713239</v>
      </c>
      <c r="K27" s="117">
        <f t="shared" si="15"/>
        <v>155250.94935343839</v>
      </c>
      <c r="L27" s="117">
        <f t="shared" si="15"/>
        <v>142430.90400964022</v>
      </c>
      <c r="M27" s="117">
        <f t="shared" si="15"/>
        <v>111133.80345858299</v>
      </c>
      <c r="N27" s="117">
        <f t="shared" si="15"/>
        <v>92344.977762459603</v>
      </c>
      <c r="O27" s="117">
        <f t="shared" si="15"/>
        <v>66676.158814826136</v>
      </c>
    </row>
    <row r="28" spans="1:20" ht="14.65" thickTop="1" x14ac:dyDescent="0.45">
      <c r="A28" s="78"/>
      <c r="B28" s="79"/>
      <c r="C28" s="79"/>
    </row>
    <row r="29" spans="1:20" x14ac:dyDescent="0.45">
      <c r="A29" s="78"/>
      <c r="B29" s="79"/>
      <c r="C29" s="79"/>
    </row>
    <row r="30" spans="1:20" x14ac:dyDescent="0.45">
      <c r="A30" s="78"/>
      <c r="B30" s="79"/>
      <c r="C30" s="79"/>
    </row>
    <row r="31" spans="1:20" x14ac:dyDescent="0.45">
      <c r="A31" s="78"/>
      <c r="B31" s="79"/>
      <c r="C31" s="79"/>
    </row>
    <row r="32" spans="1:20" s="102" customFormat="1" x14ac:dyDescent="0.45">
      <c r="A32" s="118"/>
      <c r="B32" s="119"/>
      <c r="C32" s="118"/>
    </row>
    <row r="33" spans="1:3" s="102" customFormat="1" x14ac:dyDescent="0.45">
      <c r="A33" s="118"/>
      <c r="B33" s="119"/>
      <c r="C33" s="118"/>
    </row>
    <row r="35" spans="1:3" x14ac:dyDescent="0.45">
      <c r="B35" s="120"/>
      <c r="C35" s="121"/>
    </row>
    <row r="36" spans="1:3" x14ac:dyDescent="0.45">
      <c r="A36" s="78"/>
      <c r="B36" s="79"/>
      <c r="C36" s="79"/>
    </row>
    <row r="37" spans="1:3" x14ac:dyDescent="0.45">
      <c r="A37" s="78"/>
      <c r="B37" s="79"/>
      <c r="C37" s="79"/>
    </row>
    <row r="38" spans="1:3" x14ac:dyDescent="0.45">
      <c r="A38" s="78"/>
      <c r="B38" s="79"/>
      <c r="C38" s="79"/>
    </row>
    <row r="39" spans="1:3" x14ac:dyDescent="0.45">
      <c r="A39" s="78"/>
      <c r="B39" s="79"/>
      <c r="C39" s="79"/>
    </row>
    <row r="40" spans="1:3" x14ac:dyDescent="0.45">
      <c r="A40" s="78"/>
      <c r="B40" s="79"/>
      <c r="C40" s="79"/>
    </row>
    <row r="41" spans="1:3" x14ac:dyDescent="0.45">
      <c r="A41" s="78"/>
      <c r="B41" s="79"/>
      <c r="C41" s="79"/>
    </row>
    <row r="42" spans="1:3" x14ac:dyDescent="0.45">
      <c r="A42" s="78"/>
      <c r="B42" s="79"/>
      <c r="C42" s="79"/>
    </row>
    <row r="43" spans="1:3" x14ac:dyDescent="0.45">
      <c r="A43" s="78"/>
      <c r="B43" s="79"/>
      <c r="C43" s="79"/>
    </row>
    <row r="44" spans="1:3" s="102" customFormat="1" x14ac:dyDescent="0.45">
      <c r="B44" s="119"/>
      <c r="C44" s="118"/>
    </row>
    <row r="46" spans="1:3" x14ac:dyDescent="0.45">
      <c r="A46" s="78"/>
      <c r="B46" s="119"/>
      <c r="C46" s="118"/>
    </row>
    <row r="69" spans="1:19" s="122" customFormat="1" x14ac:dyDescent="0.45">
      <c r="A69" s="80"/>
      <c r="C69" s="80"/>
      <c r="Q69" s="80"/>
      <c r="R69" s="80"/>
      <c r="S69" s="80"/>
    </row>
  </sheetData>
  <mergeCells count="2">
    <mergeCell ref="A2:P2"/>
    <mergeCell ref="Q2:T2"/>
  </mergeCells>
  <pageMargins left="0.7" right="0.7" top="0.75" bottom="0.75" header="0.3" footer="0.3"/>
  <pageSetup orientation="portrait" horizontalDpi="1200" verticalDpi="12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F81DB5-AB34-45AF-962B-2B3AB1866242}">
  <dimension ref="A3:AN17"/>
  <sheetViews>
    <sheetView workbookViewId="0">
      <selection activeCell="I35" sqref="I35"/>
    </sheetView>
  </sheetViews>
  <sheetFormatPr defaultColWidth="9.1328125" defaultRowHeight="14.25" x14ac:dyDescent="0.45"/>
  <cols>
    <col min="1" max="1" width="32.265625" style="50" bestFit="1" customWidth="1"/>
    <col min="2" max="40" width="12.265625" style="50" bestFit="1" customWidth="1"/>
    <col min="41" max="16384" width="9.1328125" style="50"/>
  </cols>
  <sheetData>
    <row r="3" spans="1:40" x14ac:dyDescent="0.45">
      <c r="A3" s="48" t="s">
        <v>112</v>
      </c>
      <c r="B3" s="49">
        <f>[2]Rev!R2</f>
        <v>44440</v>
      </c>
      <c r="C3" s="49">
        <f>[2]Rev!S2</f>
        <v>44470</v>
      </c>
      <c r="D3" s="49">
        <f>[2]Rev!T2</f>
        <v>44501</v>
      </c>
      <c r="E3" s="49">
        <f>[2]Rev!U2</f>
        <v>44531</v>
      </c>
      <c r="F3" s="49">
        <f>[2]Rev!V2</f>
        <v>44562</v>
      </c>
      <c r="G3" s="49">
        <f>[2]Rev!W2</f>
        <v>44593</v>
      </c>
      <c r="H3" s="49">
        <f>[2]Rev!X2</f>
        <v>44621</v>
      </c>
      <c r="I3" s="49">
        <f>[2]Rev!Y2</f>
        <v>44652</v>
      </c>
      <c r="J3" s="49">
        <f>[2]Rev!Z2</f>
        <v>44682</v>
      </c>
      <c r="K3" s="49">
        <f>[2]Rev!AA2</f>
        <v>44713</v>
      </c>
      <c r="L3" s="49">
        <f>[2]Rev!AB2</f>
        <v>44743</v>
      </c>
      <c r="M3" s="49">
        <f>[2]Rev!AC2</f>
        <v>44774</v>
      </c>
      <c r="N3" s="49">
        <f>[2]Rev!AD2</f>
        <v>44805</v>
      </c>
      <c r="O3" s="49">
        <f>[2]Rev!AE2</f>
        <v>44835</v>
      </c>
      <c r="P3" s="49">
        <f>[2]Rev!AF2</f>
        <v>44866</v>
      </c>
      <c r="Q3" s="49">
        <f>[2]Rev!AG2</f>
        <v>44896</v>
      </c>
      <c r="R3" s="49">
        <f>[2]Rev!AH2</f>
        <v>44927</v>
      </c>
      <c r="S3" s="49">
        <f>[2]Rev!AI2</f>
        <v>44958</v>
      </c>
      <c r="T3" s="49">
        <f>[2]Rev!AJ2</f>
        <v>44986</v>
      </c>
      <c r="U3" s="49">
        <f>[2]Rev!AK2</f>
        <v>45017</v>
      </c>
      <c r="V3" s="49">
        <f>[2]Rev!AL2</f>
        <v>45047</v>
      </c>
      <c r="W3" s="49">
        <f>[2]Rev!AM2</f>
        <v>45078</v>
      </c>
      <c r="X3" s="49">
        <f>[2]Rev!AN2</f>
        <v>45108</v>
      </c>
      <c r="Y3" s="49">
        <f>[2]Rev!AO2</f>
        <v>45139</v>
      </c>
      <c r="Z3" s="49">
        <f>[2]Rev!AP2</f>
        <v>45170</v>
      </c>
      <c r="AA3" s="49">
        <f>[2]Rev!AQ2</f>
        <v>45200</v>
      </c>
      <c r="AB3" s="49">
        <f>[2]Rev!AR2</f>
        <v>45231</v>
      </c>
      <c r="AC3" s="49"/>
      <c r="AD3" s="49"/>
      <c r="AE3" s="49"/>
      <c r="AF3" s="49"/>
      <c r="AG3" s="49"/>
      <c r="AH3" s="49"/>
      <c r="AI3" s="49"/>
      <c r="AJ3" s="49"/>
      <c r="AK3" s="49"/>
      <c r="AL3" s="49"/>
      <c r="AM3" s="49"/>
      <c r="AN3" s="49"/>
    </row>
    <row r="4" spans="1:40" x14ac:dyDescent="0.45">
      <c r="A4" s="51" t="s">
        <v>113</v>
      </c>
      <c r="B4" s="52">
        <f>[2]Rev!R164</f>
        <v>21183589.429051708</v>
      </c>
      <c r="C4" s="52">
        <f>[2]Rev!S164</f>
        <v>21355597.091826539</v>
      </c>
      <c r="D4" s="52">
        <f>[2]Rev!T164</f>
        <v>23945735.242453437</v>
      </c>
      <c r="E4" s="52">
        <f>[2]Rev!U164</f>
        <v>27668352.279416051</v>
      </c>
      <c r="F4" s="52">
        <f>[2]Rev!V164</f>
        <v>27301026.832469761</v>
      </c>
      <c r="G4" s="52">
        <f>[2]Rev!W164</f>
        <v>23878316.18253684</v>
      </c>
      <c r="H4" s="52">
        <f>[2]Rev!X164</f>
        <v>23989998.822175186</v>
      </c>
      <c r="I4" s="52">
        <f>[2]Rev!Y164</f>
        <v>20816479.701330651</v>
      </c>
      <c r="J4" s="52">
        <f>[2]Rev!Z164</f>
        <v>20026909.984765273</v>
      </c>
      <c r="K4" s="52">
        <f>[2]Rev!AA164</f>
        <v>19899129.983083628</v>
      </c>
      <c r="L4" s="52">
        <f>[2]Rev!AB164</f>
        <v>22440263.680920117</v>
      </c>
      <c r="M4" s="52">
        <f>[2]Rev!AC164</f>
        <v>21941976.400322624</v>
      </c>
      <c r="N4" s="52">
        <f>[2]Rev!AD164</f>
        <v>19362944.183224358</v>
      </c>
      <c r="O4" s="52">
        <f>[2]Rev!AE164</f>
        <v>21102181.893927366</v>
      </c>
      <c r="P4" s="52">
        <f>[2]Rev!AF164</f>
        <v>23801264.572257232</v>
      </c>
      <c r="Q4" s="52">
        <f>[2]Rev!AG164</f>
        <v>27570447.63858356</v>
      </c>
      <c r="R4" s="52">
        <f>[2]Rev!AH164</f>
        <v>27252752.693891048</v>
      </c>
      <c r="S4" s="52">
        <f>[2]Rev!AI164</f>
        <v>23646509.466845948</v>
      </c>
      <c r="T4" s="52">
        <f>[2]Rev!AJ164</f>
        <v>23949538.6756263</v>
      </c>
      <c r="U4" s="52">
        <f>[2]Rev!AK164</f>
        <v>20875877.780109402</v>
      </c>
      <c r="V4" s="52">
        <f>[2]Rev!AL164</f>
        <v>20078425.548905071</v>
      </c>
      <c r="W4" s="52">
        <f>[2]Rev!AM164</f>
        <v>19932707.609480266</v>
      </c>
      <c r="X4" s="52">
        <f>[2]Rev!AN164</f>
        <v>22461212.854311403</v>
      </c>
      <c r="Y4" s="52">
        <f>[2]Rev!AO164</f>
        <v>21955891.661725864</v>
      </c>
      <c r="Z4" s="52">
        <f>[2]Rev!AP164</f>
        <v>20985274.122719031</v>
      </c>
      <c r="AA4" s="52">
        <f>[2]Rev!AQ164</f>
        <v>22877093.86158755</v>
      </c>
      <c r="AB4" s="52">
        <f>[2]Rev!AR164</f>
        <v>25834418.285336472</v>
      </c>
      <c r="AC4" s="52"/>
      <c r="AD4" s="52"/>
      <c r="AE4" s="52"/>
      <c r="AF4" s="52"/>
      <c r="AG4" s="52"/>
      <c r="AH4" s="52"/>
      <c r="AI4" s="52"/>
      <c r="AJ4" s="52"/>
      <c r="AK4" s="52"/>
      <c r="AL4" s="52"/>
      <c r="AM4" s="52"/>
      <c r="AN4" s="52"/>
    </row>
    <row r="5" spans="1:40" x14ac:dyDescent="0.45">
      <c r="A5" s="53" t="s">
        <v>114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  <c r="AB5" s="52"/>
      <c r="AC5" s="52"/>
      <c r="AD5" s="52"/>
      <c r="AE5" s="52"/>
      <c r="AF5" s="52"/>
      <c r="AG5" s="52"/>
      <c r="AH5" s="52"/>
      <c r="AI5" s="52"/>
      <c r="AJ5" s="52"/>
      <c r="AK5" s="52"/>
      <c r="AL5" s="52"/>
      <c r="AM5" s="52"/>
      <c r="AN5" s="52"/>
    </row>
    <row r="6" spans="1:40" x14ac:dyDescent="0.45">
      <c r="A6" s="53"/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  <c r="Y6" s="52"/>
      <c r="Z6" s="52"/>
      <c r="AA6" s="52"/>
      <c r="AB6" s="52"/>
      <c r="AC6" s="52"/>
      <c r="AD6" s="52"/>
      <c r="AE6" s="52"/>
      <c r="AF6" s="52"/>
      <c r="AG6" s="52"/>
      <c r="AH6" s="52"/>
      <c r="AI6" s="52"/>
      <c r="AJ6" s="52"/>
      <c r="AK6" s="52"/>
      <c r="AL6" s="52"/>
      <c r="AM6" s="52"/>
      <c r="AN6" s="52"/>
    </row>
    <row r="7" spans="1:40" x14ac:dyDescent="0.45">
      <c r="A7" s="54"/>
      <c r="B7" s="52"/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  <c r="S7" s="52"/>
      <c r="T7" s="52"/>
      <c r="U7" s="52"/>
      <c r="V7" s="52"/>
      <c r="W7" s="52"/>
      <c r="X7" s="52"/>
      <c r="Y7" s="52"/>
      <c r="Z7" s="52"/>
      <c r="AA7" s="52"/>
      <c r="AB7" s="52"/>
      <c r="AC7" s="52"/>
      <c r="AD7" s="52"/>
      <c r="AE7" s="52"/>
      <c r="AF7" s="52"/>
      <c r="AG7" s="52"/>
      <c r="AH7" s="52"/>
      <c r="AI7" s="52"/>
      <c r="AJ7" s="52"/>
      <c r="AK7" s="52"/>
      <c r="AL7" s="52"/>
      <c r="AM7" s="52"/>
      <c r="AN7" s="52"/>
    </row>
    <row r="8" spans="1:40" x14ac:dyDescent="0.45">
      <c r="A8" s="48" t="s">
        <v>115</v>
      </c>
      <c r="B8" s="35">
        <v>44470</v>
      </c>
      <c r="C8" s="35">
        <v>44501</v>
      </c>
      <c r="D8" s="35">
        <v>44531</v>
      </c>
      <c r="E8" s="35">
        <v>44562</v>
      </c>
      <c r="F8" s="35">
        <v>44593</v>
      </c>
      <c r="G8" s="35">
        <v>44621</v>
      </c>
      <c r="H8" s="35">
        <v>44652</v>
      </c>
      <c r="I8" s="35">
        <v>44682</v>
      </c>
      <c r="J8" s="35">
        <v>44713</v>
      </c>
      <c r="K8" s="35">
        <v>44743</v>
      </c>
      <c r="L8" s="35">
        <v>44774</v>
      </c>
      <c r="M8" s="35">
        <v>44805</v>
      </c>
      <c r="N8" s="35">
        <v>44835</v>
      </c>
      <c r="O8" s="35">
        <v>44866</v>
      </c>
      <c r="P8" s="35">
        <v>44896</v>
      </c>
      <c r="Q8" s="35">
        <v>44927</v>
      </c>
      <c r="R8" s="35">
        <v>44958</v>
      </c>
      <c r="S8" s="35">
        <v>44986</v>
      </c>
      <c r="T8" s="35">
        <v>45017</v>
      </c>
      <c r="U8" s="35">
        <v>45047</v>
      </c>
      <c r="V8" s="35">
        <v>45078</v>
      </c>
      <c r="W8" s="35">
        <v>45108</v>
      </c>
      <c r="X8" s="35">
        <v>45139</v>
      </c>
      <c r="Y8" s="35">
        <v>45170</v>
      </c>
      <c r="Z8" s="35">
        <v>45200</v>
      </c>
      <c r="AA8" s="35">
        <v>45231</v>
      </c>
      <c r="AB8" s="35">
        <v>45261</v>
      </c>
      <c r="AC8" s="35">
        <v>45292</v>
      </c>
      <c r="AD8" s="35">
        <v>45323</v>
      </c>
      <c r="AE8" s="35">
        <v>45352</v>
      </c>
      <c r="AF8" s="35">
        <v>45383</v>
      </c>
      <c r="AG8" s="35">
        <v>45413</v>
      </c>
      <c r="AH8" s="35">
        <v>45444</v>
      </c>
      <c r="AI8" s="35">
        <v>45474</v>
      </c>
      <c r="AJ8" s="35">
        <v>45505</v>
      </c>
      <c r="AK8" s="35">
        <v>45536</v>
      </c>
      <c r="AL8" s="35">
        <v>45566</v>
      </c>
      <c r="AM8" s="35">
        <v>45597</v>
      </c>
      <c r="AN8" s="35">
        <v>45627</v>
      </c>
    </row>
    <row r="9" spans="1:40" x14ac:dyDescent="0.45">
      <c r="A9" s="55" t="s">
        <v>8</v>
      </c>
      <c r="B9" s="52">
        <v>20079153.896367822</v>
      </c>
      <c r="C9" s="52">
        <v>21810143.55424799</v>
      </c>
      <c r="D9" s="52">
        <v>26479626.36318931</v>
      </c>
      <c r="E9" s="52">
        <v>27952774.435340252</v>
      </c>
      <c r="F9" s="52">
        <v>25402485.992962155</v>
      </c>
      <c r="G9" s="52">
        <v>24384681.434619386</v>
      </c>
      <c r="H9" s="52">
        <v>22184500.661364708</v>
      </c>
      <c r="I9" s="52">
        <v>20483974.694528915</v>
      </c>
      <c r="J9" s="52">
        <v>19827508.431575116</v>
      </c>
      <c r="K9" s="52">
        <v>20803811.393580396</v>
      </c>
      <c r="L9" s="52">
        <v>22143010.714503817</v>
      </c>
      <c r="M9" s="52">
        <v>21075560.94411432</v>
      </c>
      <c r="N9" s="52">
        <v>19849192.046994023</v>
      </c>
      <c r="O9" s="52">
        <v>21568489.370031975</v>
      </c>
      <c r="P9" s="52">
        <v>26449860.526837666</v>
      </c>
      <c r="Q9" s="52">
        <v>27854495.967084542</v>
      </c>
      <c r="R9" s="52">
        <v>25353665.503452051</v>
      </c>
      <c r="S9" s="52">
        <v>24276752.784926366</v>
      </c>
      <c r="T9" s="52">
        <v>22200871.355387066</v>
      </c>
      <c r="U9" s="52">
        <v>20486971.88563459</v>
      </c>
      <c r="V9" s="52">
        <v>19763628.40353344</v>
      </c>
      <c r="W9" s="52">
        <v>20713928.084356949</v>
      </c>
      <c r="X9" s="52">
        <v>22045280.475638028</v>
      </c>
      <c r="Y9" s="52">
        <v>21853207.118399106</v>
      </c>
      <c r="Z9" s="52">
        <v>21452640.921484318</v>
      </c>
      <c r="AA9" s="52">
        <v>23391805.127395611</v>
      </c>
      <c r="AB9" s="52">
        <v>28762937.121861774</v>
      </c>
      <c r="AC9" s="52">
        <v>29099332.36178406</v>
      </c>
      <c r="AD9" s="52">
        <v>26815709.253798429</v>
      </c>
      <c r="AE9" s="52">
        <v>25542920.060008693</v>
      </c>
      <c r="AF9" s="52">
        <v>23286053.365345631</v>
      </c>
      <c r="AG9" s="52">
        <v>21443476.506259415</v>
      </c>
      <c r="AH9" s="52">
        <v>20655071.475135997</v>
      </c>
      <c r="AI9" s="52">
        <v>21675760.475368511</v>
      </c>
      <c r="AJ9" s="52">
        <v>23129887.685902648</v>
      </c>
      <c r="AK9" s="52">
        <v>22062701.2115933</v>
      </c>
      <c r="AL9" s="52">
        <v>20692710.85349419</v>
      </c>
      <c r="AM9" s="52">
        <v>22616541.165974729</v>
      </c>
      <c r="AN9" s="52">
        <v>28056997.528507799</v>
      </c>
    </row>
    <row r="10" spans="1:40" x14ac:dyDescent="0.45">
      <c r="A10" s="55" t="s">
        <v>106</v>
      </c>
      <c r="B10" s="52">
        <v>40626802.052956372</v>
      </c>
      <c r="C10" s="52">
        <v>42668398.081973612</v>
      </c>
      <c r="D10" s="52">
        <v>51503077.254519925</v>
      </c>
      <c r="E10" s="52">
        <v>55009571.001128018</v>
      </c>
      <c r="F10" s="52">
        <v>51168769.282043047</v>
      </c>
      <c r="G10" s="52">
        <v>47383405.402399942</v>
      </c>
      <c r="H10" s="52">
        <v>43365182.962097555</v>
      </c>
      <c r="I10" s="52">
        <v>40986237.608912356</v>
      </c>
      <c r="J10" s="52">
        <v>41171313.149473213</v>
      </c>
      <c r="K10" s="52">
        <v>42875700.346999519</v>
      </c>
      <c r="L10" s="52">
        <v>46436437.239522725</v>
      </c>
      <c r="M10" s="52">
        <v>44155559.293242998</v>
      </c>
      <c r="N10" s="52">
        <v>40199938.707306996</v>
      </c>
      <c r="O10" s="52">
        <v>42328047.092806883</v>
      </c>
      <c r="P10" s="52">
        <v>51297860.741802685</v>
      </c>
      <c r="Q10" s="52">
        <v>55095112.936955683</v>
      </c>
      <c r="R10" s="52">
        <v>51409157.75972943</v>
      </c>
      <c r="S10" s="52">
        <v>47634007.2181224</v>
      </c>
      <c r="T10" s="52">
        <v>43235679.301752731</v>
      </c>
      <c r="U10" s="52">
        <v>40188281.141369991</v>
      </c>
      <c r="V10" s="52">
        <v>39955444.819220461</v>
      </c>
      <c r="W10" s="52">
        <v>41386700.135041177</v>
      </c>
      <c r="X10" s="52">
        <v>46204614.164276458</v>
      </c>
      <c r="Y10" s="52">
        <v>45181580.494952001</v>
      </c>
      <c r="Z10" s="52">
        <v>41717171.60840667</v>
      </c>
      <c r="AA10" s="52">
        <v>44580698.7895336</v>
      </c>
      <c r="AB10" s="52">
        <v>54345756.073567949</v>
      </c>
      <c r="AC10" s="52">
        <v>58535149.499924764</v>
      </c>
      <c r="AD10" s="52">
        <v>54518534.712198146</v>
      </c>
      <c r="AE10" s="52">
        <v>50540783.536646165</v>
      </c>
      <c r="AF10" s="52">
        <v>45951919.644767642</v>
      </c>
      <c r="AG10" s="52">
        <v>42661999.392588221</v>
      </c>
      <c r="AH10" s="52">
        <v>42189023.868629113</v>
      </c>
      <c r="AI10" s="52">
        <v>43619162.745288968</v>
      </c>
      <c r="AJ10" s="52">
        <v>48267595.137334794</v>
      </c>
      <c r="AK10" s="52">
        <v>46898296.3492034</v>
      </c>
      <c r="AL10" s="52">
        <v>42603265.055124387</v>
      </c>
      <c r="AM10" s="52">
        <v>44654431.682997167</v>
      </c>
      <c r="AN10" s="52">
        <v>54563583.853845119</v>
      </c>
    </row>
    <row r="11" spans="1:40" x14ac:dyDescent="0.45">
      <c r="A11" s="53" t="s">
        <v>116</v>
      </c>
      <c r="B11" s="52"/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2"/>
      <c r="R11" s="52"/>
      <c r="S11" s="52"/>
      <c r="T11" s="52"/>
      <c r="U11" s="52"/>
      <c r="V11" s="52"/>
      <c r="W11" s="52"/>
      <c r="X11" s="52"/>
      <c r="Y11" s="52"/>
      <c r="Z11" s="52"/>
      <c r="AA11" s="52"/>
      <c r="AB11" s="52"/>
      <c r="AC11" s="52"/>
      <c r="AD11" s="52"/>
      <c r="AE11" s="52"/>
      <c r="AF11" s="52"/>
      <c r="AG11" s="52"/>
      <c r="AH11" s="52"/>
      <c r="AI11" s="52"/>
      <c r="AJ11" s="52"/>
      <c r="AK11" s="52"/>
      <c r="AL11" s="52"/>
      <c r="AM11" s="52"/>
      <c r="AN11" s="52"/>
    </row>
    <row r="12" spans="1:40" x14ac:dyDescent="0.45">
      <c r="A12" s="53"/>
      <c r="B12" s="52"/>
      <c r="C12" s="52"/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52"/>
      <c r="W12" s="52"/>
      <c r="X12" s="52"/>
      <c r="Y12" s="52"/>
      <c r="Z12" s="52"/>
      <c r="AA12" s="52"/>
      <c r="AB12" s="52"/>
      <c r="AC12" s="52"/>
      <c r="AD12" s="52"/>
      <c r="AE12" s="52"/>
      <c r="AF12" s="52"/>
      <c r="AG12" s="52"/>
      <c r="AH12" s="52"/>
      <c r="AI12" s="52"/>
      <c r="AJ12" s="52"/>
      <c r="AK12" s="52"/>
      <c r="AL12" s="52"/>
      <c r="AM12" s="52"/>
      <c r="AN12" s="52"/>
    </row>
    <row r="13" spans="1:40" x14ac:dyDescent="0.45">
      <c r="A13" s="54"/>
      <c r="B13" s="52"/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52"/>
      <c r="W13" s="52"/>
      <c r="X13" s="52"/>
      <c r="Y13" s="52"/>
      <c r="Z13" s="52"/>
      <c r="AA13" s="52"/>
      <c r="AB13" s="52"/>
      <c r="AC13" s="52"/>
      <c r="AD13" s="52"/>
      <c r="AE13" s="52"/>
      <c r="AF13" s="52"/>
      <c r="AG13" s="52"/>
      <c r="AH13" s="52"/>
      <c r="AI13" s="52"/>
      <c r="AJ13" s="52"/>
      <c r="AK13" s="52"/>
      <c r="AL13" s="52"/>
      <c r="AM13" s="52"/>
      <c r="AN13" s="52"/>
    </row>
    <row r="14" spans="1:40" x14ac:dyDescent="0.45">
      <c r="A14" s="48" t="s">
        <v>117</v>
      </c>
    </row>
    <row r="15" spans="1:40" x14ac:dyDescent="0.45">
      <c r="A15" s="55" t="s">
        <v>8</v>
      </c>
      <c r="B15" s="52">
        <v>21039493.576339871</v>
      </c>
      <c r="C15" s="52">
        <v>24189573.593342625</v>
      </c>
      <c r="D15" s="52">
        <v>28265934.982270539</v>
      </c>
      <c r="E15" s="52">
        <v>27603999.602489043</v>
      </c>
      <c r="F15" s="52">
        <v>23902395.455885179</v>
      </c>
      <c r="G15" s="52">
        <v>24335268.771677252</v>
      </c>
      <c r="H15" s="52">
        <v>21227865.466902353</v>
      </c>
      <c r="I15" s="52">
        <v>20374143.389733519</v>
      </c>
      <c r="J15" s="52">
        <v>19852345.738323718</v>
      </c>
      <c r="K15" s="52">
        <v>22929240.093827896</v>
      </c>
      <c r="L15" s="52">
        <v>21960033.033489991</v>
      </c>
      <c r="M15" s="52">
        <v>19775278.055483092</v>
      </c>
      <c r="N15" s="52">
        <v>21577550.578823328</v>
      </c>
      <c r="O15" s="52">
        <v>24558712.701131474</v>
      </c>
      <c r="P15" s="52">
        <v>29085253.630216438</v>
      </c>
      <c r="Q15" s="52">
        <v>28227352.783750474</v>
      </c>
      <c r="R15" s="52">
        <v>24325450.795428235</v>
      </c>
      <c r="S15" s="52">
        <v>24962627.858368047</v>
      </c>
      <c r="T15" s="52">
        <v>21847286.52083461</v>
      </c>
      <c r="U15" s="52">
        <v>20957510.83458576</v>
      </c>
      <c r="V15" s="52">
        <v>20298566.211792216</v>
      </c>
      <c r="W15" s="52">
        <v>23447547.458888657</v>
      </c>
      <c r="X15" s="52">
        <v>22621985.540874749</v>
      </c>
      <c r="Y15" s="52">
        <v>19858789.248516079</v>
      </c>
      <c r="Z15" s="52">
        <v>21559792.027299624</v>
      </c>
      <c r="AA15" s="52">
        <v>24604798.813873924</v>
      </c>
      <c r="AB15" s="52">
        <v>29144324.418790385</v>
      </c>
      <c r="AC15" s="52">
        <v>27793539.757224653</v>
      </c>
      <c r="AD15" s="52">
        <v>25245824.224010505</v>
      </c>
      <c r="AE15" s="52">
        <v>25840468.399593428</v>
      </c>
      <c r="AF15" s="52">
        <v>22971052.411365341</v>
      </c>
      <c r="AG15" s="52">
        <v>21281276.724087141</v>
      </c>
      <c r="AH15" s="52">
        <v>18827509.13369137</v>
      </c>
      <c r="AI15" s="52">
        <v>20828198.182103977</v>
      </c>
      <c r="AJ15" s="52">
        <v>21803908.92113148</v>
      </c>
      <c r="AK15" s="52">
        <v>21171114.435863264</v>
      </c>
      <c r="AL15" s="52">
        <v>20316475.513634637</v>
      </c>
      <c r="AM15" s="52">
        <v>21290785.906725552</v>
      </c>
      <c r="AN15" s="52">
        <v>25270806.39217034</v>
      </c>
    </row>
    <row r="16" spans="1:40" x14ac:dyDescent="0.45">
      <c r="A16" s="55" t="s">
        <v>106</v>
      </c>
      <c r="B16" s="52">
        <v>42996238.936683007</v>
      </c>
      <c r="C16" s="52">
        <v>47763131.363777854</v>
      </c>
      <c r="D16" s="52">
        <v>55594972.139649197</v>
      </c>
      <c r="E16" s="52">
        <v>55671585.418146282</v>
      </c>
      <c r="F16" s="52">
        <v>49278167.582732916</v>
      </c>
      <c r="G16" s="52">
        <v>47305565.386084735</v>
      </c>
      <c r="H16" s="52">
        <v>41263283.333110519</v>
      </c>
      <c r="I16" s="52">
        <v>39777362.490171306</v>
      </c>
      <c r="J16" s="52">
        <v>41031668.178748809</v>
      </c>
      <c r="K16" s="52">
        <v>45989609.32593248</v>
      </c>
      <c r="L16" s="52">
        <v>46784832.784823753</v>
      </c>
      <c r="M16" s="52">
        <v>40976188.28380768</v>
      </c>
      <c r="N16" s="52">
        <v>42448266.108335786</v>
      </c>
      <c r="O16" s="52">
        <v>47331105.79704529</v>
      </c>
      <c r="P16" s="52">
        <v>55394646.919022672</v>
      </c>
      <c r="Q16" s="52">
        <v>55809246.786499538</v>
      </c>
      <c r="R16" s="52">
        <v>49099192.17498935</v>
      </c>
      <c r="S16" s="52">
        <v>47700828.026787102</v>
      </c>
      <c r="T16" s="52">
        <v>41911455.059828848</v>
      </c>
      <c r="U16" s="52">
        <v>40359164.934139363</v>
      </c>
      <c r="V16" s="52">
        <v>40889124.220667072</v>
      </c>
      <c r="W16" s="52">
        <v>45824162.681941129</v>
      </c>
      <c r="X16" s="52">
        <v>47058557.214902535</v>
      </c>
      <c r="Y16" s="52">
        <v>41115954.746107265</v>
      </c>
      <c r="Z16" s="52">
        <v>42621535.925616533</v>
      </c>
      <c r="AA16" s="52">
        <v>47220266.775959805</v>
      </c>
      <c r="AB16" s="52">
        <v>55458239.220782802</v>
      </c>
      <c r="AC16" s="52">
        <v>56583057.927229889</v>
      </c>
      <c r="AD16" s="52">
        <v>52523482.776211977</v>
      </c>
      <c r="AE16" s="52">
        <v>51199864.19971206</v>
      </c>
      <c r="AF16" s="52">
        <v>45963320.82514777</v>
      </c>
      <c r="AG16" s="52">
        <v>43026921.755797811</v>
      </c>
      <c r="AH16" s="52">
        <v>39970544.654738903</v>
      </c>
      <c r="AI16" s="52">
        <v>41905298.401961982</v>
      </c>
      <c r="AJ16" s="52">
        <v>47312782.715416178</v>
      </c>
      <c r="AK16" s="52">
        <v>45836535.895303458</v>
      </c>
      <c r="AL16" s="52">
        <v>41379871.457230143</v>
      </c>
      <c r="AM16" s="52">
        <v>41544448.256091647</v>
      </c>
      <c r="AN16" s="52">
        <v>49219695.038259618</v>
      </c>
    </row>
    <row r="17" spans="1:1" x14ac:dyDescent="0.45">
      <c r="A17" s="56" t="s">
        <v>118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xxe4awand xmlns="http://www.excel4apps.com"><![CDATA[rO0ABXoAAAEICMCtii8CDwIQAh4AAERjb20uZXhjZWw0YXBwcy53YW5kLm9yYWNs
ZS5nbHdhbmQuY2FsY3VsYXRpb25zLmdldGJhbGFuY2UuR2V0QmFsYW5jZQIBADhb
MjAyMTA5IC0gSUQgV0ZSRVMgRGVmZXJyYWwueGxzeF1XaWxkZmlyZSBEZWZlcnJh
bCBDb3N0cwICAAEwAgMABjIwMjEwNgIEAANQVEQCBQADVVNEAgYABVRvdGFsAgcA
AUECCAAAAgkAAzAwMQIKAAY0MDc0NDQCCwACRUQCDAACSUQCDQACREwCCAIIAggC
CAIIAggCCAIIAggCCAIIAggCCAIIAggCCAIIAgICAwIOc3ICDwAUamF2YS5tYXRo
LkJpZ0RlY2ltYWxUxxVX+YEoTwMAAkkCEAAFc2NhbGVMAhEABmludFZhbHQAFkxq
YXZhL21hdGgvQmlnSW50ZWdlcjt4cgISABBqYXZhLmxhbmcuTnVtYmVyhqyVHQuU
4IsCAAB4cAAAAAJzcgITABRqYXZhLm1hdGguQmlnSW50ZWdlcoz8nx+pO/sdAwAG
SQIUAAhiaXRDb3VudEkCFQAJYml0TGVuZ3RoSQIWABNmaXJzdE5vbnplcm9CeXRl
TnVtSQIXAAxsb3dlc3RTZXRCaXRJAhgABnNpZ251bVsCGQAJbWFnbml0dWRldAAC
W0J4cQB+AAL///////////////7////+/////3VyAhoAAltCrPMX+AYIVOACAAB4cAAAAANUdSB4eHdNAh4AAgECAgIbAAYyMDIxMDgCBAIFAgYCBwIIAgkCCgILAgwCDQIIAggCCAIIAggCCAIIAggCCAIIAggCCAIIAggCCAIIAggCAgIDAhxzcQB+AAAAAAACc3EAfgAE///////////////+/////v////91cQB+AAcAAAAEBqO6NXh4d00CHgACAQICAh0ABjIwMjEwNAIEAgUCBgIHAggCCQIKAgsCDAINAggCCAIIAggCCAIIAggCCAIIAggCCAIIAggCCAIIAggCCAICAgMCHnNxAH4AAAAAAAJzcQB+AAT///////////////7////+/////3VxAH4ABwAAAAMQnQh4eHdNAh4AAgECAgIfAAYyMDIxMDECBAIFAgYCBwIIAgkCCgILAgwCDQIIAggCCAIIAggCCAIIAggCCAIIAggCCAIIAggCCAIIAggCAgIDAiBzcQB+AAAAAAACc3EAfgAE///////////////+/////v////91cQB+AAcAAAADAlcbeHh3TQIeAAIBAgICIQAGMjAyMDA3AgQCBQIGAgcCCAIJAgoCCwIMAg0CCAIIAggCCAIIAggCCAIIAggCCAIIAggCCAIIAggCCAIIAgICAwIic3EAfgAAAAAAAHNxAH4ABP///////////////v////4AAAAAdXEAfgAHAAAAAHh4d00CHgACAQICAiMABjIwMjAxMgIEAgUCBgIHAggCCQIKAgsCDAINAggCCAIIAggCCAIIAggCCAIIAggCCAIIAggCCAIIAggCCAICAgMCJHNxAH4AAAAAAAJzcQB+AAT///////////////7////+/////3VxAH4ABwAAAAQF1+P5eHh3TQIeAAIBAgICJQAGMjAyMTAzAgQCBQIGAgcCCAIJAgoCCwIMAg0CCAIIAggCCAIIAggCCAIIAggCCAIIAggCCAIIAggCCAIIAgICAwImc3EAfgAAAAAAAnNxAH4ABP///////////////v////7/////dXEAfgAHAAAAA3/8zXh4d+cCHgACAQICAicABjIwMjAwOQIEAgUCBgIHAggCCQIKAgsCDAINAggCCAIIAggCCAIIAggCCAIIAggCCAIIAggCCAIIAggCCAICAgMCIgIeAAIBAgICKAAGMjAyMDA2AgQCBQIGAgcCCAIJAgoCCwIMAg0CCAIIAggCCAIIAggCCAIIAggCCAIIAggCCAIIAggCCAIIAgICAwIiAh4AAgECAgIpAAYyMDIxMDcCBAIFAgYCBwIIAgkCCgILAgwCDQIIAggCCAIIAggCCAIIAggCCAIIAggCCAIIAggCCAIIAggCAgIDAipzcQB+AAAAAAACc3EAfgAE///////////////+/////v////91cQB+AAcAAAADmCVbeHh35wIeAAIBAgICKwAGMjAyMDEwAgQCBQIGAgcCCAIJAgoCCwIMAg0CCAIIAggCCAIIAggCCAIIAggCCAIIAggCCAIIAggCCAIIAgICAwIiAh4AAgECAgIsAAYyMDIxMDkCBAIFAgYCBwIIAgkCCgILAgwCDQIIAggCCAIIAggCCAIIAggCCAIIAggCCAIIAggCCAIIAggCAgIDAiICHgACAQICAi0ABjIwMjEwNQIEAgUCBgIHAggCCQIKAgsCDAINAggCCAIIAggCCAIIAggCCAIIAggCCAIIAggCCAIIAggCCAICAgMCLnNxAH4AAAAAAAJzcQB+AAT///////////////7////+/////3VxAH4ABwAAAAN/HbB4eHeaAh4AAgECAgIvAAYyMDIwMDgCBAIFAgYCBwIIAgkCCgILAgwCDQIIAggCCAIIAggCCAIIAggCCAIIAggCCAIIAggCCAIIAggCAgIDAiICHgACAQICAjAABjIwMjEwMgIEAgUCBgIHAggCCQIKAgsCDAINAggCCAIIAggCCAIIAggCCAIIAggCCAIIAggCCAIIAggCCAICAgMCMXNxAH4AAAAAAAJzcQB+AAT///////////////7////+/////3VxAH4ABwAAAAMvzkx4eHdNAh4AAgECAgIyAAYyMDIwMTECBAIFAgYCBwIIAgkCCgILAgwCDQIIAggCCAIIAggCCAIIAggCCAIIAggCCAIIAggCCAIIAggCAgIDAiI=]]></xxe4awand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B64DA3106E9E3849887F4269213DA098" ma:contentTypeVersion="28" ma:contentTypeDescription="" ma:contentTypeScope="" ma:versionID="adf9c376bb5798aa8a89909752da5f52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2022-09-02T07:00:00+00:00</OpenedDate>
    <SignificantOrder xmlns="dc463f71-b30c-4ab2-9473-d307f9d35888">false</SignificantOrder>
    <Date1 xmlns="dc463f71-b30c-4ab2-9473-d307f9d35888">2022-09-02T07:00:00+00:00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220669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CCF7B0EE-57EC-4603-871E-21FBE83831D7}">
  <ds:schemaRefs>
    <ds:schemaRef ds:uri="http://www.excel4apps.com"/>
  </ds:schemaRefs>
</ds:datastoreItem>
</file>

<file path=customXml/itemProps2.xml><?xml version="1.0" encoding="utf-8"?>
<ds:datastoreItem xmlns:ds="http://schemas.openxmlformats.org/officeDocument/2006/customXml" ds:itemID="{B90B8082-57C9-45C9-9C12-920AAB5E5914}"/>
</file>

<file path=customXml/itemProps3.xml><?xml version="1.0" encoding="utf-8"?>
<ds:datastoreItem xmlns:ds="http://schemas.openxmlformats.org/officeDocument/2006/customXml" ds:itemID="{9742BD04-04DC-42EE-A09C-E89EA3D5C7AD}"/>
</file>

<file path=customXml/itemProps4.xml><?xml version="1.0" encoding="utf-8"?>
<ds:datastoreItem xmlns:ds="http://schemas.openxmlformats.org/officeDocument/2006/customXml" ds:itemID="{498E1B92-F6B4-43C6-BC40-36E402ECD374}"/>
</file>

<file path=customXml/itemProps5.xml><?xml version="1.0" encoding="utf-8"?>
<ds:datastoreItem xmlns:ds="http://schemas.openxmlformats.org/officeDocument/2006/customXml" ds:itemID="{0F6FD05D-9195-4D19-BDC9-2DE3A1D95C8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</vt:i4>
      </vt:variant>
    </vt:vector>
  </HeadingPairs>
  <TitlesOfParts>
    <vt:vector size="10" baseType="lpstr">
      <vt:lpstr>WA Wildfire Deferral Baseline</vt:lpstr>
      <vt:lpstr>Wildfire Incremental Expense</vt:lpstr>
      <vt:lpstr>PT Ratio with 2021 Data</vt:lpstr>
      <vt:lpstr>202012 WFRES Depr Entry</vt:lpstr>
      <vt:lpstr>PT Ratio with 2020 Data</vt:lpstr>
      <vt:lpstr>2022 Expected Spend</vt:lpstr>
      <vt:lpstr>202110 WA Revenue Forecast</vt:lpstr>
      <vt:lpstr>'PT Ratio with 2020 Data'!Print_Area</vt:lpstr>
      <vt:lpstr>'PT Ratio with 2020 Data'!Print_Titles</vt:lpstr>
      <vt:lpstr>PTRATIO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Stromberger, Janessa D</dc:creator>
  <cp:lastModifiedBy>Miller, Joe</cp:lastModifiedBy>
  <cp:lastPrinted>2022-08-01T22:10:30Z</cp:lastPrinted>
  <dcterms:created xsi:type="dcterms:W3CDTF">2021-01-06T16:10:46Z</dcterms:created>
  <dcterms:modified xsi:type="dcterms:W3CDTF">2022-09-01T13:55:38Z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0x0101006E56B4D1795A2E4DB2F0B01679ED314A00B64DA3106E9E3849887F4269213DA098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