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externalLinks/externalLink10.xml" ContentType="application/vnd.openxmlformats-officedocument.spreadsheetml.externalLink+xml"/>
  <Override PartName="/xl/customProperty4.bin" ContentType="application/vnd.openxmlformats-officedocument.spreadsheetml.customProperty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5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.puget.com\rpl\GrpRates\Public\PCOS\RateFilings\Sch_129_Low_Income\2022_Filing\SentToTariffs\"/>
    </mc:Choice>
  </mc:AlternateContent>
  <bookViews>
    <workbookView xWindow="-12" yWindow="48" windowWidth="11520" windowHeight="4152" tabRatio="869"/>
  </bookViews>
  <sheets>
    <sheet name="2022 Proposed Impacts" sheetId="12" r:id="rId1"/>
    <sheet name="2022 Equal % Allocation" sheetId="13" r:id="rId2"/>
    <sheet name="Street &amp; Area Lighting" sheetId="55" r:id="rId3"/>
    <sheet name="Typical Residential Notice" sheetId="59" r:id="rId4"/>
    <sheet name="Base Revenue" sheetId="32" r:id="rId5"/>
    <sheet name="Workpapers -&gt;" sheetId="61" r:id="rId6"/>
    <sheet name="2021 Equal % Allocation" sheetId="60" r:id="rId7"/>
    <sheet name="Revenue Req 2022-2023" sheetId="62" r:id="rId8"/>
    <sheet name="Controls" sheetId="5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six6" localSheetId="6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6" hidden="1">{#N/A,#N/A,FALSE,"schA"}</definedName>
    <definedName name="__________________www1" localSheetId="7" hidden="1">{#N/A,#N/A,FALSE,"schA"}</definedName>
    <definedName name="__________________www1" hidden="1">{#N/A,#N/A,FALSE,"schA"}</definedName>
    <definedName name="_________________six6" localSheetId="6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6" hidden="1">{#N/A,#N/A,FALSE,"schA"}</definedName>
    <definedName name="_________________www1" localSheetId="7" hidden="1">{#N/A,#N/A,FALSE,"schA"}</definedName>
    <definedName name="_________________www1" hidden="1">{#N/A,#N/A,FALSE,"schA"}</definedName>
    <definedName name="________________six6" localSheetId="6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6" hidden="1">{#N/A,#N/A,FALSE,"schA"}</definedName>
    <definedName name="________________www1" localSheetId="7" hidden="1">{#N/A,#N/A,FALSE,"schA"}</definedName>
    <definedName name="________________www1" hidden="1">{#N/A,#N/A,FALSE,"schA"}</definedName>
    <definedName name="_______________six6" localSheetId="6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6" hidden="1">{#N/A,#N/A,FALSE,"schA"}</definedName>
    <definedName name="_______________www1" localSheetId="7" hidden="1">{#N/A,#N/A,FALSE,"schA"}</definedName>
    <definedName name="_______________www1" hidden="1">{#N/A,#N/A,FALSE,"schA"}</definedName>
    <definedName name="______________six6" localSheetId="6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6" hidden="1">{#N/A,#N/A,FALSE,"schA"}</definedName>
    <definedName name="______________www1" localSheetId="7" hidden="1">{#N/A,#N/A,FALSE,"schA"}</definedName>
    <definedName name="______________www1" hidden="1">{#N/A,#N/A,FALSE,"schA"}</definedName>
    <definedName name="_____________six6" localSheetId="6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6" hidden="1">{#N/A,#N/A,FALSE,"schA"}</definedName>
    <definedName name="_____________www1" localSheetId="7" hidden="1">{#N/A,#N/A,FALSE,"schA"}</definedName>
    <definedName name="_____________www1" hidden="1">{#N/A,#N/A,FALSE,"schA"}</definedName>
    <definedName name="____________six6" localSheetId="6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6" hidden="1">{#N/A,#N/A,FALSE,"schA"}</definedName>
    <definedName name="____________www1" localSheetId="7" hidden="1">{#N/A,#N/A,FALSE,"schA"}</definedName>
    <definedName name="____________www1" hidden="1">{#N/A,#N/A,FALSE,"schA"}</definedName>
    <definedName name="___________six6" localSheetId="6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6" hidden="1">{#N/A,#N/A,FALSE,"schA"}</definedName>
    <definedName name="___________www1" localSheetId="7" hidden="1">{#N/A,#N/A,FALSE,"schA"}</definedName>
    <definedName name="___________www1" hidden="1">{#N/A,#N/A,FALSE,"schA"}</definedName>
    <definedName name="__________six6" localSheetId="6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6" hidden="1">{#N/A,#N/A,FALSE,"schA"}</definedName>
    <definedName name="__________www1" localSheetId="7" hidden="1">{#N/A,#N/A,FALSE,"schA"}</definedName>
    <definedName name="__________www1" hidden="1">{#N/A,#N/A,FALSE,"schA"}</definedName>
    <definedName name="_________six6" localSheetId="6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6" hidden="1">{#N/A,#N/A,FALSE,"schA"}</definedName>
    <definedName name="_________www1" localSheetId="7" hidden="1">{#N/A,#N/A,FALSE,"schA"}</definedName>
    <definedName name="_________www1" hidden="1">{#N/A,#N/A,FALSE,"schA"}</definedName>
    <definedName name="________six6" localSheetId="6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6" hidden="1">{#N/A,#N/A,FALSE,"schA"}</definedName>
    <definedName name="________www1" localSheetId="7" hidden="1">{#N/A,#N/A,FALSE,"schA"}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localSheetId="6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6" hidden="1">{#N/A,#N/A,FALSE,"schA"}</definedName>
    <definedName name="_______www1" localSheetId="7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6" hidden="1">{#N/A,#N/A,FALSE,"Summ";#N/A,#N/A,FALSE,"General"}</definedName>
    <definedName name="______ex1" localSheetId="7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6" hidden="1">{#N/A,#N/A,FALSE,"Summ";#N/A,#N/A,FALSE,"General"}</definedName>
    <definedName name="______new1" localSheetId="7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6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6" hidden="1">{#N/A,#N/A,FALSE,"schA"}</definedName>
    <definedName name="______www1" localSheetId="7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6" hidden="1">{#N/A,#N/A,FALSE,"Summ";#N/A,#N/A,FALSE,"General"}</definedName>
    <definedName name="_____ex1" localSheetId="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6" hidden="1">{#N/A,#N/A,FALSE,"Summ";#N/A,#N/A,FALSE,"General"}</definedName>
    <definedName name="_____new1" localSheetId="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6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6" hidden="1">{#N/A,#N/A,FALSE,"schA"}</definedName>
    <definedName name="_____www1" localSheetId="7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6" hidden="1">{#N/A,#N/A,FALSE,"Summ";#N/A,#N/A,FALSE,"General"}</definedName>
    <definedName name="____ex1" localSheetId="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6" hidden="1">{#N/A,#N/A,FALSE,"Summ";#N/A,#N/A,FALSE,"General"}</definedName>
    <definedName name="____new1" localSheetId="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6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6" hidden="1">{#N/A,#N/A,FALSE,"schA"}</definedName>
    <definedName name="____www1" localSheetId="7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6" hidden="1">{#N/A,#N/A,FALSE,"Summ";#N/A,#N/A,FALSE,"General"}</definedName>
    <definedName name="___ex1" localSheetId="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6" hidden="1">{#N/A,#N/A,FALSE,"Summ";#N/A,#N/A,FALSE,"General"}</definedName>
    <definedName name="___new1" localSheetId="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6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hidden="1">{#N/A,#N/A,FALSE,"CRPT";#N/A,#N/A,FALSE,"TREND";#N/A,#N/A,FALSE,"%Curve"}</definedName>
    <definedName name="___www1" localSheetId="6" hidden="1">{#N/A,#N/A,FALSE,"schA"}</definedName>
    <definedName name="___www1" localSheetId="7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7" hidden="1">#REF!</definedName>
    <definedName name="__123Graph_D" hidden="1">#REF!</definedName>
    <definedName name="__123Graph_ECURRENT" localSheetId="7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6" hidden="1">{#N/A,#N/A,FALSE,"Summ";#N/A,#N/A,FALSE,"General"}</definedName>
    <definedName name="__ex1" localSheetId="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6" hidden="1">{#N/A,#N/A,FALSE,"Summ";#N/A,#N/A,FALSE,"General"}</definedName>
    <definedName name="__new1" localSheetId="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6" hidden="1">{#N/A,#N/A,FALSE,"CRPT";#N/A,#N/A,FALSE,"TREND";#N/A,#N/A,FALSE,"%Curve"}</definedName>
    <definedName name="__six6" localSheetId="7" hidden="1">{#N/A,#N/A,FALSE,"CRPT";#N/A,#N/A,FALSE,"TREND";#N/A,#N/A,FALSE,"%Curve"}</definedName>
    <definedName name="__six6" hidden="1">{#N/A,#N/A,FALSE,"CRPT";#N/A,#N/A,FALSE,"TREND";#N/A,#N/A,FALSE,"%Curve"}</definedName>
    <definedName name="__www1" localSheetId="6" hidden="1">{#N/A,#N/A,FALSE,"schA"}</definedName>
    <definedName name="__www1" localSheetId="7" hidden="1">{#N/A,#N/A,FALSE,"schA"}</definedName>
    <definedName name="__www1" hidden="1">{#N/A,#N/A,FALSE,"schA"}</definedName>
    <definedName name="_1__123Graph_ABUDG6_D_ESCRPR">[11]Quant!$D$71:$O$71</definedName>
    <definedName name="_1_94_12_94">[13]DT_A_DOL93!#REF!</definedName>
    <definedName name="_1_95_12_95">[13]DT_A_DOL93!#REF!</definedName>
    <definedName name="_1_96_12_96">[13]DT_A_DOL93!#REF!</definedName>
    <definedName name="_1_97_12_97">[13]DT_A_DOL93!#REF!</definedName>
    <definedName name="_1_98_12_98">[13]DT_A_DOL93!#REF!</definedName>
    <definedName name="_11">#REF!</definedName>
    <definedName name="_1Price_Ta">#REF!</definedName>
    <definedName name="_2__123Graph_ABUDG6_Dtons_inv" hidden="1">[95]Quant!#REF!</definedName>
    <definedName name="_2Price_Ta">#REF!</definedName>
    <definedName name="_3__123Graph_ABUDG6_Dtons_inv" hidden="1">[96]Quant!#REF!</definedName>
    <definedName name="_3__123Graph_BBUDG6_D_ESCRPR">[11]Quant!$D$72:$O$72</definedName>
    <definedName name="_31">#REF!</definedName>
    <definedName name="_36">#REF!</definedName>
    <definedName name="_4__123Graph_ABUDG6_Dtons_inv" hidden="1">'[97]Area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hidden="1">'[98]2012 Area AB BudgetSummary'!#REF!</definedName>
    <definedName name="_6__123Graph_DBUDG6_D_ESCRPR">[11]Quant!$D$88:$O$88</definedName>
    <definedName name="_7__123Graph_CBUDG6_D_ESCRPR" hidden="1">'[97]Area D 2011'!#REF!</definedName>
    <definedName name="_7__123Graph_DBUDG6_D_ESCRPR" hidden="1">'[98]2012 Area AB BudgetSummary'!#REF!</definedName>
    <definedName name="_7__123Graph_XBUDG6_D_ESCRPR">[11]Quant!$D$5:$O$5</definedName>
    <definedName name="_8__123Graph_DBUDG6_D_ESCRPR" hidden="1">'[97]Area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>'[15]Rate Design'!#REF!</definedName>
    <definedName name="_DAT1">'[16]SAP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'[16]SAP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[14]BS!$Q$8:$Q$2553</definedName>
    <definedName name="_End">#REF!</definedName>
    <definedName name="_ex1" localSheetId="6" hidden="1">{#N/A,#N/A,FALSE,"Summ";#N/A,#N/A,FALSE,"General"}</definedName>
    <definedName name="_ex1" localSheetId="7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[14]BS!$S$8:$S$2552</definedName>
    <definedName name="_FEDERAL_INCOME_TAX">'[17]MJS-7'!$N$21</definedName>
    <definedName name="_Fill">[18]model!#REF!</definedName>
    <definedName name="_Filter">#REF!</definedName>
    <definedName name="_Jan04">[4]BS!$R$7:$R$3582</definedName>
    <definedName name="_Jan05">#REF!</definedName>
    <definedName name="_Jan06">[9]BS!#REF!</definedName>
    <definedName name="_Jan17">[14]BS!$R$8:$R$2553</definedName>
    <definedName name="_Jul04">[4]BS!$X$7:$X$3582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Mar04">[4]BS!$T$7:$T$3582</definedName>
    <definedName name="_Mar05">#REF!</definedName>
    <definedName name="_Mar17">[14]BS!$T$8:$T$2552</definedName>
    <definedName name="_May04">[4]BS!$V$7:$V$3582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>[1]Jan!#REF!</definedName>
    <definedName name="_MEN3">[1]Jan!#REF!</definedName>
    <definedName name="_mwh2">#REF!</definedName>
    <definedName name="_new1" localSheetId="6" hidden="1">{#N/A,#N/A,FALSE,"Summ";#N/A,#N/A,FALSE,"General"}</definedName>
    <definedName name="_new1" localSheetId="7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>255</definedName>
    <definedName name="_Order2">255</definedName>
    <definedName name="_P">#REF!</definedName>
    <definedName name="_P_RD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>1</definedName>
    <definedName name="_RES">#REF!</definedName>
    <definedName name="_RES2005">#REF!</definedName>
    <definedName name="_SEC24">[10]EXTERNAL!$A$112:$IV$114</definedName>
    <definedName name="_Sep03">[19]BS!$AB$7:$AB$3420</definedName>
    <definedName name="_Sep04">[4]BS!$Z$7:$Z$3582</definedName>
    <definedName name="_Sep05">#REF!</definedName>
    <definedName name="_Sept16">[14]BS!$N$8:$N$2556</definedName>
    <definedName name="_Sept17">[14]BS!$Z$8:$Z$2552</definedName>
    <definedName name="_six6" localSheetId="6" hidden="1">{#N/A,#N/A,FALSE,"CRPT";#N/A,#N/A,FALSE,"TREND";#N/A,#N/A,FALSE,"%Curve"}</definedName>
    <definedName name="_six6" localSheetId="7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hidden="1">#REF!</definedName>
    <definedName name="_Testyear">'[20]KJB-6,13 Cmn Adj'!$B$7</definedName>
    <definedName name="_TOP1">[1]Jan!#REF!</definedName>
    <definedName name="_www1" localSheetId="6" hidden="1">{#N/A,#N/A,FALSE,"schA"}</definedName>
    <definedName name="_www1" localSheetId="7" hidden="1">{#N/A,#N/A,FALSE,"schA"}</definedName>
    <definedName name="_www1" hidden="1">{#N/A,#N/A,FALSE,"schA"}</definedName>
    <definedName name="a">[21]model!$A$6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6" hidden="1">{#N/A,#N/A,FALSE,"Coversheet";#N/A,#N/A,FALSE,"QA"}</definedName>
    <definedName name="AAAAAAAAAAAAAA" localSheetId="7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>[22]Sheet2!#REF!</definedName>
    <definedName name="accrual2">[22]Sheet2!#REF!</definedName>
    <definedName name="accrual3">[22]Sheet2!#REF!</definedName>
    <definedName name="Acct108364">'[23]Func Study'!#REF!</definedName>
    <definedName name="Acct108364S">'[23]Func Study'!#REF!</definedName>
    <definedName name="Acct228.42TROJD">'[24]Func Study'!#REF!</definedName>
    <definedName name="Acct2281SO">'[25]Func Study'!$H$2190</definedName>
    <definedName name="Acct2283SO">'[25]Func Study'!$H$2198</definedName>
    <definedName name="Acct22842TROJD">'[24]Func Study'!#REF!</definedName>
    <definedName name="Acct228SO">'[25]Func Study'!$H$2194</definedName>
    <definedName name="Acct350">'[25]Func Study'!$H$1628</definedName>
    <definedName name="Acct352">'[25]Func Study'!$H$1635</definedName>
    <definedName name="Acct353">'[25]Func Study'!$H$1641</definedName>
    <definedName name="Acct354">'[25]Func Study'!$H$1647</definedName>
    <definedName name="Acct355">'[25]Func Study'!$H$1654</definedName>
    <definedName name="Acct356">'[25]Func Study'!$H$1660</definedName>
    <definedName name="Acct357">'[25]Func Study'!$H$1666</definedName>
    <definedName name="Acct358">'[25]Func Study'!$H$1672</definedName>
    <definedName name="Acct359">'[25]Func Study'!$H$1678</definedName>
    <definedName name="Acct360">'[25]Func Study'!$H$1698</definedName>
    <definedName name="Acct361">'[25]Func Study'!$H$1704</definedName>
    <definedName name="Acct362">'[25]Func Study'!$H$1710</definedName>
    <definedName name="Acct364">'[25]Func Study'!$H$1717</definedName>
    <definedName name="Acct365">'[25]Func Study'!$H$1724</definedName>
    <definedName name="Acct366">'[25]Func Study'!$H$1731</definedName>
    <definedName name="Acct367">'[25]Func Study'!$H$1738</definedName>
    <definedName name="Acct368">'[25]Func Study'!$H$1744</definedName>
    <definedName name="Acct369">'[25]Func Study'!$H$1751</definedName>
    <definedName name="Acct370">'[25]Func Study'!$H$1762</definedName>
    <definedName name="Acct371">'[25]Func Study'!$H$1769</definedName>
    <definedName name="Acct372">'[25]Func Study'!$H$1776</definedName>
    <definedName name="Acct372A">'[25]Func Study'!$H$1775</definedName>
    <definedName name="Acct372DP">'[25]Func Study'!$H$1773</definedName>
    <definedName name="Acct372DS">'[25]Func Study'!$H$1774</definedName>
    <definedName name="Acct373">'[25]Func Study'!$H$1782</definedName>
    <definedName name="Acct41011">'[26]Functional Study'!#REF!</definedName>
    <definedName name="Acct41011BADDEBT">'[26]Functional Study'!#REF!</definedName>
    <definedName name="Acct41011DITEXP">'[26]Functional Study'!#REF!</definedName>
    <definedName name="Acct41011S">'[26]Functional Study'!#REF!</definedName>
    <definedName name="Acct41011SE">'[26]Functional Study'!#REF!</definedName>
    <definedName name="Acct41011SG1">'[26]Functional Study'!#REF!</definedName>
    <definedName name="Acct41011SG2">'[26]Functional Study'!#REF!</definedName>
    <definedName name="ACCT41011SGCT">'[26]Functional Study'!#REF!</definedName>
    <definedName name="Acct41011SGPP">'[26]Functional Study'!#REF!</definedName>
    <definedName name="Acct41011SNP">'[26]Functional Study'!#REF!</definedName>
    <definedName name="ACCT41011SNPD">'[26]Functional Study'!#REF!</definedName>
    <definedName name="Acct41011SO">'[26]Functional Study'!#REF!</definedName>
    <definedName name="Acct41011TROJP">'[26]Functional Study'!#REF!</definedName>
    <definedName name="Acct41111">'[26]Functional Study'!#REF!</definedName>
    <definedName name="Acct41111BADDEBT">'[26]Functional Study'!#REF!</definedName>
    <definedName name="Acct41111DITEXP">'[26]Functional Study'!#REF!</definedName>
    <definedName name="Acct41111S">'[26]Functional Study'!#REF!</definedName>
    <definedName name="Acct41111SE">'[26]Functional Study'!#REF!</definedName>
    <definedName name="Acct41111SG1">'[26]Functional Study'!#REF!</definedName>
    <definedName name="Acct41111SG2">'[26]Functional Study'!#REF!</definedName>
    <definedName name="Acct41111SG3">'[26]Functional Study'!#REF!</definedName>
    <definedName name="Acct41111SGPP">'[26]Functional Study'!#REF!</definedName>
    <definedName name="Acct41111SNP">'[26]Functional Study'!#REF!</definedName>
    <definedName name="Acct41111SNTP">'[26]Functional Study'!#REF!</definedName>
    <definedName name="Acct41111SO">'[26]Functional Study'!#REF!</definedName>
    <definedName name="Acct41111TROJP">'[26]Functional Study'!#REF!</definedName>
    <definedName name="Acct411BADDEBT">'[26]Functional Study'!#REF!</definedName>
    <definedName name="Acct411DGP">'[26]Functional Study'!#REF!</definedName>
    <definedName name="Acct411DGU">'[26]Functional Study'!#REF!</definedName>
    <definedName name="Acct411DITEXP">'[26]Functional Study'!#REF!</definedName>
    <definedName name="Acct411DNPP">'[26]Functional Study'!#REF!</definedName>
    <definedName name="Acct411DNPTP">'[26]Functional Study'!#REF!</definedName>
    <definedName name="Acct411S">'[26]Functional Study'!#REF!</definedName>
    <definedName name="Acct411SE">'[26]Functional Study'!#REF!</definedName>
    <definedName name="Acct411SG">'[26]Functional Study'!#REF!</definedName>
    <definedName name="Acct411SGPP">'[26]Functional Study'!#REF!</definedName>
    <definedName name="Acct411SO">'[26]Functional Study'!#REF!</definedName>
    <definedName name="Acct411TROJP">'[26]Functional Study'!#REF!</definedName>
    <definedName name="Acct447DGU">'[24]Func Study'!#REF!</definedName>
    <definedName name="Acct448S">'[25]Func Study'!$H$274</definedName>
    <definedName name="Acct450S">'[25]Func Study'!$H$302</definedName>
    <definedName name="Acct451S">'[25]Func Study'!$H$307</definedName>
    <definedName name="Acct454S">'[25]Func Study'!$H$318</definedName>
    <definedName name="Acct456S">'[25]Func Study'!$H$325</definedName>
    <definedName name="Acct510">'[25]Func Study'!#REF!</definedName>
    <definedName name="Acct510DNPPSU">'[25]Func Study'!#REF!</definedName>
    <definedName name="ACCT510JBG">'[25]Func Study'!#REF!</definedName>
    <definedName name="ACCT510SSGCH">'[25]Func Study'!#REF!</definedName>
    <definedName name="ACCT557CAGE">'[25]Func Study'!$H$683</definedName>
    <definedName name="Acct557CT">'[25]Func Study'!$H$681</definedName>
    <definedName name="Acct580">'[25]Func Study'!$H$791</definedName>
    <definedName name="Acct581">'[25]Func Study'!$H$796</definedName>
    <definedName name="Acct582">'[25]Func Study'!$H$801</definedName>
    <definedName name="Acct583">'[25]Func Study'!$H$806</definedName>
    <definedName name="Acct584">'[25]Func Study'!$H$811</definedName>
    <definedName name="Acct585">'[25]Func Study'!$H$816</definedName>
    <definedName name="Acct586">'[25]Func Study'!$H$821</definedName>
    <definedName name="Acct587">'[25]Func Study'!$H$826</definedName>
    <definedName name="Acct588">'[25]Func Study'!$H$831</definedName>
    <definedName name="Acct589">'[25]Func Study'!$H$836</definedName>
    <definedName name="Acct590">'[25]Func Study'!$H$841</definedName>
    <definedName name="Acct591">'[25]Func Study'!$H$846</definedName>
    <definedName name="Acct592">'[25]Func Study'!$H$851</definedName>
    <definedName name="Acct593">'[25]Func Study'!$H$856</definedName>
    <definedName name="Acct594">'[25]Func Study'!$H$861</definedName>
    <definedName name="Acct595">'[25]Func Study'!$H$866</definedName>
    <definedName name="Acct596">'[25]Func Study'!$H$876</definedName>
    <definedName name="Acct597">'[25]Func Study'!$H$881</definedName>
    <definedName name="Acct598">'[25]Func Study'!$H$886</definedName>
    <definedName name="ACCT904SG">'[27]Functional Study'!#REF!</definedName>
    <definedName name="AcctAGA">'[25]Func Study'!$H$296</definedName>
    <definedName name="AcctDFAD">'[25]Func Study'!#REF!</definedName>
    <definedName name="AcctDFAP">'[25]Func Study'!#REF!</definedName>
    <definedName name="AcctDFAT">'[25]Func Study'!#REF!</definedName>
    <definedName name="AcctTable">[28]Variables!$AK$42:$AK$396</definedName>
    <definedName name="AcctTS0">'[25]Func Study'!$H$1686</definedName>
    <definedName name="Acq1Plant">'[29]Acquisition Inputs'!$C$8</definedName>
    <definedName name="Acq2Plant">'[29]Acquisition Inputs'!$C$70</definedName>
    <definedName name="ActualROR">'[24]G+T+D+R+M'!$H$61</definedName>
    <definedName name="Adj_AC_8">[30]Cover!#REF!</definedName>
    <definedName name="Adj_Amt_8">[30]Cover!#REF!</definedName>
    <definedName name="Adj_Typ_8">[30]Cover!#REF!</definedName>
    <definedName name="ADJPTDCE.T">[10]INTERNAL!$A$31:$IV$33</definedName>
    <definedName name="Adjs2avg">[31]Inputs!$L$255:'[31]Inputs'!$T$505</definedName>
    <definedName name="After_Tax_Cash_Discount">'[32]Assumptions (Input)'!$D$37</definedName>
    <definedName name="afudc_flag">'[32]Assumptions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peek">#REF!</definedName>
    <definedName name="APR">[33]Backup!#REF!</definedName>
    <definedName name="Apr03AMA">'[34]BS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>#REF!</definedName>
    <definedName name="aquila_lookup">'[35]Cabot Gas Replacement'!$B$8:$F$16</definedName>
    <definedName name="AS2DocOpenMode">"AS2DocumentEdit"</definedName>
    <definedName name="Assessment_Rate">'[32]Assumptions (Input)'!$B$7</definedName>
    <definedName name="Asset_Class_Switch">[36]Assumptions!$D$5</definedName>
    <definedName name="Assume_Percent_Change">#REF!</definedName>
    <definedName name="AUG">[33]Backup!#REF!</definedName>
    <definedName name="Aug03AMA">'[34]BS C&amp;L'!#REF!</definedName>
    <definedName name="Aug04AMA">[4]BS!$AK$7:$AK$3582</definedName>
    <definedName name="Aug05AMA">#REF!</definedName>
    <definedName name="Aug09AMA">[6]BS!$AR$7:$AR$1726</definedName>
    <definedName name="Aug17AMA">[14]BS!$AL$8:$AL$2553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[28]Factors!$B$3:$P$99</definedName>
    <definedName name="b" localSheetId="6" hidden="1">{#N/A,#N/A,FALSE,"Coversheet";#N/A,#N/A,FALSE,"QA"}</definedName>
    <definedName name="b" localSheetId="7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[18]model!#REF!</definedName>
    <definedName name="bal">[22]Sheet2!#REF!</definedName>
    <definedName name="balance">[22]Sheet2!#REF!</definedName>
    <definedName name="BD">#REF!</definedName>
    <definedName name="Beg_Unb_KWHs">[37]LeadSht!$L$10</definedName>
    <definedName name="BEm" localSheetId="7" hidden="1">#REF!</definedName>
    <definedName name="BEm" hidden="1">#REF!</definedName>
    <definedName name="BEP">#REF!</definedName>
    <definedName name="BEx0017DGUEDPCFJUPUZOOLJCS2B" localSheetId="7" hidden="1">#REF!</definedName>
    <definedName name="BEx0017DGUEDPCFJUPUZOOLJCS2B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7" hidden="1">#REF!</definedName>
    <definedName name="BEx3L7D0PI38HWZ7VADU16C9E33D" hidden="1">#REF!</definedName>
    <definedName name="BEx3LANPY1HT49TAH98H4B9RC1D4" localSheetId="7" hidden="1">#REF!</definedName>
    <definedName name="BEx3LANPY1HT49TAH98H4B9RC1D4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7" hidden="1">[38]ZZCOOM_M03_Q004!#REF!</definedName>
    <definedName name="BEx3O85IKWARA6NCJOLRBRJFMEWW" hidden="1">[38]ZZCOOM_M03_Q004!#REF!</definedName>
    <definedName name="BEx3OJZSCGFRW7SVGBFI0X9DNVMM" localSheetId="7" hidden="1">#REF!</definedName>
    <definedName name="BEx3OJZSCGFRW7SVGBFI0X9DNVMM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7" hidden="1">#REF!</definedName>
    <definedName name="BEx3UKOCOQG7S1YQ436S997K1KWV" hidden="1">#REF!</definedName>
    <definedName name="BEx3UNISOEXF3OFHT2BUA6P9RBIJ" localSheetId="7" hidden="1">#REF!</definedName>
    <definedName name="BEx3UNISOEXF3OFHT2BUA6P9RBIJ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7" hidden="1">[38]ZZCOOM_M03_Q004!#REF!</definedName>
    <definedName name="BEx5MLQZM68YQSKARVWTTPINFQ2C" hidden="1">[38]ZZCOOM_M03_Q004!#REF!</definedName>
    <definedName name="BEx5MMCJMU7FOOWUCW9EA13B7V5F" localSheetId="7" hidden="1">#REF!</definedName>
    <definedName name="BEx5MMCJMU7FOOWUCW9EA13B7V5F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7" hidden="1">#REF!</definedName>
    <definedName name="BEx9EG9KBJ77M8LEOR9ITOKN5KXY" hidden="1">#REF!</definedName>
    <definedName name="BEx9EL27NGDBCTVPW97K42QANS5K" localSheetId="7" hidden="1">#REF!</definedName>
    <definedName name="BEx9EL27NGDBCTVPW97K42QANS5K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7" hidden="1">#REF!</definedName>
    <definedName name="BExBCK9SCAABKOT9IP6TEPRR7YDT" hidden="1">#REF!</definedName>
    <definedName name="BExBCKKJFFT2RP50WNPKBT7X8PJ3" localSheetId="7" hidden="1">#REF!</definedName>
    <definedName name="BExBCKKJFFT2RP50WNPKBT7X8PJ3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7" hidden="1">#REF!</definedName>
    <definedName name="BExDCP3UZ3C2O4C1F7KMU0Z9U32N" hidden="1">#REF!</definedName>
    <definedName name="BExENU8ISP26W97JG63CN1XT9KB4" localSheetId="7" hidden="1">#REF!</definedName>
    <definedName name="BExENU8ISP26W97JG63CN1XT9KB4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7" hidden="1">[38]ZZCOOM_M03_Q004!#REF!</definedName>
    <definedName name="BExERWCEBKQRYWRQLYJ4UCMMKTHG" hidden="1">[38]ZZCOOM_M03_Q004!#REF!</definedName>
    <definedName name="BExERXE1QW042A2T25RI4DVUU59O" localSheetId="7" hidden="1">#REF!</definedName>
    <definedName name="BExERXE1QW042A2T25RI4DVUU59O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7" hidden="1">#REF!</definedName>
    <definedName name="BExEUNU7FYVTR4DD1D31SS7PNXX2" hidden="1">#REF!</definedName>
    <definedName name="BExEUOAHB0OT3BACAHNZ3B905C0P" localSheetId="7" hidden="1">#REF!</definedName>
    <definedName name="BExEUOAHB0OT3BACAHNZ3B905C0P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7" hidden="1">#REF!</definedName>
    <definedName name="BExGR9ATP2LVT7B9OCPSLJ11H9SX" hidden="1">#REF!</definedName>
    <definedName name="BExGrid1">#REF!</definedName>
    <definedName name="BExGRILCZ3BMTGDY72B1Q9BUGW0J" localSheetId="7" hidden="1">#REF!</definedName>
    <definedName name="BExGRILCZ3BMTGDY72B1Q9BUGW0J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7" hidden="1">#REF!</definedName>
    <definedName name="BExIPKNFUDPDKOSH5GHDVNA8D66S" hidden="1">#REF!</definedName>
    <definedName name="BExIPVL5VEVK9Q7AYB7EC2VZWBEZ" localSheetId="7" hidden="1">#REF!</definedName>
    <definedName name="BExIPVL5VEVK9Q7AYB7EC2VZWBEZ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7" hidden="1">#REF!</definedName>
    <definedName name="BExITBNYANV2S8KD56GOGCKW393R" hidden="1">#REF!</definedName>
    <definedName name="BExItemGrid">#REF!</definedName>
    <definedName name="BExITGB4FVAV0LE88D7JMX7FBYXI" localSheetId="7" hidden="1">#REF!</definedName>
    <definedName name="BExITGB4FVAV0LE88D7JMX7FBYXI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7" hidden="1">#REF!</definedName>
    <definedName name="BExKGNK5YGKP0YHHTAAOV17Z9EIM" hidden="1">#REF!</definedName>
    <definedName name="BExKGQ3T3TWGZUSNVWJE1XWXHGRQ" localSheetId="7" hidden="1">#REF!</definedName>
    <definedName name="BExKGQ3T3TWGZUSNVWJE1XWXHGRQ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7" hidden="1">#REF!</definedName>
    <definedName name="BExKPFFSVTL757PNITV8R9RN4452" hidden="1">#REF!</definedName>
    <definedName name="BExKPIL5ZWOXQAENH3VP3ZHA2N7N" localSheetId="7" hidden="1">#REF!</definedName>
    <definedName name="BExKPIL5ZWOXQAENH3VP3ZHA2N7N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7" hidden="1">[38]ZZCOOM_M03_Q004!#REF!</definedName>
    <definedName name="BExMBYPQDG9AYDQ5E8IECVFREPO6" hidden="1">[38]ZZCOOM_M03_Q004!#REF!</definedName>
    <definedName name="BExMC7PESEESXVMDCGGIP5LPMUGY" localSheetId="7" hidden="1">#REF!</definedName>
    <definedName name="BExMC7PESEESXVMDCGGIP5LPMUGY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7" hidden="1">#REF!</definedName>
    <definedName name="BExMKP92JGBM5BJO174H9A4HQIB9" hidden="1">#REF!</definedName>
    <definedName name="BExMKPEDT6IOYLLC3KJKRZOETC3Y" localSheetId="7" hidden="1">#REF!</definedName>
    <definedName name="BExMKPEDT6IOYLLC3KJKRZOETC3Y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7" hidden="1">[38]ZZCOOM_M03_Q004!#REF!</definedName>
    <definedName name="BExQ9ZLYHWABXAA9NJDW8ZS0UQ9P" hidden="1">[38]ZZCOOM_M03_Q004!#REF!</definedName>
    <definedName name="BExQ9ZWQ19KSRZNZNPY6ZNWEST1J" localSheetId="7" hidden="1">#REF!</definedName>
    <definedName name="BExQ9ZWQ19KSRZNZNPY6ZNWEST1J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7" hidden="1">#REF!</definedName>
    <definedName name="BExQG8TYRD2G42UA5ZPCRLNKUDMX" hidden="1">#REF!</definedName>
    <definedName name="BExQG9A8OZ31BDN5QEGQGWG59A43" localSheetId="7" hidden="1">#REF!</definedName>
    <definedName name="BExQG9A8OZ31BDN5QEGQGWG59A43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7" hidden="1">#REF!</definedName>
    <definedName name="BExQL2NSE8OYZFXQH8A23RMVMFW7" hidden="1">#REF!</definedName>
    <definedName name="BExQL4GJ3LZJL6JDEHT7UDXW90TV" localSheetId="7" hidden="1">#REF!</definedName>
    <definedName name="BExQL4GJ3LZJL6JDEHT7UDXW90TV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7" hidden="1">[38]ZZCOOM_M03_Q004!#REF!</definedName>
    <definedName name="BExTUY9WNSJ91GV8CP0SKJTEIV82" hidden="1">[38]ZZCOOM_M03_Q004!#REF!</definedName>
    <definedName name="BExTV67VIM8PV6KO253M4DUBJQLC" localSheetId="7" hidden="1">#REF!</definedName>
    <definedName name="BExTV67VIM8PV6KO253M4DUBJQLC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7" hidden="1">#REF!</definedName>
    <definedName name="BExUAMWQODKBXMRH1QCMJLJBF8M7" hidden="1">#REF!</definedName>
    <definedName name="BExUAPR6Y32097JKJCTGC4C6EGE9" localSheetId="7" hidden="1">#REF!</definedName>
    <definedName name="BExUAPR6Y32097JKJCTGC4C6EGE9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7" hidden="1">#REF!</definedName>
    <definedName name="BExW1U0JLKQ094DW5MMOI8UHO09V" hidden="1">#REF!</definedName>
    <definedName name="BExW1VNZHNB5P9V6232N0DQCE0WE" localSheetId="7" hidden="1">#REF!</definedName>
    <definedName name="BExW1VNZHNB5P9V6232N0DQCE0WE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7" hidden="1">#REF!</definedName>
    <definedName name="BExXO278QHQN8JDK5425EJ615ECC" hidden="1">#REF!</definedName>
    <definedName name="BExXO4QVV7YZ6L5A7WZEMIA5AZOV" localSheetId="7" hidden="1">#REF!</definedName>
    <definedName name="BExXO4QVV7YZ6L5A7WZEMIA5AZOV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7" hidden="1">#REF!</definedName>
    <definedName name="BExZSTNUWCRNCL22SMKXKFSLCJ0O" hidden="1">#REF!</definedName>
    <definedName name="BExZSYRA4NR7K6RLC3I81QSG5SQR" localSheetId="7" hidden="1">#REF!</definedName>
    <definedName name="BExZSYRA4NR7K6RLC3I81QSG5SQR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7" hidden="1">#REF!</definedName>
    <definedName name="BExZZZEMIIFKMLLV4DJKX5TB9R5V" hidden="1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'[39]Lvl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7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[40]Readings!$B$2</definedName>
    <definedName name="Capacity">#REF!</definedName>
    <definedName name="capfact">#REF!</definedName>
    <definedName name="Capital_Inflation">'[32]Assumptions (Input)'!$B$11</definedName>
    <definedName name="CASE">[41]INPUTS!$C$8</definedName>
    <definedName name="Case_Name">'[42]KJB-6,13 Cmn Adj'!$B$8</definedName>
    <definedName name="CaseDescription">'[29]Dispatch Cases'!$C$11</definedName>
    <definedName name="CBWorkbookPriority">-2060790043</definedName>
    <definedName name="CCGT_HeatRate">[29]Assumptions!$H$23</definedName>
    <definedName name="CCGTPrice">[29]Assumptions!$H$22</definedName>
    <definedName name="cep_test">'[43]External Allocators'!#REF!</definedName>
    <definedName name="cerarvm">#REF!</definedName>
    <definedName name="Check">#REF!</definedName>
    <definedName name="CL_RT">#REF!</definedName>
    <definedName name="CL_RT2">'[44]Transp Data'!$A$6:$C$81</definedName>
    <definedName name="Classification">'[45]Unbundled Costs'!#REF!</definedName>
    <definedName name="clawback">#REF!</definedName>
    <definedName name="close">#REF!</definedName>
    <definedName name="Close_Date">'[32]Capital Projects(Input)'!$D$7:$D$53</definedName>
    <definedName name="cod">#REF!</definedName>
    <definedName name="COLHOUSE">[18]model!#REF!</definedName>
    <definedName name="COLXFER">[18]model!#REF!</definedName>
    <definedName name="COMADJ">#REF!</definedName>
    <definedName name="CombWC_LineItem">#REF!</definedName>
    <definedName name="COMMON_ADMIN_ALLOCATED">#REF!</definedName>
    <definedName name="COMP">#REF!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'[46]Virtual 49 Back-Up'!$E$54</definedName>
    <definedName name="Consv_Rdr_Rt">[47]Sch_120!#REF!</definedName>
    <definedName name="cont">[22]Sheet2!#REF!</definedName>
    <definedName name="ContractDate">'[48]Dispatch Cases'!#REF!</definedName>
    <definedName name="Conv_Factor">[47]Sch_120!#REF!</definedName>
    <definedName name="ConversionFactor">[29]Assumptions!$I$65</definedName>
    <definedName name="CONVFACT">[18]model!#REF!</definedName>
    <definedName name="COSFacVal">[25]Inputs!$R$5</definedName>
    <definedName name="costofequit">#REF!</definedName>
    <definedName name="CPI">#REF!</definedName>
    <definedName name="cspe_wkly_vect_input">#REF!</definedName>
    <definedName name="CurrQtr">'[49]Inc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'[49]Avg Amts'!$A$5:$BP$34</definedName>
    <definedName name="Data.Qtrs.Avg">'[49]Avg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[50]Invoice!#REF!</definedName>
    <definedName name="DATE">[51]Jan!#REF!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[29]Assumptions!$I$58</definedName>
    <definedName name="DEC">[33]Backup!#REF!</definedName>
    <definedName name="Dec02AMA">[52]BS!#REF!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>#REF!</definedName>
    <definedName name="Degree_Days">#REF!</definedName>
    <definedName name="DELETE01" localSheetId="6" hidden="1">{#N/A,#N/A,FALSE,"Coversheet";#N/A,#N/A,FALSE,"QA"}</definedName>
    <definedName name="DELETE01" localSheetId="7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localSheetId="7" hidden="1">{#N/A,#N/A,FALSE,"Schedule F";#N/A,#N/A,FALSE,"Schedule G"}</definedName>
    <definedName name="DELETE02" hidden="1">{#N/A,#N/A,FALSE,"Schedule F";#N/A,#N/A,FALSE,"Schedule G"}</definedName>
    <definedName name="Delete06" localSheetId="6" hidden="1">{#N/A,#N/A,FALSE,"Coversheet";#N/A,#N/A,FALSE,"QA"}</definedName>
    <definedName name="Delete06" localSheetId="7" hidden="1">{#N/A,#N/A,FALSE,"Coversheet";#N/A,#N/A,FALSE,"QA"}</definedName>
    <definedName name="Delete06" hidden="1">{#N/A,#N/A,FALSE,"Coversheet";#N/A,#N/A,FALSE,"QA"}</definedName>
    <definedName name="Delete09" localSheetId="6" hidden="1">{#N/A,#N/A,FALSE,"Coversheet";#N/A,#N/A,FALSE,"QA"}</definedName>
    <definedName name="Delete09" localSheetId="7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localSheetId="7" hidden="1">{#N/A,#N/A,FALSE,"Coversheet";#N/A,#N/A,FALSE,"QA"}</definedName>
    <definedName name="Delete1" hidden="1">{#N/A,#N/A,FALSE,"Coversheet";#N/A,#N/A,FALSE,"QA"}</definedName>
    <definedName name="Delete10" localSheetId="6" hidden="1">{#N/A,#N/A,FALSE,"Schedule F";#N/A,#N/A,FALSE,"Schedule G"}</definedName>
    <definedName name="Delete10" localSheetId="7" hidden="1">{#N/A,#N/A,FALSE,"Schedule F";#N/A,#N/A,FALSE,"Schedule G"}</definedName>
    <definedName name="Delete10" hidden="1">{#N/A,#N/A,FALSE,"Schedule F";#N/A,#N/A,FALSE,"Schedule G"}</definedName>
    <definedName name="Delete21" localSheetId="6" hidden="1">{#N/A,#N/A,FALSE,"Coversheet";#N/A,#N/A,FALSE,"QA"}</definedName>
    <definedName name="Delete21" localSheetId="7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[53]Inputs!$D$11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hidden="1">{#N/A,#N/A,FALSE,"CESTSUM";#N/A,#N/A,FALSE,"est sum A";#N/A,#N/A,FALSE,"est detail A"}</definedName>
    <definedName name="DF_HeatRate">[29]Assumptions!$L$23</definedName>
    <definedName name="DFIT" localSheetId="6" hidden="1">{#N/A,#N/A,FALSE,"Coversheet";#N/A,#N/A,FALSE,"QA"}</definedName>
    <definedName name="DFIT" localSheetId="7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'[25]Func Study'!$AB$250</definedName>
    <definedName name="Disc">'[48]Debt Amortization'!#REF!</definedName>
    <definedName name="Discount_for_Revenue_Reqmt">'[54]Assumptions of Purchase'!$B$45</definedName>
    <definedName name="DisFac">'[25]Func Dist Factor Table'!$A$11:$G$25</definedName>
    <definedName name="Dist_factor">#REF!</definedName>
    <definedName name="DistPeakMethod">[27]Inputs!#REF!</definedName>
    <definedName name="DOCKET">#REF!</definedName>
    <definedName name="DocketNumber">'[55]JHS-19'!$AR$2</definedName>
    <definedName name="DP.T">[10]INTERNAL!$A$46:$IV$48</definedName>
    <definedName name="DUDE" localSheetId="7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6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hidden="1">{#N/A,#N/A,FALSE,"Month ";#N/A,#N/A,FALSE,"YTD";#N/A,#N/A,FALSE,"12 mo ended"}</definedName>
    <definedName name="EffTax">[10]INPUTS!$F$31</definedName>
    <definedName name="Electp1">#REF!</definedName>
    <definedName name="Electp2">#REF!</definedName>
    <definedName name="Electric_Prices">'[56]Monthly Price Summary'!$B$4:$E$27</definedName>
    <definedName name="ElecWC_LineItems">[19]BS!$AO$7:$AO$3420</definedName>
    <definedName name="ElRBLine">[19]BS!$AP$7:$AP$3141</definedName>
    <definedName name="EMPLBENE">#REF!</definedName>
    <definedName name="EndDate">[29]Assumptions!$C$11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[24]Inputs!$D$9</definedName>
    <definedName name="Engy2">[53]Inputs!$D$12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quitperc">#REF!</definedName>
    <definedName name="error" localSheetId="6" hidden="1">{#N/A,#N/A,FALSE,"Coversheet";#N/A,#N/A,FALSE,"QA"}</definedName>
    <definedName name="error" localSheetId="7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6" hidden="1">{#N/A,#N/A,FALSE,"Summ";#N/A,#N/A,FALSE,"General"}</definedName>
    <definedName name="Estimate" localSheetId="7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6" hidden="1">{#N/A,#N/A,FALSE,"Summ";#N/A,#N/A,FALSE,"General"}</definedName>
    <definedName name="ex" localSheetId="7" hidden="1">{#N/A,#N/A,FALSE,"Summ";#N/A,#N/A,FALSE,"General"}</definedName>
    <definedName name="ex" hidden="1">{#N/A,#N/A,FALSE,"Summ";#N/A,#N/A,FALSE,"General"}</definedName>
    <definedName name="Exhibit_No.______MJS_4">'[17]MJS-4'!$O$3</definedName>
    <definedName name="Exhibit_No.______MJS_5">'[17]MJS-5'!$E$3</definedName>
    <definedName name="Exhibit_No.______MJS_6">'[17]MJS-6'!$F$3</definedName>
    <definedName name="Expected_Life">#REF!</definedName>
    <definedName name="F" localSheetId="7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'[25]COS Factor Table'!$O$15:$O$113</definedName>
    <definedName name="FACTORS">#REF!</definedName>
    <definedName name="FactorType">[28]Variables!$AK$2:$AL$12</definedName>
    <definedName name="FACTP">#REF!</definedName>
    <definedName name="FactSum">'[25]COS Factor Table'!$A$14:$O$113</definedName>
    <definedName name="FCR">'[46]Virtual 49 Back-Up'!$B$20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6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hidden="1">{#N/A,#N/A,FALSE,"Month ";#N/A,#N/A,FALSE,"YTD";#N/A,#N/A,FALSE,"12 mo ended"}</definedName>
    <definedName name="FEB">[33]Backup!#REF!</definedName>
    <definedName name="Feb03AMA">'[34]BS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>#REF!</definedName>
    <definedName name="Fed_Cap_Tax">[57]Inputs!$E$112</definedName>
    <definedName name="FEDERAL_INCOME_TAX">#REF!</definedName>
    <definedName name="FedTaxRate">[29]Assumptions!$C$33</definedName>
    <definedName name="FERC_Lookup">'[58]Map Table'!$E$2:$F$58</definedName>
    <definedName name="FERCRATE">#REF!</definedName>
    <definedName name="FF">#REF!</definedName>
    <definedName name="ffff" localSheetId="6" hidden="1">{#N/A,#N/A,FALSE,"Coversheet";#N/A,#N/A,FALSE,"QA"}</definedName>
    <definedName name="ffff" localSheetId="7" hidden="1">{#N/A,#N/A,FALSE,"Coversheet";#N/A,#N/A,FALSE,"QA"}</definedName>
    <definedName name="ffff" hidden="1">{#N/A,#N/A,FALSE,"Coversheet";#N/A,#N/A,FALSE,"QA"}</definedName>
    <definedName name="fffgf" localSheetId="6" hidden="1">{#N/A,#N/A,FALSE,"Coversheet";#N/A,#N/A,FALSE,"QA"}</definedName>
    <definedName name="fffgf" localSheetId="7" hidden="1">{#N/A,#N/A,FALSE,"Coversheet";#N/A,#N/A,FALSE,"QA"}</definedName>
    <definedName name="fffgf" hidden="1">{#N/A,#N/A,FALSE,"Coversheet";#N/A,#N/A,FALSE,"QA"}</definedName>
    <definedName name="FIELDCHRG">[18]model!#REF!</definedName>
    <definedName name="Final">#REF!</definedName>
    <definedName name="firstptcyr">#REF!</definedName>
    <definedName name="firstyearmonths">#REF!</definedName>
    <definedName name="FIT">#REF!</definedName>
    <definedName name="FIT_Tax_Rate">'[32]Assumptions (Input)'!$B$5</definedName>
    <definedName name="fixedtrans">#REF!</definedName>
    <definedName name="fpldebt">#REF!</definedName>
    <definedName name="FPLequit">#REF!</definedName>
    <definedName name="FranchiseTax">[31]Variables!$D$26</definedName>
    <definedName name="FTAX">[10]INPUTS!$F$30</definedName>
    <definedName name="Fuel">#REF!</definedName>
    <definedName name="Func">'[25]Func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'[25]Func Study'!$AB$250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'[48]Dispatch Cases'!#REF!</definedName>
    <definedName name="GP.T">[10]INTERNAL!$A$52:$IV$54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6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6" hidden="1">{#N/A,#N/A,FALSE,"Coversheet";#N/A,#N/A,FALSE,"QA"}</definedName>
    <definedName name="HELP" localSheetId="7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'[59]JHS-10 Adjstmts'!#REF!</definedName>
    <definedName name="HRDepExp">'[59]JHS-10 Adjstmts'!#REF!</definedName>
    <definedName name="HRDFIT">'[59]JHS-10 Adjstmts'!#REF!</definedName>
    <definedName name="HRGrossPlant">'[59]JHS-10 Adjstmts'!#REF!</definedName>
    <definedName name="HRPrdctnOM">'[59]JHS-10 Adjstmts'!#REF!</definedName>
    <definedName name="HRPropIns">'[59]JHS-10 Adjstmts'!#REF!</definedName>
    <definedName name="HRPropTax">'[59]JHS-10 Adjstmts'!#REF!</definedName>
    <definedName name="HRPwrCsts">'[59]JHS-10 Adjstmts'!#REF!</definedName>
    <definedName name="HTML_CodePage">1252</definedName>
    <definedName name="HTML_Control" localSheetId="6">{"'Sheet1'!$A$1:$J$121"}</definedName>
    <definedName name="HTML_Control" localSheetId="2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[48]Dispatch!#REF!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[60]Summary!#REF!</definedName>
    <definedName name="Inputs">'[61]Daily Calc'!#REF!</definedName>
    <definedName name="Instructions">#REF!</definedName>
    <definedName name="Insurance_Rate">'[32]Assumptions (Input)'!$B$9</definedName>
    <definedName name="INTRESEXCH">[62]Sheet1!$AG$1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[33]Backup!#REF!</definedName>
    <definedName name="Jan03AMA">'[34]BS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6" hidden="1">{#N/A,#N/A,FALSE,"Summ";#N/A,#N/A,FALSE,"General"}</definedName>
    <definedName name="jfkljsdkljiejgr" localSheetId="7" hidden="1">{#N/A,#N/A,FALSE,"Summ";#N/A,#N/A,FALSE,"General"}</definedName>
    <definedName name="jfkljsdkljiejgr" hidden="1">{#N/A,#N/A,FALSE,"Summ";#N/A,#N/A,FALSE,"General"}</definedName>
    <definedName name="jjj">[63]Inputs!$N$18</definedName>
    <definedName name="JP_Bal">[64]ACCOUNTS!$AG$31</definedName>
    <definedName name="JUL">[33]Backup!#REF!</definedName>
    <definedName name="Jul03AMA">'[34]BS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[14]BS!$AK$8:$AK$2552</definedName>
    <definedName name="JUN">[33]Backup!#REF!</definedName>
    <definedName name="Jun03AMA">'[34]BS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>#REF!</definedName>
    <definedName name="Jurisdiction">[28]Variables!$AK$15</definedName>
    <definedName name="JurisNumber">[28]Variables!$AL$15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'[42]KJB-12 Sum'!$AS$2</definedName>
    <definedName name="k_FITrate">'[42]KJB-3,11 Def'!$L$20</definedName>
    <definedName name="keep_Docket_Number">'[65]KJB-3 Sum'!$AQ$2</definedName>
    <definedName name="keep_FIT">'[65]KJB-7 Def'!$L$20</definedName>
    <definedName name="keep_KJB_3_Rate_Increase">'[65]KJB-7 Def'!$C$3</definedName>
    <definedName name="keep_KJB_4_Electric_Summary">'[65]KJB-3 Sum'!$AQ$3</definedName>
    <definedName name="keep_KJB_8_Common_Adjs">'[65]KJB-5 Cmn Adj'!$L$3</definedName>
    <definedName name="keep_KJB_9_Electric_Only">'[65]KJB-5 El Adj'!$E$3</definedName>
    <definedName name="keep_PSE">'[66]Gas Summary'!$I$5</definedName>
    <definedName name="keep_TESTYEAR">'[65]KJB-5 Cmn Adj'!$B$7</definedName>
    <definedName name="kp_DOCKET">'[66]Gas Detail Pages'!$A$9</definedName>
    <definedName name="Kwh_grc06_tye0905">#REF!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[62]Sheet1!$E$3:$E$25</definedName>
    <definedName name="Lease_total">#REF!</definedName>
    <definedName name="Levy_Rate">'[32]Assumptions (Input)'!$B$6</definedName>
    <definedName name="limcount">1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'[25]JAM Download'!$K$4</definedName>
    <definedName name="Load_Factor">[67]ACCOUNTS!$AG$167</definedName>
    <definedName name="LoadArray">'[68]Load Source Data'!$C$78:$X$89</definedName>
    <definedName name="LoadGrowthAdder">#REF!</definedName>
    <definedName name="LOG">[33]Backup!#REF!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6" hidden="1">{#N/A,#N/A,FALSE,"Coversheet";#N/A,#N/A,FALSE,"QA"}</definedName>
    <definedName name="lookup" localSheetId="7" hidden="1">{#N/A,#N/A,FALSE,"Coversheet";#N/A,#N/A,FALSE,"QA"}</definedName>
    <definedName name="lookup" hidden="1">{#N/A,#N/A,FALSE,"Coversheet";#N/A,#N/A,FALSE,"QA"}</definedName>
    <definedName name="LOSS">[33]Backup!#REF!</definedName>
    <definedName name="M">'[2]Sched 46'!#REF!</definedName>
    <definedName name="M9100F4">#REF!</definedName>
    <definedName name="M9100F4_v4">[69]M9100F4!$A$1:$V$99</definedName>
    <definedName name="MACRS">'[32]MACRS RATES'!$A$3:$AT$10</definedName>
    <definedName name="MACTIT">#REF!</definedName>
    <definedName name="manutaxfit">#REF!</definedName>
    <definedName name="MAR">[33]Backup!#REF!</definedName>
    <definedName name="Mar03AMA">'[34]BS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>#REF!</definedName>
    <definedName name="MAY">[33]Backup!#REF!</definedName>
    <definedName name="May03AMA">'[34]BS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[70]!menu1_Button5_Click</definedName>
    <definedName name="menu1_Button6_Click">[70]!menu1_Button6_Click</definedName>
    <definedName name="MERGER_COST">[62]Sheet1!$AF$3:$AJ$28</definedName>
    <definedName name="MERGERCOSTS">[71]model!#REF!</definedName>
    <definedName name="METER">'[2]Sched 46'!#REF!</definedName>
    <definedName name="Method">[24]Inputs!$C$6</definedName>
    <definedName name="Miller" localSheetId="6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ONTH">[33]Backup!#REF!</definedName>
    <definedName name="monthlist">[72]Table!$R$2:$S$13</definedName>
    <definedName name="monthtotals">'[72]WA SBC'!$D$40:$O$40</definedName>
    <definedName name="MonTotalDispatch">[48]Dispatch!#REF!</definedName>
    <definedName name="MT">#REF!</definedName>
    <definedName name="MTD_Format">[73]Mthly!$B$11:$D$11,[73]Mthly!$B$31:$D$31</definedName>
    <definedName name="MTKWH">#REF!</definedName>
    <definedName name="MTR_YR3">[74]Variables!$E$14</definedName>
    <definedName name="MTREV">#REF!</definedName>
    <definedName name="MULT">#REF!</definedName>
    <definedName name="MustRunGen">[48]Dispatch!#REF!</definedName>
    <definedName name="Mwh">#REF!</definedName>
    <definedName name="name">[13]DT_A_DOL93!#REF!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[25]Inputs!$G$8</definedName>
    <definedName name="NetToGross">[31]Variables!$D$23</definedName>
    <definedName name="new" localSheetId="6" hidden="1">{#N/A,#N/A,FALSE,"Summ";#N/A,#N/A,FALSE,"General"}</definedName>
    <definedName name="new" localSheetId="7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[13]DT_A_DOL93!#REF!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[33]Backup!#REF!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hidden="1">{#N/A,#N/A,FALSE,"Cover Sheet";"Use of Equipment",#N/A,FALSE,"Area C";"Equipment Hours",#N/A,FALSE,"All";"Summary",#N/A,FALSE,"All"}</definedName>
    <definedName name="NPC">[27]Inputs!$N$18</definedName>
    <definedName name="NRG">[10]CLASSIFIERS!$A$5:$IV$5</definedName>
    <definedName name="NUM">#REF!</definedName>
    <definedName name="Number_of_Payments" localSheetId="6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[13]DT_A_AMW93!#REF!</definedName>
    <definedName name="O_M_Input">'[32]MiscItems(Input)'!$B$5:$AO$8,'[32]MiscItems(Input)'!$B$13:$AO$13,'[32]MiscItems(Input)'!$B$15:$B$17,'[32]MiscItems(Input)'!$B$17:$AO$17,'[32]MiscItems(Input)'!$B$15:$AO$15</definedName>
    <definedName name="O_M_Rate">'[46]Virtual 49 Back-Up'!$B$21</definedName>
    <definedName name="OBCLEASE">[62]Sheet1!$AF$4:$AI$23</definedName>
    <definedName name="OCT">[33]Backup!#REF!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[14]BS!$AN$8:$AN$2552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[75]model!#REF!</definedName>
    <definedName name="OPEXPRS">[18]model!#REF!</definedName>
    <definedName name="option">'[76]Dist Misc'!$F$120</definedName>
    <definedName name="OthRCF">[41]INPUTS!$F$41</definedName>
    <definedName name="OthUnc">[10]INPUTS!$F$36</definedName>
    <definedName name="outlookdata">'[77]pivoted data'!$D$3:$Q$90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[78]TransInvest!#REF!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'[79]2008 Extreme Peaks - 080403'!$E$5:$AD$8</definedName>
    <definedName name="peak_table">'[79]Peaks-F01'!$C$5:$E$243</definedName>
    <definedName name="PeakMethod">[24]Inputs!$T$5</definedName>
    <definedName name="PEBBLE">[18]model!#REF!</definedName>
    <definedName name="percdebtcov">#REF!</definedName>
    <definedName name="Percent_debt">[57]Inputs!$E$129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lant_Input">'[32]Plant(Input)'!$B$7:$AP$9,'[32]Plant(Input)'!$B$11,'[32]Plant(Input)'!$B$15:$AP$15,'[32]Plant(Input)'!$B$18,'[32]Plant(Input)'!$B$20:$AP$20</definedName>
    <definedName name="PMAC">[33]Backup!#REF!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[29]Assumptions!$I$56</definedName>
    <definedName name="pretaxequit">#REF!</definedName>
    <definedName name="PreTaxWACC">[29]Assumptions!$I$62</definedName>
    <definedName name="PRICCHNG">#REF!</definedName>
    <definedName name="PriceCaseTable">#REF!</definedName>
    <definedName name="Prices_Aurora">'[56]Monthly Price Summary'!$C$4:$H$63</definedName>
    <definedName name="PRINT">'[2]Sched 46'!#REF!</definedName>
    <definedName name="PRINT_ADJUSTMENTS">'[80]2009 GRC Elec Prop Tax'!#REF!</definedName>
    <definedName name="_xlnm.Print_Area" localSheetId="6">'2021 Equal % Allocation'!$A$1:$I$45</definedName>
    <definedName name="_xlnm.Print_Area" localSheetId="1">'2022 Equal % Allocation'!$A$1:$I$45</definedName>
    <definedName name="_xlnm.Print_Area" localSheetId="0">'2022 Proposed Impacts'!$A$1:$L$42</definedName>
    <definedName name="_xlnm.Print_Area" localSheetId="4">'Base Revenue'!$A$1:$Q$45</definedName>
    <definedName name="_xlnm.Print_Area" localSheetId="2">'Street &amp; Area Lighting'!$A$1:$J$201</definedName>
    <definedName name="Print_Area_Reset">#N/A</definedName>
    <definedName name="Print_Area1">#REF!</definedName>
    <definedName name="_xlnm.Print_Titles" localSheetId="2">'Street &amp; Area Lighting'!$1:$23</definedName>
    <definedName name="_xlnm.Print_Titles">#REF!</definedName>
    <definedName name="Prior_Month">[37]Sch_120!$I$21</definedName>
    <definedName name="PRO_FORMA">#REF!</definedName>
    <definedName name="PRODADJ">[18]model!#REF!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[81]Bremerton!#REF!</definedName>
    <definedName name="Projects">[82]Sheet1!$A$1147:$B$1887</definedName>
    <definedName name="ProposedPrint">[81]Bremerton!#REF!</definedName>
    <definedName name="PROPSALES">[18]model!#REF!</definedName>
    <definedName name="proptaxdiscfactor">#REF!</definedName>
    <definedName name="proptaxrate">#REF!</definedName>
    <definedName name="Prov_Cap_Tax">[57]Inputs!$E$111</definedName>
    <definedName name="PSE">'[83]4.04'!$A$6</definedName>
    <definedName name="PSE_Pre_Tax_Equity_Rate">'[54]Assumptions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[18]model!#REF!</definedName>
    <definedName name="PWRCSTRS">#REF!</definedName>
    <definedName name="PWRCSTWP">[75]model!#REF!</definedName>
    <definedName name="PWRCSTWR">[18]model!#REF!</definedName>
    <definedName name="PXPACC1_ALL_MERGE">#REF!</definedName>
    <definedName name="q" localSheetId="6" hidden="1">{#N/A,#N/A,FALSE,"Coversheet";#N/A,#N/A,FALSE,"QA"}</definedName>
    <definedName name="q" localSheetId="7" hidden="1">{#N/A,#N/A,FALSE,"Coversheet";#N/A,#N/A,FALSE,"QA"}</definedName>
    <definedName name="q" hidden="1">{#N/A,#N/A,FALSE,"Coversheet";#N/A,#N/A,FALSE,"QA"}</definedName>
    <definedName name="QA">[84]IPOA2002!#REF!</definedName>
    <definedName name="qqq" localSheetId="6" hidden="1">{#N/A,#N/A,FALSE,"schA"}</definedName>
    <definedName name="qqq" localSheetId="7" hidden="1">{#N/A,#N/A,FALSE,"schA"}</definedName>
    <definedName name="qqq" hidden="1">{#N/A,#N/A,FALSE,"schA"}</definedName>
    <definedName name="QTD_Format">[85]QTD!$B$11:$D$11,[85]QTD!$B$35:$D$35</definedName>
    <definedName name="Query1">#REF!</definedName>
    <definedName name="RATE">#REF!</definedName>
    <definedName name="RATE2">'[44]Transp Data'!$A$8:$I$112</definedName>
    <definedName name="RATEBASE">#REF!</definedName>
    <definedName name="RATEBASE_U95">#REF!</definedName>
    <definedName name="RATECASE">[18]model!#REF!</definedName>
    <definedName name="Rates">[86]Codes!$A$1:$C$500</definedName>
    <definedName name="RB.T">[10]INTERNAL!$A$70:$IV$72</definedName>
    <definedName name="RC_ADJ">#REF!</definedName>
    <definedName name="RCF">[64]INPUTS!$F$48</definedName>
    <definedName name="RdSch_CY">'[87]INPUT TAB'!#REF!</definedName>
    <definedName name="RdSch_PY">'[87]INPUT TAB'!#REF!</definedName>
    <definedName name="RdSch_PY2">'[87]INPUT TAB'!#REF!</definedName>
    <definedName name="reaccrual">[22]Sheet2!#REF!</definedName>
    <definedName name="Realization">#REF!</definedName>
    <definedName name="realproptaxadjust">#REF!</definedName>
    <definedName name="REC">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qulated_scenario">'[32]Assumptions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[37]Sch_194!$M$31</definedName>
    <definedName name="RESID">[10]EXTERNAL!$A$88:$IV$90</definedName>
    <definedName name="resource_lookup">'[88]#REF'!$B$3:$C$112</definedName>
    <definedName name="ResourceSupplier">[31]Variables!$D$28</definedName>
    <definedName name="ResRCF">[41]INPUTS!$F$39</definedName>
    <definedName name="RESTATING">#REF!</definedName>
    <definedName name="Results">#REF!</definedName>
    <definedName name="ResUnc">[10]INPUTS!$F$34</definedName>
    <definedName name="retail_CC" localSheetId="6" hidden="1">{#N/A,#N/A,FALSE,"Loans";#N/A,#N/A,FALSE,"Program Costs";#N/A,#N/A,FALSE,"Measures";#N/A,#N/A,FALSE,"Net Lost Rev";#N/A,#N/A,FALSE,"Incentive"}</definedName>
    <definedName name="retail_CC" localSheetId="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6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[18]model!#REF!</definedName>
    <definedName name="REV">#REF!</definedName>
    <definedName name="REV_SCHD">#REF!</definedName>
    <definedName name="REVADJ">#REF!</definedName>
    <definedName name="RevClass">[86]Codes!$F$2:$G$10</definedName>
    <definedName name="Revenue">#REF!</definedName>
    <definedName name="Revenue_by_month_take_2">#REF!</definedName>
    <definedName name="revenue_flag">'[32]Assumptions (Input)'!$C$12</definedName>
    <definedName name="Revenue_Taxes">'[32]Assumptions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OD">[10]INPUTS!$F$25</definedName>
    <definedName name="ROE">[18]model!#REF!</definedName>
    <definedName name="ROR">[41]INPUTS!$F$24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[75]model!#REF!</definedName>
    <definedName name="SALESRESALER">[75]model!#REF!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[10]INPUTS!$F$35</definedName>
    <definedName name="Sch194Rlfwd">'[89]Sch94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[27]Inputs!$N$14</definedName>
    <definedName name="sdlfhsdlhfkl" localSheetId="6" hidden="1">{#N/A,#N/A,FALSE,"Summ";#N/A,#N/A,FALSE,"General"}</definedName>
    <definedName name="sdlfhsdlhfkl" localSheetId="7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[81]Bremerton!#REF!</definedName>
    <definedName name="SECOND">[1]Jan!#REF!</definedName>
    <definedName name="SecSSW_MWH">[13]DT_A_AMW93!#REF!</definedName>
    <definedName name="SEP">[33]Backup!#REF!</definedName>
    <definedName name="Sep03AMA">[19]BS!$AN$7:$AN$3420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[14]BS!$AM$8:$AM$2552</definedName>
    <definedName name="SERVICES_3">#REF!</definedName>
    <definedName name="seven" localSheetId="6" hidden="1">{#N/A,#N/A,FALSE,"CRPT";#N/A,#N/A,FALSE,"TREND";#N/A,#N/A,FALSE,"%Curve"}</definedName>
    <definedName name="seven" localSheetId="7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ix" localSheetId="6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[18]model!#REF!</definedName>
    <definedName name="SLFINSURANCE">#REF!</definedName>
    <definedName name="SolarDate">'[48]Dispatch Cases'!#REF!</definedName>
    <definedName name="solver_eval">0</definedName>
    <definedName name="solver_ntri">1000</definedName>
    <definedName name="solver_rsmp">1</definedName>
    <definedName name="solver_seed">0</definedName>
    <definedName name="SPREAD">#REF!</definedName>
    <definedName name="STAFFREDUC">[75]model!#REF!</definedName>
    <definedName name="START">[1]Jan!#REF!</definedName>
    <definedName name="StartDate">[29]Assumptions!$C$9</definedName>
    <definedName name="STATE_UTILITY_TAX">'[17]MJS-7'!$N$16</definedName>
    <definedName name="stationserv">#REF!</definedName>
    <definedName name="STAX">[10]INPUTS!$F$29</definedName>
    <definedName name="STORM">#REF!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[81]Bremerton!#REF!</definedName>
    <definedName name="SUMMER">[81]Bremerton!#REF!</definedName>
    <definedName name="supentit_in_wkly_vect_input">#REF!</definedName>
    <definedName name="supentit_out_wkly_vect_input">#REF!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[13]DT_A_AMW93!#REF!</definedName>
    <definedName name="t" localSheetId="6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[24]Inputs!$G$29</definedName>
    <definedName name="TAXCORPLIC">#REF!</definedName>
    <definedName name="TAXENERGYP">[18]model!#REF!</definedName>
    <definedName name="TAXENERGYR">[18]model!#REF!</definedName>
    <definedName name="TAXEXCISE">#REF!</definedName>
    <definedName name="TAXFICA">[18]model!#REF!</definedName>
    <definedName name="TAXFUT">[18]model!#REF!</definedName>
    <definedName name="TAXINCOME">#REF!</definedName>
    <definedName name="TAXMEDICARE">[18]model!#REF!</definedName>
    <definedName name="taxown">#REF!</definedName>
    <definedName name="TAXPFINT">[18]model!#REF!</definedName>
    <definedName name="TAXPROPERTY">#REF!</definedName>
    <definedName name="TAXSUT">[18]model!#REF!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6" hidden="1">{#N/A,#N/A,FALSE,"Summ";#N/A,#N/A,FALSE,"General"}</definedName>
    <definedName name="tem" localSheetId="7" hidden="1">{#N/A,#N/A,FALSE,"Summ";#N/A,#N/A,FALSE,"General"}</definedName>
    <definedName name="tem" hidden="1">{#N/A,#N/A,FALSE,"Summ";#N/A,#N/A,FALSE,"General"}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6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[62]Sheet1!$A$4:$E$40</definedName>
    <definedName name="TenaskaShare">[48]Dispatch!#REF!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[25]Inputs!$C$5</definedName>
    <definedName name="TESTVKEY">#REF!</definedName>
    <definedName name="TESTYEAR">#REF!</definedName>
    <definedName name="TFR">[10]CLASSIFIERS!$A$11:$IV$11</definedName>
    <definedName name="Therm_upload">#REF!</definedName>
    <definedName name="ThermalBookLife">[29]Assumptions!$C$25</definedName>
    <definedName name="therms">#REF!</definedName>
    <definedName name="thirdpartyIRR">#REF!</definedName>
    <definedName name="THM_ALL_YEARS">#REF!</definedName>
    <definedName name="Title">[29]Assumptions!$A$1</definedName>
    <definedName name="today">#REF!</definedName>
    <definedName name="TopLeft">#REF!</definedName>
    <definedName name="Total_Payment" localSheetId="6">Scheduled_Payment+Extra_Payment</definedName>
    <definedName name="Total_Payment">Scheduled_Payment+Extra_Payment</definedName>
    <definedName name="totaldebt">#REF!</definedName>
    <definedName name="totalequit">#REF!</definedName>
    <definedName name="TotalRateBase">'[25]G+T+D+R+M'!$H$58</definedName>
    <definedName name="TP.T">[10]INTERNAL!$A$91:$IV$93</definedName>
    <definedName name="tr" localSheetId="6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[13]DT_A_DOL93!#REF!</definedName>
    <definedName name="tran_revenue">#REF!</definedName>
    <definedName name="trans_constraint_y_n">#REF!</definedName>
    <definedName name="transdb">#REF!</definedName>
    <definedName name="Transfer" localSheetId="7" hidden="1">#REF!</definedName>
    <definedName name="Transfer" hidden="1">#REF!</definedName>
    <definedName name="Transfers" localSheetId="7" hidden="1">#REF!</definedName>
    <definedName name="Transfers" hidden="1">#REF!</definedName>
    <definedName name="TRANSM_2">[90]Transm2!$A$1:$M$461:'[90]10 Yr FC'!$M$47</definedName>
    <definedName name="turbinesize">#REF!</definedName>
    <definedName name="twoyrswarranty">#REF!</definedName>
    <definedName name="u" localSheetId="6" hidden="1">{#N/A,#N/A,FALSE,"Summ";#N/A,#N/A,FALSE,"General"}</definedName>
    <definedName name="u" localSheetId="7" hidden="1">{#N/A,#N/A,FALSE,"Summ";#N/A,#N/A,FALSE,"General"}</definedName>
    <definedName name="u" hidden="1">{#N/A,#N/A,FALSE,"Summ";#N/A,#N/A,FALSE,"General"}</definedName>
    <definedName name="UAACT115S">'[27]Functional Study'!#REF!</definedName>
    <definedName name="UAcct103">'[25]Func Study'!$AB$1613</definedName>
    <definedName name="UAcct105Dnpg">'[25]Func Study'!$AB$2010</definedName>
    <definedName name="UAcct105S">'[25]Func Study'!$AB$2005</definedName>
    <definedName name="UAcct105Seu">'[25]Func Study'!$AB$2009</definedName>
    <definedName name="UAcct105Snppo">'[25]Func Study'!$AB$2008</definedName>
    <definedName name="UAcct105Snpps">'[25]Func Study'!$AB$2006</definedName>
    <definedName name="UAcct105Snpt">'[25]Func Study'!$AB$2007</definedName>
    <definedName name="UAcct1081390">'[25]Func Study'!$AB$2451</definedName>
    <definedName name="UAcct1081390Rcl">'[25]Func Study'!$AB$2450</definedName>
    <definedName name="UAcct1081399">'[25]Func Study'!$AB$2459</definedName>
    <definedName name="UAcct1081399Rcl">'[25]Func Study'!$AB$2458</definedName>
    <definedName name="UAcct108360">'[25]Func Study'!$AB$2355</definedName>
    <definedName name="UAcct108361">'[25]Func Study'!$AB$2359</definedName>
    <definedName name="UAcct108362">'[25]Func Study'!$AB$2363</definedName>
    <definedName name="UAcct108364">'[25]Func Study'!$AB$2367</definedName>
    <definedName name="UAcct108365">'[25]Func Study'!$AB$2371</definedName>
    <definedName name="UAcct108366">'[25]Func Study'!$AB$2375</definedName>
    <definedName name="UAcct108367">'[25]Func Study'!$AB$2379</definedName>
    <definedName name="UAcct108368">'[25]Func Study'!$AB$2383</definedName>
    <definedName name="UAcct108369">'[25]Func Study'!$AB$2387</definedName>
    <definedName name="UAcct108370">'[25]Func Study'!$AB$2391</definedName>
    <definedName name="UAcct108371">'[25]Func Study'!$AB$2395</definedName>
    <definedName name="UAcct108372">'[25]Func Study'!$AB$2399</definedName>
    <definedName name="UAcct108373">'[25]Func Study'!$AB$2403</definedName>
    <definedName name="UAcct108D">'[25]Func Study'!$AB$2415</definedName>
    <definedName name="UAcct108D00">'[25]Func Study'!$AB$2407</definedName>
    <definedName name="UAcct108Ds">'[25]Func Study'!$AB$2411</definedName>
    <definedName name="UAcct108Ep">'[25]Func Study'!$AB$2327</definedName>
    <definedName name="UAcct108Gpcn">'[25]Func Study'!$AB$2429</definedName>
    <definedName name="UAcct108Gps">'[25]Func Study'!$AB$2425</definedName>
    <definedName name="UAcct108Gpse">'[25]Func Study'!$AB$2431</definedName>
    <definedName name="UAcct108Gpsg">'[25]Func Study'!$AB$2428</definedName>
    <definedName name="UAcct108Gpsgp">'[25]Func Study'!$AB$2426</definedName>
    <definedName name="UAcct108Gpsgu">'[25]Func Study'!$AB$2427</definedName>
    <definedName name="UAcct108Gpso">'[25]Func Study'!$AB$2430</definedName>
    <definedName name="UACCT108GPSSGCH">'[25]Func Study'!$AB$2434</definedName>
    <definedName name="UACCT108GPSSGCT">'[25]Func Study'!$AB$2433</definedName>
    <definedName name="UAcct108Hp">'[25]Func Study'!$AB$2313</definedName>
    <definedName name="UAcct108Mp">'[25]Func Study'!$AB$2444</definedName>
    <definedName name="UAcct108Np">'[25]Func Study'!$AB$2305</definedName>
    <definedName name="UAcct108Op">'[25]Func Study'!$AB$2322</definedName>
    <definedName name="UACCT108OPSSCCT">'[25]Func Study'!$AB$2321</definedName>
    <definedName name="UAcct108Sp">'[25]Func Study'!$AB$2299</definedName>
    <definedName name="UACCT108SPSSGCH">'[25]Func Study'!$AB$2298</definedName>
    <definedName name="UAcct108Tp">'[25]Func Study'!$AB$2346</definedName>
    <definedName name="UAcct111Clg">'[25]Func Study'!$AB$2487</definedName>
    <definedName name="UAcct111Clgsou">'[25]Func Study'!$AB$2485</definedName>
    <definedName name="UAcct111Clh">'[25]Func Study'!$AB$2493</definedName>
    <definedName name="UAcct111Cls">'[25]Func Study'!$AB$2478</definedName>
    <definedName name="UAcct111Ipcn">'[25]Func Study'!$AB$2502</definedName>
    <definedName name="UAcct111Ips">'[25]Func Study'!$AB$2497</definedName>
    <definedName name="UAcct111Ipse">'[25]Func Study'!$AB$2500</definedName>
    <definedName name="UAcct111Ipsg">'[25]Func Study'!$AB$2501</definedName>
    <definedName name="UAcct111Ipsgp">'[25]Func Study'!$AB$2498</definedName>
    <definedName name="UAcct111Ipsgu">'[25]Func Study'!$AB$2499</definedName>
    <definedName name="UAcct111Ipso">'[25]Func Study'!$AB$2506</definedName>
    <definedName name="UACCT111IPSSGCH">'[25]Func Study'!$AB$2505</definedName>
    <definedName name="UACCT111IPSSGCT">'[25]Func Study'!$AB$2504</definedName>
    <definedName name="UAcct114">'[25]Func Study'!$AB$2017</definedName>
    <definedName name="UACCT115">'[27]Functional Study'!#REF!</definedName>
    <definedName name="UACCT115DGP">'[27]Functional Study'!#REF!</definedName>
    <definedName name="UACCT115SG">'[27]Functional Study'!#REF!</definedName>
    <definedName name="UAcct120">'[25]Func Study'!$AB$2021</definedName>
    <definedName name="UAcct124">'[25]Func Study'!$AB$2026</definedName>
    <definedName name="UAcct141">'[25]Func Study'!$AB$2173</definedName>
    <definedName name="UAcct151">'[25]Func Study'!$AB$2049</definedName>
    <definedName name="Uacct151SSECT">'[25]Func Study'!$AB$2047</definedName>
    <definedName name="UAcct154">'[25]Func Study'!$AB$2083</definedName>
    <definedName name="Uacct154SSGCT">'[25]Func Study'!$AB$2080</definedName>
    <definedName name="UAcct163">'[25]Func Study'!$AB$2093</definedName>
    <definedName name="UAcct165">'[25]Func Study'!$AB$2108</definedName>
    <definedName name="UAcct165Gps">'[25]Func Study'!$AB$2104</definedName>
    <definedName name="UAcct182">'[25]Func Study'!$AB$2033</definedName>
    <definedName name="UAcct18222">'[25]Func Study'!$AB$2163</definedName>
    <definedName name="UAcct182M">'[25]Func Study'!$AB$2118</definedName>
    <definedName name="UAcct182MSSGCH">'[25]Func Study'!$AB$2113</definedName>
    <definedName name="UAcct186">'[25]Func Study'!$AB$2041</definedName>
    <definedName name="UAcct1869">'[25]Func Study'!$AB$2168</definedName>
    <definedName name="UAcct186M">'[25]Func Study'!$AB$2129</definedName>
    <definedName name="UAcct190">'[25]Func Study'!$AB$2243</definedName>
    <definedName name="UAcct190Baddebt">'[25]Func Study'!$AB$2237</definedName>
    <definedName name="UAcct190Dop">'[25]Func Study'!$AB$2235</definedName>
    <definedName name="UAcct2281">'[25]Func Study'!$AB$2191</definedName>
    <definedName name="UAcct2282">'[25]Func Study'!$AB$2195</definedName>
    <definedName name="UAcct2283">'[25]Func Study'!$AB$2200</definedName>
    <definedName name="UACCT22841SG">'[25]Func Study'!$AB$2205</definedName>
    <definedName name="UAcct22842">'[25]Func Study'!$AB$2211</definedName>
    <definedName name="UAcct22842Trojd">'[24]Func Study'!#REF!</definedName>
    <definedName name="UAcct235">'[25]Func Study'!$AB$2187</definedName>
    <definedName name="UACCT235CN">'[25]Func Study'!$AB$2186</definedName>
    <definedName name="UAcct252">'[25]Func Study'!$AB$2219</definedName>
    <definedName name="UAcct25316">'[25]Func Study'!$AB$2057</definedName>
    <definedName name="UAcct25317">'[25]Func Study'!$AB$2061</definedName>
    <definedName name="UAcct25318">'[25]Func Study'!$AB$2098</definedName>
    <definedName name="UAcct25319">'[25]Func Study'!$AB$2065</definedName>
    <definedName name="uacct25398">'[25]Func Study'!$AB$2222</definedName>
    <definedName name="UAcct25399">'[25]Func Study'!$AB$2230</definedName>
    <definedName name="UACCT254SO">'[25]Func Study'!$AB$2202</definedName>
    <definedName name="UAcct255">'[25]Func Study'!$AB$2284</definedName>
    <definedName name="UAcct281">'[25]Func Study'!$AB$2249</definedName>
    <definedName name="UAcct282">'[25]Func Study'!$AB$2259</definedName>
    <definedName name="UAcct282Cn">'[25]Func Study'!$AB$2256</definedName>
    <definedName name="UAcct282So">'[25]Func Study'!$AB$2255</definedName>
    <definedName name="UAcct283">'[25]Func Study'!$AB$2271</definedName>
    <definedName name="UAcct283So">'[25]Func Study'!$AB$2265</definedName>
    <definedName name="UAcct301S">'[25]Func Study'!$AB$1964</definedName>
    <definedName name="UAcct301Sg">'[25]Func Study'!$AB$1966</definedName>
    <definedName name="UAcct301So">'[25]Func Study'!$AB$1965</definedName>
    <definedName name="UAcct302S">'[25]Func Study'!$AB$1969</definedName>
    <definedName name="UAcct302Sg">'[25]Func Study'!$AB$1970</definedName>
    <definedName name="UAcct302Sgp">'[25]Func Study'!$AB$1971</definedName>
    <definedName name="UAcct302Sgu">'[25]Func Study'!$AB$1972</definedName>
    <definedName name="UAcct303Cn">'[25]Func Study'!$AB$1980</definedName>
    <definedName name="UAcct303S">'[25]Func Study'!$AB$1976</definedName>
    <definedName name="UAcct303Se">'[25]Func Study'!$AB$1979</definedName>
    <definedName name="UAcct303Sg">'[25]Func Study'!$AB$1977</definedName>
    <definedName name="UAcct303Sgu">'[25]Func Study'!$AB$1981</definedName>
    <definedName name="UAcct303So">'[25]Func Study'!$AB$1978</definedName>
    <definedName name="UACCT303SSGCH">'[25]Func Study'!$AB$1983</definedName>
    <definedName name="UAcct310">'[25]Func Study'!$AB$1414</definedName>
    <definedName name="UAcct310JBG">'[25]Func Study'!$AB$1413</definedName>
    <definedName name="UAcct311">'[25]Func Study'!$AB$1421</definedName>
    <definedName name="UAcct311JBG">'[25]Func Study'!$AB$1420</definedName>
    <definedName name="UAcct312">'[25]Func Study'!$AB$1428</definedName>
    <definedName name="UAcct312JBG">'[25]Func Study'!$AB$1427</definedName>
    <definedName name="UAcct314">'[25]Func Study'!$AB$1435</definedName>
    <definedName name="UAcct314JBG">'[25]Func Study'!$AB$1434</definedName>
    <definedName name="UAcct315">'[25]Func Study'!$AB$1442</definedName>
    <definedName name="UAcct315JBG">'[25]Func Study'!$AB$1441</definedName>
    <definedName name="UAcct316">'[25]Func Study'!$AB$1450</definedName>
    <definedName name="UAcct316JBG">'[25]Func Study'!$AB$1449</definedName>
    <definedName name="UAcct320">'[25]Func Study'!$AB$1466</definedName>
    <definedName name="UAcct321">'[25]Func Study'!$AB$1471</definedName>
    <definedName name="UAcct322">'[25]Func Study'!$AB$1476</definedName>
    <definedName name="UAcct323">'[25]Func Study'!$AB$1481</definedName>
    <definedName name="UAcct324">'[25]Func Study'!$AB$1486</definedName>
    <definedName name="UAcct325">'[25]Func Study'!$AB$1491</definedName>
    <definedName name="UAcct33">'[25]Func Study'!$AB$295</definedName>
    <definedName name="UAcct330">'[25]Func Study'!$AB$1508</definedName>
    <definedName name="UAcct331">'[25]Func Study'!$AB$1513</definedName>
    <definedName name="UAcct332">'[25]Func Study'!$AB$1518</definedName>
    <definedName name="UAcct333">'[25]Func Study'!$AB$1523</definedName>
    <definedName name="UAcct334">'[25]Func Study'!$AB$1528</definedName>
    <definedName name="UAcct335">'[25]Func Study'!$AB$1533</definedName>
    <definedName name="UAcct336">'[25]Func Study'!$AB$1539</definedName>
    <definedName name="UAcct340Dgu">'[25]Func Study'!$AB$1564</definedName>
    <definedName name="UAcct340Sgu">'[25]Func Study'!$AB$1565</definedName>
    <definedName name="UAcct341Dgu">'[25]Func Study'!$AB$1569</definedName>
    <definedName name="UAcct341Sgu">'[25]Func Study'!$AB$1570</definedName>
    <definedName name="UAcct342Dgu">'[25]Func Study'!$AB$1574</definedName>
    <definedName name="UAcct342Sgu">'[25]Func Study'!$AB$1575</definedName>
    <definedName name="UAcct343">'[25]Func Study'!$AB$1584</definedName>
    <definedName name="UAcct344S">'[25]Func Study'!$AB$1587</definedName>
    <definedName name="UAcct344Sgp">'[25]Func Study'!$AB$1588</definedName>
    <definedName name="UAcct345Dgu">'[25]Func Study'!$AB$1594</definedName>
    <definedName name="UAcct345Sgu">'[25]Func Study'!$AB$1595</definedName>
    <definedName name="UAcct346">'[25]Func Study'!$AB$1601</definedName>
    <definedName name="UAcct350">'[25]Func Study'!$AB$1628</definedName>
    <definedName name="UAcct352">'[25]Func Study'!$AB$1635</definedName>
    <definedName name="UAcct353">'[25]Func Study'!$AB$1641</definedName>
    <definedName name="UAcct354">'[25]Func Study'!$AB$1647</definedName>
    <definedName name="UAcct355">'[25]Func Study'!$AB$1654</definedName>
    <definedName name="UAcct356">'[25]Func Study'!$AB$1660</definedName>
    <definedName name="UAcct357">'[25]Func Study'!$AB$1666</definedName>
    <definedName name="UAcct358">'[25]Func Study'!$AB$1672</definedName>
    <definedName name="UAcct359">'[25]Func Study'!$AB$1678</definedName>
    <definedName name="UAcct360">'[25]Func Study'!$AB$1698</definedName>
    <definedName name="UAcct361">'[25]Func Study'!$AB$1704</definedName>
    <definedName name="UAcct362">'[25]Func Study'!$AB$1710</definedName>
    <definedName name="UAcct368">'[25]Func Study'!$AB$1744</definedName>
    <definedName name="UAcct369">'[25]Func Study'!$AB$1751</definedName>
    <definedName name="UAcct370">'[25]Func Study'!$AB$1762</definedName>
    <definedName name="UAcct372A">'[25]Func Study'!$AB$1775</definedName>
    <definedName name="UAcct372Dp">'[25]Func Study'!$AB$1773</definedName>
    <definedName name="UAcct372Ds">'[25]Func Study'!$AB$1774</definedName>
    <definedName name="UAcct373">'[25]Func Study'!$AB$1782</definedName>
    <definedName name="UAcct389Cn">'[25]Func Study'!$AB$1800</definedName>
    <definedName name="UAcct389S">'[25]Func Study'!$AB$1799</definedName>
    <definedName name="UAcct389Sg">'[25]Func Study'!$AB$1802</definedName>
    <definedName name="UAcct389Sgu">'[25]Func Study'!$AB$1801</definedName>
    <definedName name="UAcct389So">'[25]Func Study'!$AB$1803</definedName>
    <definedName name="UAcct390Cn">'[25]Func Study'!$AB$1810</definedName>
    <definedName name="UAcct390JBG">'[25]Func Study'!$AB$1812</definedName>
    <definedName name="UAcct390L">'[25]Func Study'!$AB$1927</definedName>
    <definedName name="UACCT390LRCL">'[25]Func Study'!$AB$1929</definedName>
    <definedName name="UAcct390S">'[25]Func Study'!$AB$1807</definedName>
    <definedName name="UAcct390Sgp">'[25]Func Study'!$AB$1808</definedName>
    <definedName name="UAcct390Sgu">'[25]Func Study'!$AB$1809</definedName>
    <definedName name="UAcct390Sop">'[25]Func Study'!$AB$1811</definedName>
    <definedName name="UAcct390Sou">'[25]Func Study'!$AB$1813</definedName>
    <definedName name="UAcct391Cn">'[25]Func Study'!$AB$1820</definedName>
    <definedName name="UACCT391JBE">'[25]Func Study'!$AB$1825</definedName>
    <definedName name="UAcct391S">'[25]Func Study'!$AB$1817</definedName>
    <definedName name="UAcct391Sg">'[25]Func Study'!$AB$1821</definedName>
    <definedName name="UAcct391Sgp">'[25]Func Study'!$AB$1818</definedName>
    <definedName name="UAcct391Sgu">'[25]Func Study'!$AB$1819</definedName>
    <definedName name="UAcct391So">'[25]Func Study'!$AB$1823</definedName>
    <definedName name="UACCT391SSGCH">'[25]Func Study'!$AB$1824</definedName>
    <definedName name="UAcct392Cn">'[25]Func Study'!$AB$1832</definedName>
    <definedName name="UAcct392L">'[25]Func Study'!$AB$1935</definedName>
    <definedName name="UAcct392Lrcl">'[25]Func Study'!$AB$1937</definedName>
    <definedName name="UAcct392S">'[25]Func Study'!$AB$1829</definedName>
    <definedName name="UAcct392Se">'[25]Func Study'!$AB$1834</definedName>
    <definedName name="UAcct392Sg">'[25]Func Study'!$AB$1831</definedName>
    <definedName name="UAcct392Sgp">'[25]Func Study'!$AB$1835</definedName>
    <definedName name="UAcct392Sgu">'[25]Func Study'!$AB$1833</definedName>
    <definedName name="UAcct392So">'[25]Func Study'!$AB$1830</definedName>
    <definedName name="UACCT392SSGCH">'[25]Func Study'!$AB$1836</definedName>
    <definedName name="UAcct393S">'[25]Func Study'!$AB$1841</definedName>
    <definedName name="UAcct393Sg">'[25]Func Study'!$AB$1845</definedName>
    <definedName name="UAcct393Sgp">'[25]Func Study'!$AB$1842</definedName>
    <definedName name="UAcct393Sgu">'[25]Func Study'!$AB$1843</definedName>
    <definedName name="UAcct393So">'[25]Func Study'!$AB$1844</definedName>
    <definedName name="UACCT393SSGCT">'[25]Func Study'!$AB$1846</definedName>
    <definedName name="UAcct394S">'[25]Func Study'!$AB$1850</definedName>
    <definedName name="UAcct394Se">'[25]Func Study'!$AB$1854</definedName>
    <definedName name="UAcct394Sg">'[25]Func Study'!$AB$1855</definedName>
    <definedName name="UAcct394Sgp">'[25]Func Study'!$AB$1851</definedName>
    <definedName name="UAcct394Sgu">'[25]Func Study'!$AB$1852</definedName>
    <definedName name="UAcct394So">'[25]Func Study'!$AB$1853</definedName>
    <definedName name="UACCT394SSGCH">'[25]Func Study'!$AB$1856</definedName>
    <definedName name="UAcct395S">'[25]Func Study'!$AB$1861</definedName>
    <definedName name="UAcct395Se">'[25]Func Study'!$AB$1865</definedName>
    <definedName name="UAcct395Sg">'[25]Func Study'!$AB$1866</definedName>
    <definedName name="UAcct395Sgp">'[25]Func Study'!$AB$1862</definedName>
    <definedName name="UAcct395Sgu">'[25]Func Study'!$AB$1863</definedName>
    <definedName name="UAcct395So">'[25]Func Study'!$AB$1864</definedName>
    <definedName name="UACCT395SSGCH">'[25]Func Study'!$AB$1867</definedName>
    <definedName name="UAcct396S">'[25]Func Study'!$AB$1872</definedName>
    <definedName name="UAcct396Se">'[25]Func Study'!$AB$1877</definedName>
    <definedName name="UAcct396Sg">'[25]Func Study'!$AB$1874</definedName>
    <definedName name="UAcct396Sgp">'[25]Func Study'!$AB$1873</definedName>
    <definedName name="UAcct396Sgu">'[25]Func Study'!$AB$1876</definedName>
    <definedName name="UAcct396So">'[25]Func Study'!$AB$1875</definedName>
    <definedName name="UACCT396SSGCH">'[25]Func Study'!$AB$1879</definedName>
    <definedName name="UACCT396SSGCT">'[25]Func Study'!$AB$1878</definedName>
    <definedName name="UAcct397Cn">'[25]Func Study'!$AB$1890</definedName>
    <definedName name="UAcct397JBG">'[25]Func Study'!$AB$1893</definedName>
    <definedName name="UAcct397S">'[25]Func Study'!$AB$1886</definedName>
    <definedName name="UAcct397Se">'[25]Func Study'!$AB$1892</definedName>
    <definedName name="UAcct397Sg">'[25]Func Study'!$AB$1891</definedName>
    <definedName name="UAcct397Sgp">'[25]Func Study'!$AB$1887</definedName>
    <definedName name="UAcct397Sgu">'[25]Func Study'!$AB$1888</definedName>
    <definedName name="UAcct397So">'[25]Func Study'!$AB$1889</definedName>
    <definedName name="UAcct398Cn">'[25]Func Study'!$AB$1902</definedName>
    <definedName name="UAcct398S">'[25]Func Study'!$AB$1899</definedName>
    <definedName name="UAcct398Se">'[25]Func Study'!$AB$1904</definedName>
    <definedName name="UAcct398Sg">'[25]Func Study'!$AB$1905</definedName>
    <definedName name="UAcct398Sgp">'[25]Func Study'!$AB$1900</definedName>
    <definedName name="UAcct398Sgu">'[25]Func Study'!$AB$1901</definedName>
    <definedName name="UAcct398So">'[25]Func Study'!$AB$1903</definedName>
    <definedName name="UACCT398SSGCT">'[25]Func Study'!$AB$1906</definedName>
    <definedName name="UAcct399">'[25]Func Study'!$AB$1913</definedName>
    <definedName name="UAcct399G">'[25]Func Study'!$AB$1955</definedName>
    <definedName name="UAcct399L">'[25]Func Study'!$AB$1917</definedName>
    <definedName name="UAcct399Lrcl">'[25]Func Study'!$AB$1919</definedName>
    <definedName name="UAcct403360">'[25]Func Study'!$AB$1090</definedName>
    <definedName name="UAcct403361">'[25]Func Study'!$AB$1091</definedName>
    <definedName name="UAcct403362">'[25]Func Study'!$AB$1092</definedName>
    <definedName name="UAcct403364">'[25]Func Study'!$AB$1094</definedName>
    <definedName name="UAcct403365">'[25]Func Study'!$AB$1095</definedName>
    <definedName name="UAcct403366">'[25]Func Study'!$AB$1096</definedName>
    <definedName name="UAcct403367">'[25]Func Study'!$AB$1097</definedName>
    <definedName name="UAcct403368">'[25]Func Study'!$AB$1098</definedName>
    <definedName name="UAcct403369">'[25]Func Study'!$AB$1099</definedName>
    <definedName name="UAcct403370">'[25]Func Study'!$AB$1100</definedName>
    <definedName name="UAcct403371">'[25]Func Study'!$AB$1101</definedName>
    <definedName name="UAcct403372">'[25]Func Study'!$AB$1102</definedName>
    <definedName name="UAcct403373">'[25]Func Study'!$AB$1103</definedName>
    <definedName name="UAcct403Ep">'[25]Func Study'!$AB$1130</definedName>
    <definedName name="UAcct403Gpcn">'[25]Func Study'!$AB$1111</definedName>
    <definedName name="UAcct403GPDGP">'[25]Func Study'!$AB$1108</definedName>
    <definedName name="UAcct403GPDGU">'[25]Func Study'!$AB$1109</definedName>
    <definedName name="UAcct403GPJBG">'[25]Func Study'!$AB$1115</definedName>
    <definedName name="UAcct403Gps">'[25]Func Study'!$AB$1107</definedName>
    <definedName name="UAcct403Gpsg">'[25]Func Study'!$AB$1112</definedName>
    <definedName name="UAcct403Gpso">'[25]Func Study'!$AB$1113</definedName>
    <definedName name="UAcct403Gv0">'[25]Func Study'!$AB$1121</definedName>
    <definedName name="UAcct403Hp">'[25]Func Study'!$AB$1072</definedName>
    <definedName name="UACCT403JBE">'[25]Func Study'!$AB$1116</definedName>
    <definedName name="UAcct403Mp">'[25]Func Study'!$AB$1125</definedName>
    <definedName name="UAcct403Np">'[25]Func Study'!$AB$1065</definedName>
    <definedName name="UAcct403Op">'[25]Func Study'!$AB$1080</definedName>
    <definedName name="UAcct403OPCAGE">'[25]Func Study'!$AB$1078</definedName>
    <definedName name="UAcct403Sp">'[25]Func Study'!$AB$1061</definedName>
    <definedName name="UAcct403SPJBG">'[25]Func Study'!$AB$1058</definedName>
    <definedName name="UAcct403Tp">'[25]Func Study'!$AB$1087</definedName>
    <definedName name="UAcct404330">'[25]Func Study'!$AB$1177</definedName>
    <definedName name="UACCT404GP">'[25]Func Study'!$AB$1146</definedName>
    <definedName name="UACCT404GPCN">'[25]Func Study'!$AB$1143</definedName>
    <definedName name="UACCT404GPSO">'[25]Func Study'!$AB$1141</definedName>
    <definedName name="UAcct404Ipcn">'[25]Func Study'!$AB$1158</definedName>
    <definedName name="UAcct404IPJBG">'[25]Func Study'!$AB$1163</definedName>
    <definedName name="UAcct404Ips">'[25]Func Study'!$AB$1154</definedName>
    <definedName name="UAcct404Ipse">'[25]Func Study'!$AB$1155</definedName>
    <definedName name="UAcct404Ipsg">'[25]Func Study'!$AB$1156</definedName>
    <definedName name="UAcct404Ipsg1">'[25]Func Study'!$AB$1159</definedName>
    <definedName name="UAcct404Ipsg2">'[25]Func Study'!$AB$1160</definedName>
    <definedName name="UAcct404Ipso">'[25]Func Study'!$AB$1157</definedName>
    <definedName name="UAcct404M">'[25]Func Study'!$AB$1168</definedName>
    <definedName name="UACCT404OP">'[25]Func Study'!$AB$1172</definedName>
    <definedName name="UACCT404SP">'[25]Func Study'!$AB$1151</definedName>
    <definedName name="UAcct405">'[25]Func Study'!$AB$1185</definedName>
    <definedName name="UAcct406">'[25]Func Study'!$AB$1193</definedName>
    <definedName name="UAcct407">'[25]Func Study'!$AB$1202</definedName>
    <definedName name="UAcct408">'[25]Func Study'!$AB$1221</definedName>
    <definedName name="UAcct408S">'[25]Func Study'!$AB$1213</definedName>
    <definedName name="UAcct41010">'[25]Func Study'!$AB$1294</definedName>
    <definedName name="UAcct41011">'[25]Func Study'!$AB$1309</definedName>
    <definedName name="UACCT41020">'[26]Functional Study'!#REF!</definedName>
    <definedName name="UACCT41020BADDEBT">'[26]Functional Study'!#REF!</definedName>
    <definedName name="UACCT41020DITEXP">'[26]Functional Study'!#REF!</definedName>
    <definedName name="UACCT41020DNPU">'[26]Functional Study'!#REF!</definedName>
    <definedName name="UACCT41020S">'[26]Functional Study'!#REF!</definedName>
    <definedName name="UACCT41020SE">'[26]Functional Study'!#REF!</definedName>
    <definedName name="UACCT41020SG">'[26]Functional Study'!#REF!</definedName>
    <definedName name="UACCT41020SGCT">'[26]Functional Study'!#REF!</definedName>
    <definedName name="UACCT41020SGPP">'[26]Functional Study'!#REF!</definedName>
    <definedName name="UACCT41020SO">'[26]Functional Study'!#REF!</definedName>
    <definedName name="UACCT41020TROJP">'[26]Functional Study'!#REF!</definedName>
    <definedName name="UACCT4102SNPD">'[26]Functional Study'!#REF!</definedName>
    <definedName name="UAcct41110">'[25]Func Study'!$AB$1325</definedName>
    <definedName name="UAcct41111">'[26]Functional Study'!#REF!</definedName>
    <definedName name="UAcct41111Baddebt">'[26]Functional Study'!#REF!</definedName>
    <definedName name="UAcct41111Dgp">'[26]Functional Study'!#REF!</definedName>
    <definedName name="UAcct41111Dgu">'[26]Functional Study'!#REF!</definedName>
    <definedName name="UAcct41111Ditexp">'[26]Functional Study'!#REF!</definedName>
    <definedName name="UAcct41111Dnpp">'[26]Functional Study'!#REF!</definedName>
    <definedName name="UAcct41111Dnptp">'[26]Functional Study'!#REF!</definedName>
    <definedName name="UAcct41111S">'[26]Functional Study'!#REF!</definedName>
    <definedName name="UAcct41111Se">'[26]Functional Study'!#REF!</definedName>
    <definedName name="UAcct41111Sg">'[26]Functional Study'!#REF!</definedName>
    <definedName name="UAcct41111Sgpp">'[26]Functional Study'!#REF!</definedName>
    <definedName name="UAcct41111So">'[26]Functional Study'!#REF!</definedName>
    <definedName name="UAcct41111Trojp">'[26]Functional Study'!#REF!</definedName>
    <definedName name="UAcct41140">'[25]Func Study'!$AB$1232</definedName>
    <definedName name="UAcct41141">'[25]Func Study'!$AB$1237</definedName>
    <definedName name="UAcct41160">'[25]Func Study'!$AB$369</definedName>
    <definedName name="UAcct41170">'[25]Func Study'!$AB$374</definedName>
    <definedName name="UAcct4118">'[25]Func Study'!$AB$378</definedName>
    <definedName name="UAcct41181">'[25]Func Study'!$AB$381</definedName>
    <definedName name="UAcct4194">'[25]Func Study'!$AB$385</definedName>
    <definedName name="UAcct421">'[25]Func Study'!$AB$394</definedName>
    <definedName name="UAcct4311">'[25]Func Study'!$AB$401</definedName>
    <definedName name="UAcct442Se">'[25]Func Study'!$AB$259</definedName>
    <definedName name="UAcct442Sg">'[25]Func Study'!$AB$260</definedName>
    <definedName name="UAcct447">'[25]Func Study'!$AB$281</definedName>
    <definedName name="UAcct447CAEE">'[23]Func Study'!#REF!</definedName>
    <definedName name="UAcct447CAGE">'[23]Func Study'!#REF!</definedName>
    <definedName name="UAcct447Dgu">'[24]Func Study'!#REF!</definedName>
    <definedName name="UACCT447NPC">'[25]Func Study'!$AB$289</definedName>
    <definedName name="UACCT447NPCCAEW">'[25]Func Study'!$AB$286</definedName>
    <definedName name="UACCT447NPCCAGW">'[25]Func Study'!$AB$287</definedName>
    <definedName name="UACCT447NPCDGP">'[25]Func Study'!$AB$288</definedName>
    <definedName name="UAcct447S">'[25]Func Study'!$AB$280</definedName>
    <definedName name="UAcct448S">'[25]Func Study'!$AB$274</definedName>
    <definedName name="UAcct448So">'[25]Func Study'!$AB$275</definedName>
    <definedName name="UAcct449">'[25]Func Study'!$AB$294</definedName>
    <definedName name="UAcct450">'[25]Func Study'!$AB$304</definedName>
    <definedName name="UAcct450S">'[25]Func Study'!$AB$302</definedName>
    <definedName name="UAcct450So">'[25]Func Study'!$AB$303</definedName>
    <definedName name="UAcct451S">'[25]Func Study'!$AB$307</definedName>
    <definedName name="UAcct451Sg">'[25]Func Study'!$AB$308</definedName>
    <definedName name="UAcct451So">'[25]Func Study'!$AB$309</definedName>
    <definedName name="UAcct453">'[25]Func Study'!$AB$315</definedName>
    <definedName name="UAcct453CAGE">'[23]Func Study'!#REF!</definedName>
    <definedName name="UAcct453CAGW">'[23]Func Study'!#REF!</definedName>
    <definedName name="UAcct454">'[25]Func Study'!$AB$322</definedName>
    <definedName name="UAcct454JBG">'[25]Func Study'!$AB$319</definedName>
    <definedName name="UAcct454S">'[25]Func Study'!$AB$318</definedName>
    <definedName name="UAcct454Sg">'[25]Func Study'!$AB$320</definedName>
    <definedName name="UAcct454So">'[25]Func Study'!$AB$321</definedName>
    <definedName name="UAcct456">'[25]Func Study'!$AB$332</definedName>
    <definedName name="UAcct456CAEW">'[25]Func Study'!$AB$331</definedName>
    <definedName name="UAcct456S">'[25]Func Study'!$AB$325</definedName>
    <definedName name="UAcct456So">'[25]Func Study'!$AB$329</definedName>
    <definedName name="UAcct500">'[25]Func Study'!$AB$416</definedName>
    <definedName name="UAcct500JBG">'[25]Func Study'!$AB$414</definedName>
    <definedName name="UAcct501">'[25]Func Study'!$AB$423</definedName>
    <definedName name="UAcct501CAEW">'[25]Func Study'!$AB$420</definedName>
    <definedName name="UAcct501JBE">'[25]Func Study'!$AB$421</definedName>
    <definedName name="UACCT501NPCCAEW">'[25]Func Study'!$AB$426</definedName>
    <definedName name="UAcct502">'[25]Func Study'!$AB$433</definedName>
    <definedName name="UAcct502CAGE">'[25]Func Study'!$AB$431</definedName>
    <definedName name="UAcct502JBG">'[23]Func Study'!#REF!</definedName>
    <definedName name="UAcct503">'[25]Func Study'!$AB$437</definedName>
    <definedName name="UACCT503NPC">'[25]Func Study'!$AB$443</definedName>
    <definedName name="UAcct505">'[25]Func Study'!$AB$449</definedName>
    <definedName name="UAcct505CAGE">'[25]Func Study'!$AB$447</definedName>
    <definedName name="UAcct505JBG">'[23]Func Study'!#REF!</definedName>
    <definedName name="UAcct506">'[25]Func Study'!$AB$455</definedName>
    <definedName name="UAcct506CAGE">'[25]Func Study'!$AB$452</definedName>
    <definedName name="UAcct506JBG">'[23]Func Study'!#REF!</definedName>
    <definedName name="UAcct507">'[25]Func Study'!$AB$464</definedName>
    <definedName name="UAcct507CAGE">'[25]Func Study'!$AB$462</definedName>
    <definedName name="UAcct507JBG">'[23]Func Study'!#REF!</definedName>
    <definedName name="UAcct510">'[25]Func Study'!$AB$469</definedName>
    <definedName name="UAcct510CAGE">'[25]Func Study'!$AB$467</definedName>
    <definedName name="UAcct510JBG">'[23]Func Study'!#REF!</definedName>
    <definedName name="UAcct511">'[25]Func Study'!$AB$474</definedName>
    <definedName name="UAcct511CAGE">'[25]Func Study'!$AB$472</definedName>
    <definedName name="UAcct511JBG">'[23]Func Study'!#REF!</definedName>
    <definedName name="UAcct512">'[25]Func Study'!$AB$479</definedName>
    <definedName name="UAcct512CAGE">'[25]Func Study'!$AB$477</definedName>
    <definedName name="UAcct512JBG">'[23]Func Study'!#REF!</definedName>
    <definedName name="UAcct513">'[25]Func Study'!$AB$484</definedName>
    <definedName name="UAcct513CAGE">'[25]Func Study'!$AB$482</definedName>
    <definedName name="UAcct513JBG">'[23]Func Study'!#REF!</definedName>
    <definedName name="UAcct514">'[25]Func Study'!$AB$489</definedName>
    <definedName name="UAcct514CAGE">'[25]Func Study'!$AB$487</definedName>
    <definedName name="UAcct514JBG">'[23]Func Study'!#REF!</definedName>
    <definedName name="UAcct517">'[25]Func Study'!$AB$498</definedName>
    <definedName name="UAcct518">'[25]Func Study'!$AB$502</definedName>
    <definedName name="UAcct519">'[25]Func Study'!$AB$507</definedName>
    <definedName name="UAcct520">'[25]Func Study'!$AB$511</definedName>
    <definedName name="UAcct523">'[25]Func Study'!$AB$515</definedName>
    <definedName name="UAcct524">'[25]Func Study'!$AB$519</definedName>
    <definedName name="UAcct528">'[25]Func Study'!$AB$523</definedName>
    <definedName name="UAcct529">'[25]Func Study'!$AB$527</definedName>
    <definedName name="UAcct530">'[25]Func Study'!$AB$531</definedName>
    <definedName name="UAcct531">'[25]Func Study'!$AB$535</definedName>
    <definedName name="UAcct532">'[25]Func Study'!$AB$539</definedName>
    <definedName name="UAcct535">'[25]Func Study'!$AB$551</definedName>
    <definedName name="UAcct536">'[25]Func Study'!$AB$555</definedName>
    <definedName name="UAcct537">'[25]Func Study'!$AB$559</definedName>
    <definedName name="UAcct538">'[25]Func Study'!$AB$563</definedName>
    <definedName name="UAcct539">'[25]Func Study'!$AB$568</definedName>
    <definedName name="UAcct540">'[25]Func Study'!$AB$572</definedName>
    <definedName name="UAcct541">'[25]Func Study'!$AB$576</definedName>
    <definedName name="UAcct542">'[25]Func Study'!$AB$580</definedName>
    <definedName name="UAcct543">'[25]Func Study'!$AB$584</definedName>
    <definedName name="UAcct544">'[25]Func Study'!$AB$588</definedName>
    <definedName name="UAcct545">'[25]Func Study'!$AB$592</definedName>
    <definedName name="UAcct546">'[25]Func Study'!$AB$606</definedName>
    <definedName name="UAcct546CAGE">'[25]Func Study'!$AB$605</definedName>
    <definedName name="UAcct547CAEW">'[25]Func Study'!$AB$610</definedName>
    <definedName name="UACCT547NPCCAEW">'[25]Func Study'!$AB$613</definedName>
    <definedName name="UAcct547Se">'[25]Func Study'!$AB$609</definedName>
    <definedName name="UAcct548">'[25]Func Study'!$AB$621</definedName>
    <definedName name="UACCT548CAGE">'[25]Func Study'!$AB$620</definedName>
    <definedName name="UAcct549">'[25]Func Study'!$AB$626</definedName>
    <definedName name="Uacct549CAGE">'[25]Func Study'!$AB$625</definedName>
    <definedName name="UAcct5506SE">'[23]Func Study'!#REF!</definedName>
    <definedName name="UAcct551CAGE">'[25]Func Study'!$AB$634</definedName>
    <definedName name="UACCT551SG">'[25]Func Study'!$AB$635</definedName>
    <definedName name="UACCT552CAGE">'[25]Func Study'!$AB$640</definedName>
    <definedName name="UAcct552SG">'[25]Func Study'!$AB$639</definedName>
    <definedName name="UACCT553CAGE">'[25]Func Study'!$AB$646</definedName>
    <definedName name="UAcct553SG">'[25]Func Study'!$AB$645</definedName>
    <definedName name="UACCT554CAGE">'[25]Func Study'!$AB$651</definedName>
    <definedName name="UAcct554SG">'[25]Func Study'!$AB$650</definedName>
    <definedName name="UAcct555CAEE">'[23]Func Study'!#REF!</definedName>
    <definedName name="UAcct555CAEW">'[25]Func Study'!$AB$665</definedName>
    <definedName name="UAcct555CAGE">'[23]Func Study'!#REF!</definedName>
    <definedName name="UAcct555CAGW">'[25]Func Study'!$AB$664</definedName>
    <definedName name="UACCT555DGP">'[25]Func Study'!$AB$670</definedName>
    <definedName name="UACCT555NPCCAEW">'[25]Func Study'!$AB$669</definedName>
    <definedName name="UACCT555NPCCAGW">'[25]Func Study'!$AB$668</definedName>
    <definedName name="UAcct555S">'[25]Func Study'!$AB$663</definedName>
    <definedName name="UAcct555Se">'[25]Func Study'!$AB$665</definedName>
    <definedName name="UACCT555SG">'[25]Func Study'!$AB$664</definedName>
    <definedName name="UAcct556">'[25]Func Study'!$AB$676</definedName>
    <definedName name="UAcct557">'[25]Func Study'!$AB$685</definedName>
    <definedName name="UAcct560">'[25]Func Study'!$AB$715</definedName>
    <definedName name="UAcct561">'[25]Func Study'!$AB$720</definedName>
    <definedName name="UAcct562">'[25]Func Study'!$AB$726</definedName>
    <definedName name="UAcct563">'[25]Func Study'!$AB$731</definedName>
    <definedName name="UAcct564">'[25]Func Study'!$AB$735</definedName>
    <definedName name="UAcct565">'[25]Func Study'!$AB$739</definedName>
    <definedName name="UACCT565NPC">'[25]Func Study'!$AB$744</definedName>
    <definedName name="UACCT565NPCCAGW">'[25]Func Study'!$AB$742</definedName>
    <definedName name="UAcct566">'[25]Func Study'!$AB$748</definedName>
    <definedName name="UAcct567">'[25]Func Study'!$AB$752</definedName>
    <definedName name="UAcct568">'[25]Func Study'!$AB$756</definedName>
    <definedName name="UAcct569">'[25]Func Study'!$AB$760</definedName>
    <definedName name="UAcct570">'[25]Func Study'!$AB$765</definedName>
    <definedName name="UAcct571">'[25]Func Study'!$AB$770</definedName>
    <definedName name="UAcct572">'[25]Func Study'!$AB$774</definedName>
    <definedName name="UAcct573">'[25]Func Study'!$AB$778</definedName>
    <definedName name="UAcct580">'[25]Func Study'!$AB$791</definedName>
    <definedName name="UAcct581">'[25]Func Study'!$AB$796</definedName>
    <definedName name="UAcct582">'[25]Func Study'!$AB$801</definedName>
    <definedName name="UAcct583">'[25]Func Study'!$AB$806</definedName>
    <definedName name="UAcct584">'[25]Func Study'!$AB$811</definedName>
    <definedName name="UAcct585">'[25]Func Study'!$AB$816</definedName>
    <definedName name="UAcct586">'[25]Func Study'!$AB$821</definedName>
    <definedName name="UAcct587">'[25]Func Study'!$AB$826</definedName>
    <definedName name="UAcct588">'[25]Func Study'!$AB$831</definedName>
    <definedName name="UAcct589">'[25]Func Study'!$AB$836</definedName>
    <definedName name="UAcct590">'[25]Func Study'!$AB$841</definedName>
    <definedName name="UAcct591">'[25]Func Study'!$AB$846</definedName>
    <definedName name="UAcct592">'[25]Func Study'!$AB$851</definedName>
    <definedName name="UAcct593">'[25]Func Study'!$AB$856</definedName>
    <definedName name="UAcct594">'[25]Func Study'!$AB$861</definedName>
    <definedName name="UAcct595">'[25]Func Study'!$AB$866</definedName>
    <definedName name="UAcct596">'[25]Func Study'!$AB$876</definedName>
    <definedName name="UAcct597">'[25]Func Study'!$AB$881</definedName>
    <definedName name="UAcct598">'[25]Func Study'!$AB$886</definedName>
    <definedName name="UAcct901">'[25]Func Study'!$AB$898</definedName>
    <definedName name="UAcct902">'[25]Func Study'!$AB$903</definedName>
    <definedName name="UAcct903">'[25]Func Study'!$AB$908</definedName>
    <definedName name="UAcct904">'[25]Func Study'!$AB$914</definedName>
    <definedName name="Uacct904SG">'[27]Functional Study'!#REF!</definedName>
    <definedName name="UAcct905">'[25]Func Study'!$AB$919</definedName>
    <definedName name="UAcct907">'[25]Func Study'!$AB$933</definedName>
    <definedName name="UAcct908">'[25]Func Study'!$AB$938</definedName>
    <definedName name="UAcct909">'[25]Func Study'!$AB$943</definedName>
    <definedName name="UAcct910">'[25]Func Study'!$AB$948</definedName>
    <definedName name="UAcct911">'[25]Func Study'!$AB$959</definedName>
    <definedName name="UAcct912">'[25]Func Study'!$AB$964</definedName>
    <definedName name="UAcct913">'[25]Func Study'!$AB$969</definedName>
    <definedName name="UAcct916">'[25]Func Study'!$AB$974</definedName>
    <definedName name="UAcct920">'[25]Func Study'!$AB$985</definedName>
    <definedName name="UAcct920Cn">'[25]Func Study'!$AB$983</definedName>
    <definedName name="UAcct921">'[25]Func Study'!$AB$991</definedName>
    <definedName name="UAcct921Cn">'[25]Func Study'!$AB$989</definedName>
    <definedName name="UAcct923">'[25]Func Study'!$AB$997</definedName>
    <definedName name="UAcct923CAGW">'[25]Func Study'!$AB$995</definedName>
    <definedName name="UAcct924">'[25]Func Study'!$AB$1001</definedName>
    <definedName name="UAcct925">'[25]Func Study'!$AB$1005</definedName>
    <definedName name="UAcct926">'[25]Func Study'!$AB$1011</definedName>
    <definedName name="UAcct927">'[25]Func Study'!$AB$1016</definedName>
    <definedName name="UAcct928">'[25]Func Study'!$AB$1023</definedName>
    <definedName name="UAcct929">'[25]Func Study'!$AB$1028</definedName>
    <definedName name="UAcct930">'[25]Func Study'!$AB$1034</definedName>
    <definedName name="UAcct931">'[25]Func Study'!$AB$1039</definedName>
    <definedName name="UAcct935">'[25]Func Study'!$AB$1045</definedName>
    <definedName name="UAcctAGA">'[25]Func Study'!$AB$296</definedName>
    <definedName name="UAcctcwc">'[25]Func Study'!$AB$2136</definedName>
    <definedName name="UAcctd00">'[25]Func Study'!$AB$1786</definedName>
    <definedName name="UAcctdfa">'[25]Func Study'!#REF!</definedName>
    <definedName name="UAcctdfad">'[25]Func Study'!#REF!</definedName>
    <definedName name="UAcctdfap">'[25]Func Study'!#REF!</definedName>
    <definedName name="UAcctdfat">'[25]Func Study'!#REF!</definedName>
    <definedName name="UAcctds0">'[25]Func Study'!$AB$1790</definedName>
    <definedName name="UACCTECDDGP">'[25]Func Study'!$AB$687</definedName>
    <definedName name="UACCTECDMC">'[25]Func Study'!$AB$689</definedName>
    <definedName name="UACCTECDS">'[25]Func Study'!$AB$691</definedName>
    <definedName name="UACCTECDSG1">'[25]Func Study'!$AB$688</definedName>
    <definedName name="UACCTECDSG2">'[25]Func Study'!$AB$690</definedName>
    <definedName name="UACCTECDSG3">'[25]Func Study'!$AB$692</definedName>
    <definedName name="UAcctfit">'[25]Func Study'!$AB$1395</definedName>
    <definedName name="UAcctg00">'[25]Func Study'!$AB$1947</definedName>
    <definedName name="UAccth00">'[25]Func Study'!$AB$1545</definedName>
    <definedName name="UAccti00">'[25]Func Study'!$AB$1993</definedName>
    <definedName name="UAcctn00">'[25]Func Study'!$AB$1496</definedName>
    <definedName name="UAccto00">'[25]Func Study'!$AB$1606</definedName>
    <definedName name="UAcctowc">'[25]Func Study'!$AB$2149</definedName>
    <definedName name="UACCTOWCSSECH">'[25]Func Study'!$AB$2148</definedName>
    <definedName name="UAccts00">'[25]Func Study'!$AB$1455</definedName>
    <definedName name="UAcctsttax">'[25]Func Study'!$AB$1377</definedName>
    <definedName name="UAcctt00">'[25]Func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[31]Variables!$D$29</definedName>
    <definedName name="UTN">#REF!</definedName>
    <definedName name="v" localSheetId="6" hidden="1">{#N/A,#N/A,FALSE,"Coversheet";#N/A,#N/A,FALSE,"QA"}</definedName>
    <definedName name="v" localSheetId="7" hidden="1">{#N/A,#N/A,FALSE,"Coversheet";#N/A,#N/A,FALSE,"QA"}</definedName>
    <definedName name="v" hidden="1">{#N/A,#N/A,FALSE,"Coversheet";#N/A,#N/A,FALSE,"QA"}</definedName>
    <definedName name="ValidAccount">[28]Variables!$AK$43:$AK$369</definedName>
    <definedName name="Value" localSheetId="6" hidden="1">{#N/A,#N/A,FALSE,"Summ";#N/A,#N/A,FALSE,"General"}</definedName>
    <definedName name="Value" localSheetId="7" hidden="1">{#N/A,#N/A,FALSE,"Summ";#N/A,#N/A,FALSE,"General"}</definedName>
    <definedName name="Value" hidden="1">{#N/A,#N/A,FALSE,"Summ";#N/A,#N/A,FALSE,"General"}</definedName>
    <definedName name="Values_Entered" localSheetId="6">IF(Loan_Amount*Interest_Rate*Loan_Years*Loan_Start&gt;0,1,0)</definedName>
    <definedName name="Values_Entered">IF(Loan_Amount*Interest_Rate*Loan_Years*Loan_Start&gt;0,1,0)</definedName>
    <definedName name="VAR">[33]Backup!#REF!</definedName>
    <definedName name="VARIABLE">[60]Summary!#REF!</definedName>
    <definedName name="vartrans">#REF!</definedName>
    <definedName name="VOMEsc">[29]Assumptions!$C$21</definedName>
    <definedName name="VOUCHER">#REF!</definedName>
    <definedName name="w" localSheetId="6" hidden="1">{#N/A,#N/A,FALSE,"Schedule F";#N/A,#N/A,FALSE,"Schedule G"}</definedName>
    <definedName name="w" localSheetId="7" hidden="1">{#N/A,#N/A,FALSE,"Schedule F";#N/A,#N/A,FALSE,"Schedule G"}</definedName>
    <definedName name="w" hidden="1">{#N/A,#N/A,FALSE,"Schedule F";#N/A,#N/A,FALSE,"Schedule G"}</definedName>
    <definedName name="WACC">[29]Assumptions!$I$61</definedName>
    <definedName name="WAGES">[18]model!#REF!</definedName>
    <definedName name="WaRevenueTax">[31]Variables!$D$27</definedName>
    <definedName name="warrantyOM">#REF!</definedName>
    <definedName name="we" localSheetId="6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6" hidden="1">{#N/A,#N/A,FALSE,"Coversheet";#N/A,#N/A,FALSE,"QA"}</definedName>
    <definedName name="WH" localSheetId="7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'[48]Dispatch Cases'!#REF!</definedName>
    <definedName name="WINTER">[81]Bremerton!#REF!</definedName>
    <definedName name="WinterPeak">'[91]Load Data'!$D$9:$H$12,'[91]Load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[18]model!#REF!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6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6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localSheetId="6" hidden="1">{#N/A,#N/A,FALSE,"schA"}</definedName>
    <definedName name="wrn.ECR." localSheetId="7" hidden="1">{#N/A,#N/A,FALSE,"schA"}</definedName>
    <definedName name="wrn.ECR." hidden="1">{#N/A,#N/A,FALSE,"schA"}</definedName>
    <definedName name="wrn.ESTIMATE." localSheetId="6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6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6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localSheetId="7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localSheetId="7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6" hidden="1">{#N/A,#N/A,FALSE,"Loans";#N/A,#N/A,FALSE,"Program Costs";#N/A,#N/A,FALSE,"Measures";#N/A,#N/A,FALSE,"Net Lost Rev";#N/A,#N/A,FALSE,"Incentive"}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6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6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6" hidden="1">{#N/A,#N/A,FALSE,"7617 Fab";#N/A,#N/A,FALSE,"7617 NSK"}</definedName>
    <definedName name="wrn.SCHEDULE." localSheetId="7" hidden="1">{#N/A,#N/A,FALSE,"7617 Fab";#N/A,#N/A,FALSE,"7617 NSK"}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6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hidden="1">{#N/A,#N/A,FALSE,"2002 Small Tool OH";#N/A,#N/A,FALSE,"QA"}</definedName>
    <definedName name="wrn.Summary." localSheetId="6" hidden="1">{#N/A,#N/A,FALSE,"Summ";#N/A,#N/A,FALSE,"General"}</definedName>
    <definedName name="wrn.Summary." localSheetId="7" hidden="1">{#N/A,#N/A,FALSE,"Summ";#N/A,#N/A,FALSE,"General"}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6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'[17]MJS-6'!$F$2</definedName>
    <definedName name="WUTC_FILING_FEE">'[17]MJS-7'!$O$15</definedName>
    <definedName name="wwp_wkly_vect_input">#REF!</definedName>
    <definedName name="www" localSheetId="6" hidden="1">{#N/A,#N/A,FALSE,"schA"}</definedName>
    <definedName name="www" localSheetId="7" hidden="1">{#N/A,#N/A,FALSE,"schA"}</definedName>
    <definedName name="www" hidden="1">{#N/A,#N/A,FALSE,"schA"}</definedName>
    <definedName name="x" localSheetId="6" hidden="1">{#N/A,#N/A,FALSE,"Coversheet";#N/A,#N/A,FALSE,"QA"}</definedName>
    <definedName name="x" localSheetId="7" hidden="1">{#N/A,#N/A,FALSE,"Coversheet";#N/A,#N/A,FALSE,"QA"}</definedName>
    <definedName name="x" hidden="1">{#N/A,#N/A,FALSE,"Coversheet";#N/A,#N/A,FALSE,"QA"}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'[92]Revison Inputs'!$B$6</definedName>
    <definedName name="YEFactors">[28]Factors!$S$3:$AG$99</definedName>
    <definedName name="YTD_Format">[73]YTD!$B$13:$D$13,[73]YTD!$B$32:$D$32</definedName>
    <definedName name="yuf" localSheetId="6" hidden="1">{#N/A,#N/A,FALSE,"Summ";#N/A,#N/A,FALSE,"General"}</definedName>
    <definedName name="yuf" localSheetId="7" hidden="1">{#N/A,#N/A,FALSE,"Summ";#N/A,#N/A,FALSE,"General"}</definedName>
    <definedName name="yuf" hidden="1">{#N/A,#N/A,FALSE,"Summ";#N/A,#N/A,FALSE,"General"}</definedName>
    <definedName name="z" localSheetId="6" hidden="1">{#N/A,#N/A,FALSE,"Coversheet";#N/A,#N/A,FALSE,"QA"}</definedName>
    <definedName name="z" localSheetId="7" hidden="1">{#N/A,#N/A,FALSE,"Coversheet";#N/A,#N/A,FALSE,"QA"}</definedName>
    <definedName name="z" hidden="1">{#N/A,#N/A,FALSE,"Coversheet";#N/A,#N/A,FALSE,"QA"}</definedName>
    <definedName name="ZA">'[93] annual balance '!#REF!</definedName>
    <definedName name="zilfpldebtperc">#REF!</definedName>
    <definedName name="zilkhaepcdevcost">#REF!</definedName>
    <definedName name="zilkhaownperc">#REF!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A9" i="62" l="1"/>
  <c r="H9" i="62"/>
  <c r="A10" i="62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F10" i="62"/>
  <c r="H10" i="62" s="1"/>
  <c r="G10" i="62"/>
  <c r="G11" i="62" s="1"/>
  <c r="G18" i="62" s="1"/>
  <c r="G27" i="62" s="1"/>
  <c r="G31" i="62" s="1"/>
  <c r="H13" i="62"/>
  <c r="H14" i="62"/>
  <c r="H15" i="62"/>
  <c r="F16" i="62"/>
  <c r="G16" i="62"/>
  <c r="H17" i="62"/>
  <c r="F25" i="62"/>
  <c r="G25" i="62"/>
  <c r="H29" i="62"/>
  <c r="H39" i="62"/>
  <c r="H44" i="62" s="1"/>
  <c r="H40" i="62"/>
  <c r="H41" i="62"/>
  <c r="H42" i="62"/>
  <c r="F44" i="62"/>
  <c r="G44" i="62"/>
  <c r="H11" i="62" l="1"/>
  <c r="H18" i="62" s="1"/>
  <c r="F11" i="62"/>
  <c r="F18" i="62" s="1"/>
  <c r="F27" i="62" s="1"/>
  <c r="E36" i="13" l="1"/>
  <c r="F31" i="62"/>
  <c r="H27" i="62"/>
  <c r="H31" i="62" s="1"/>
  <c r="H92" i="55"/>
  <c r="E91" i="55"/>
  <c r="H46" i="55"/>
  <c r="H15" i="55" s="1"/>
  <c r="H45" i="55"/>
  <c r="G15" i="55"/>
  <c r="B92" i="55"/>
  <c r="A93" i="55"/>
  <c r="A92" i="55"/>
  <c r="E25" i="55" l="1"/>
  <c r="D30" i="32" l="1"/>
  <c r="D25" i="32"/>
  <c r="D12" i="32"/>
  <c r="D19" i="32" l="1"/>
  <c r="D38" i="32" s="1"/>
  <c r="D42" i="32" s="1"/>
  <c r="D45" i="32" s="1"/>
  <c r="Q8" i="32"/>
  <c r="E31" i="59"/>
  <c r="E41" i="59" s="1"/>
  <c r="E47" i="59"/>
  <c r="E46" i="59"/>
  <c r="E45" i="59"/>
  <c r="E44" i="59"/>
  <c r="E43" i="59"/>
  <c r="E42" i="59"/>
  <c r="F4" i="13"/>
  <c r="B22" i="59" l="1"/>
  <c r="E4" i="13" l="1"/>
  <c r="P12" i="32" l="1"/>
  <c r="Q44" i="32"/>
  <c r="Q40" i="32"/>
  <c r="Q36" i="32"/>
  <c r="Q28" i="32"/>
  <c r="Q24" i="32"/>
  <c r="Q23" i="32"/>
  <c r="Q16" i="32"/>
  <c r="Q15" i="32"/>
  <c r="Q11" i="32"/>
  <c r="M8" i="32"/>
  <c r="Q29" i="32" l="1"/>
  <c r="Q34" i="32"/>
  <c r="Q32" i="32"/>
  <c r="Q17" i="32"/>
  <c r="Q18" i="32"/>
  <c r="Q22" i="32"/>
  <c r="O12" i="32"/>
  <c r="O30" i="32"/>
  <c r="P25" i="32"/>
  <c r="O25" i="32"/>
  <c r="P30" i="32"/>
  <c r="P19" i="32"/>
  <c r="O19" i="32"/>
  <c r="E30" i="32"/>
  <c r="O38" i="32" l="1"/>
  <c r="O42" i="32" s="1"/>
  <c r="O45" i="32" s="1"/>
  <c r="P38" i="32"/>
  <c r="P42" i="32" s="1"/>
  <c r="P45" i="32" s="1"/>
  <c r="J30" i="32"/>
  <c r="H30" i="32"/>
  <c r="K12" i="32"/>
  <c r="I12" i="32"/>
  <c r="H12" i="32"/>
  <c r="G12" i="32"/>
  <c r="K25" i="32" l="1"/>
  <c r="H25" i="32"/>
  <c r="L32" i="32"/>
  <c r="M32" i="32" s="1"/>
  <c r="E24" i="13" s="1"/>
  <c r="L28" i="32"/>
  <c r="L29" i="32"/>
  <c r="L34" i="32"/>
  <c r="M34" i="32" s="1"/>
  <c r="E26" i="13" s="1"/>
  <c r="L40" i="32"/>
  <c r="M40" i="32" s="1"/>
  <c r="E33" i="13" s="1"/>
  <c r="I25" i="32"/>
  <c r="G30" i="32"/>
  <c r="I19" i="32"/>
  <c r="G19" i="32"/>
  <c r="F12" i="32"/>
  <c r="H19" i="32"/>
  <c r="I30" i="32"/>
  <c r="K19" i="32"/>
  <c r="K30" i="32"/>
  <c r="G25" i="32"/>
  <c r="F30" i="32"/>
  <c r="F19" i="32"/>
  <c r="F25" i="32"/>
  <c r="E12" i="32"/>
  <c r="I38" i="32" l="1"/>
  <c r="I42" i="32" s="1"/>
  <c r="I45" i="32" s="1"/>
  <c r="H38" i="32"/>
  <c r="H42" i="32" s="1"/>
  <c r="H45" i="32" s="1"/>
  <c r="M29" i="32"/>
  <c r="E21" i="13" s="1"/>
  <c r="L30" i="32"/>
  <c r="M28" i="32"/>
  <c r="F38" i="32"/>
  <c r="F42" i="32" s="1"/>
  <c r="G38" i="32"/>
  <c r="G42" i="32" s="1"/>
  <c r="K38" i="32"/>
  <c r="K42" i="32" s="1"/>
  <c r="K45" i="32" s="1"/>
  <c r="E25" i="32"/>
  <c r="E19" i="32"/>
  <c r="E38" i="32" s="1"/>
  <c r="M30" i="32" l="1"/>
  <c r="E20" i="13"/>
  <c r="E42" i="32"/>
  <c r="E37" i="60" l="1"/>
  <c r="E38" i="60" s="1"/>
  <c r="H29" i="60"/>
  <c r="G29" i="60" s="1"/>
  <c r="E22" i="60"/>
  <c r="D22" i="60"/>
  <c r="E18" i="60"/>
  <c r="D18" i="60"/>
  <c r="D27" i="60" s="1"/>
  <c r="E13" i="60"/>
  <c r="D13" i="60"/>
  <c r="A8" i="60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D30" i="60" l="1"/>
  <c r="D34" i="60" s="1"/>
  <c r="E27" i="60"/>
  <c r="E40" i="60" l="1"/>
  <c r="E42" i="60" s="1"/>
  <c r="E30" i="60"/>
  <c r="F27" i="60"/>
  <c r="E34" i="60" l="1"/>
  <c r="F7" i="60"/>
  <c r="H7" i="60" s="1"/>
  <c r="F10" i="60"/>
  <c r="H10" i="60" s="1"/>
  <c r="F24" i="60"/>
  <c r="H24" i="60" s="1"/>
  <c r="F15" i="60"/>
  <c r="H15" i="60" s="1"/>
  <c r="F21" i="60"/>
  <c r="H21" i="60" s="1"/>
  <c r="F26" i="60"/>
  <c r="H26" i="60" s="1"/>
  <c r="F20" i="60"/>
  <c r="H20" i="60" s="1"/>
  <c r="F12" i="60"/>
  <c r="H12" i="60" s="1"/>
  <c r="F17" i="60"/>
  <c r="H17" i="60" s="1"/>
  <c r="F11" i="60"/>
  <c r="H11" i="60" s="1"/>
  <c r="F9" i="60"/>
  <c r="H9" i="60" s="1"/>
  <c r="F16" i="60"/>
  <c r="H16" i="60" s="1"/>
  <c r="I12" i="60" l="1"/>
  <c r="G12" i="60"/>
  <c r="G10" i="60"/>
  <c r="I10" i="60"/>
  <c r="I17" i="60"/>
  <c r="G17" i="60"/>
  <c r="I7" i="60"/>
  <c r="G7" i="60"/>
  <c r="I26" i="60"/>
  <c r="G26" i="60"/>
  <c r="H27" i="60"/>
  <c r="I15" i="60"/>
  <c r="G15" i="60"/>
  <c r="G18" i="60" s="1"/>
  <c r="H18" i="60"/>
  <c r="G16" i="60"/>
  <c r="I16" i="60"/>
  <c r="G11" i="60"/>
  <c r="I11" i="60"/>
  <c r="I20" i="60"/>
  <c r="H22" i="60"/>
  <c r="G20" i="60"/>
  <c r="G21" i="60"/>
  <c r="I21" i="60"/>
  <c r="I24" i="60"/>
  <c r="G24" i="60"/>
  <c r="H13" i="60"/>
  <c r="I9" i="60"/>
  <c r="G9" i="60"/>
  <c r="H30" i="60" l="1"/>
  <c r="I27" i="60"/>
  <c r="I22" i="60"/>
  <c r="F22" i="60"/>
  <c r="G13" i="60"/>
  <c r="G22" i="60"/>
  <c r="G27" i="60" s="1"/>
  <c r="G30" i="60" s="1"/>
  <c r="F13" i="60"/>
  <c r="I13" i="60"/>
  <c r="F18" i="60"/>
  <c r="I18" i="60"/>
  <c r="F30" i="60" l="1"/>
  <c r="I30" i="60"/>
  <c r="C7" i="59" l="1"/>
  <c r="C8" i="59"/>
  <c r="C9" i="59"/>
  <c r="C10" i="59"/>
  <c r="C11" i="59"/>
  <c r="C12" i="59"/>
  <c r="C13" i="59"/>
  <c r="C14" i="59"/>
  <c r="C15" i="59"/>
  <c r="C16" i="59"/>
  <c r="C17" i="59"/>
  <c r="C18" i="59"/>
  <c r="C22" i="59"/>
  <c r="C23" i="59"/>
  <c r="C20" i="59" l="1"/>
  <c r="F33" i="12"/>
  <c r="F50" i="59"/>
  <c r="E58" i="59"/>
  <c r="F57" i="59"/>
  <c r="F56" i="59"/>
  <c r="F55" i="59"/>
  <c r="F54" i="59"/>
  <c r="F53" i="59"/>
  <c r="F58" i="59" s="1"/>
  <c r="E48" i="59"/>
  <c r="E61" i="59" s="1"/>
  <c r="E23" i="59" s="1"/>
  <c r="F40" i="59"/>
  <c r="E38" i="59"/>
  <c r="E60" i="59" s="1"/>
  <c r="D23" i="59" s="1"/>
  <c r="F37" i="59"/>
  <c r="F47" i="59" s="1"/>
  <c r="F36" i="59"/>
  <c r="F46" i="59" s="1"/>
  <c r="F35" i="59"/>
  <c r="F45" i="59" s="1"/>
  <c r="F34" i="59"/>
  <c r="F44" i="59" s="1"/>
  <c r="F33" i="59"/>
  <c r="F43" i="59" s="1"/>
  <c r="F32" i="59"/>
  <c r="F42" i="59" s="1"/>
  <c r="F30" i="59"/>
  <c r="E28" i="59"/>
  <c r="F27" i="59"/>
  <c r="E14" i="59" l="1"/>
  <c r="E13" i="59"/>
  <c r="D18" i="59"/>
  <c r="D12" i="59"/>
  <c r="D8" i="59"/>
  <c r="D13" i="59"/>
  <c r="F13" i="59" s="1"/>
  <c r="D7" i="59"/>
  <c r="E12" i="59"/>
  <c r="F12" i="59" s="1"/>
  <c r="D11" i="59"/>
  <c r="E15" i="59"/>
  <c r="D15" i="59"/>
  <c r="F23" i="59"/>
  <c r="E16" i="59"/>
  <c r="D16" i="59"/>
  <c r="E8" i="59"/>
  <c r="D17" i="59"/>
  <c r="E11" i="59"/>
  <c r="E17" i="59"/>
  <c r="F28" i="59"/>
  <c r="H17" i="59"/>
  <c r="H11" i="59"/>
  <c r="H15" i="59"/>
  <c r="H18" i="59"/>
  <c r="H22" i="59"/>
  <c r="H7" i="59"/>
  <c r="H8" i="59"/>
  <c r="H16" i="59"/>
  <c r="H13" i="59"/>
  <c r="H23" i="59"/>
  <c r="H14" i="59"/>
  <c r="H12" i="59"/>
  <c r="H9" i="59"/>
  <c r="H10" i="59"/>
  <c r="D14" i="59"/>
  <c r="F14" i="59" s="1"/>
  <c r="E18" i="59"/>
  <c r="F18" i="59" s="1"/>
  <c r="E7" i="59"/>
  <c r="E10" i="59"/>
  <c r="D10" i="59"/>
  <c r="F7" i="59" l="1"/>
  <c r="F8" i="59"/>
  <c r="F16" i="59"/>
  <c r="F17" i="59"/>
  <c r="F15" i="59"/>
  <c r="F10" i="59"/>
  <c r="F11" i="59"/>
  <c r="H20" i="59"/>
  <c r="E9" i="59"/>
  <c r="E20" i="59" s="1"/>
  <c r="D9" i="59"/>
  <c r="B20" i="59"/>
  <c r="F9" i="59" l="1"/>
  <c r="D20" i="59"/>
  <c r="D22" i="59"/>
  <c r="E22" i="59"/>
  <c r="G45" i="32" l="1"/>
  <c r="F22" i="59"/>
  <c r="F20" i="59"/>
  <c r="F45" i="32"/>
  <c r="A24" i="12" l="1"/>
  <c r="A20" i="13"/>
  <c r="A21" i="13" s="1"/>
  <c r="F18" i="12" l="1"/>
  <c r="F31" i="12"/>
  <c r="F29" i="12"/>
  <c r="F9" i="12"/>
  <c r="F20" i="12"/>
  <c r="F24" i="12"/>
  <c r="F14" i="12"/>
  <c r="F12" i="12"/>
  <c r="F25" i="12"/>
  <c r="F11" i="12"/>
  <c r="F13" i="12"/>
  <c r="F19" i="12"/>
  <c r="A4" i="32" l="1"/>
  <c r="P8" i="32"/>
  <c r="I5" i="55" l="1"/>
  <c r="F5" i="55" l="1"/>
  <c r="A2" i="55"/>
  <c r="H4" i="13" l="1"/>
  <c r="G4" i="13"/>
  <c r="J6" i="12"/>
  <c r="I6" i="12"/>
  <c r="G6" i="12"/>
  <c r="F6" i="12"/>
  <c r="A1" i="12"/>
  <c r="D6" i="12"/>
  <c r="B8" i="56"/>
  <c r="A4" i="12" l="1"/>
  <c r="E6" i="12"/>
  <c r="D8" i="32"/>
  <c r="A3" i="32"/>
  <c r="E8" i="32"/>
  <c r="O8" i="32"/>
  <c r="A3" i="55"/>
  <c r="G33" i="12" l="1"/>
  <c r="D29" i="13"/>
  <c r="D33" i="12" l="1"/>
  <c r="H29" i="13"/>
  <c r="H33" i="12"/>
  <c r="E201" i="55"/>
  <c r="E197" i="55"/>
  <c r="E193" i="55"/>
  <c r="E158" i="55"/>
  <c r="E154" i="55"/>
  <c r="E148" i="55"/>
  <c r="E144" i="55"/>
  <c r="E138" i="55"/>
  <c r="E134" i="55"/>
  <c r="E129" i="55"/>
  <c r="E125" i="55"/>
  <c r="E163" i="55"/>
  <c r="E200" i="55"/>
  <c r="E199" i="55"/>
  <c r="E198" i="55"/>
  <c r="E196" i="55"/>
  <c r="E195" i="55"/>
  <c r="E194" i="55"/>
  <c r="E192" i="55"/>
  <c r="E191" i="55"/>
  <c r="E190" i="55"/>
  <c r="E189" i="55"/>
  <c r="E188" i="55"/>
  <c r="E187" i="55"/>
  <c r="E185" i="55"/>
  <c r="E184" i="55"/>
  <c r="E182" i="55"/>
  <c r="E181" i="55"/>
  <c r="E180" i="55"/>
  <c r="E179" i="55"/>
  <c r="E177" i="55"/>
  <c r="E176" i="55"/>
  <c r="E175" i="55"/>
  <c r="E174" i="55"/>
  <c r="E173" i="55"/>
  <c r="E171" i="55"/>
  <c r="E170" i="55"/>
  <c r="E169" i="55"/>
  <c r="E168" i="55"/>
  <c r="E167" i="55"/>
  <c r="E166" i="55"/>
  <c r="E124" i="55"/>
  <c r="E126" i="55"/>
  <c r="E127" i="55"/>
  <c r="E128" i="55"/>
  <c r="E130" i="55"/>
  <c r="E132" i="55"/>
  <c r="E133" i="55"/>
  <c r="E135" i="55"/>
  <c r="E136" i="55"/>
  <c r="E137" i="55"/>
  <c r="E139" i="55"/>
  <c r="E140" i="55"/>
  <c r="E143" i="55"/>
  <c r="E145" i="55"/>
  <c r="E146" i="55"/>
  <c r="E147" i="55"/>
  <c r="E150" i="55"/>
  <c r="E152" i="55"/>
  <c r="E153" i="55"/>
  <c r="E155" i="55"/>
  <c r="E156" i="55"/>
  <c r="E157" i="55"/>
  <c r="E159" i="55"/>
  <c r="E160" i="55"/>
  <c r="E123" i="55"/>
  <c r="E122" i="55"/>
  <c r="E119" i="55"/>
  <c r="E118" i="55"/>
  <c r="E117" i="55"/>
  <c r="E116" i="55"/>
  <c r="E115" i="55"/>
  <c r="E114" i="55"/>
  <c r="E113" i="55"/>
  <c r="E112" i="55"/>
  <c r="E111" i="55"/>
  <c r="E109" i="55"/>
  <c r="E108" i="55"/>
  <c r="E107" i="55"/>
  <c r="E106" i="55"/>
  <c r="E105" i="55"/>
  <c r="E104" i="55"/>
  <c r="E102" i="55"/>
  <c r="E101" i="55"/>
  <c r="E100" i="55"/>
  <c r="E99" i="55"/>
  <c r="E98" i="55"/>
  <c r="E97" i="55"/>
  <c r="E96" i="55"/>
  <c r="E95" i="55"/>
  <c r="E94" i="55"/>
  <c r="E90" i="55"/>
  <c r="E89" i="55"/>
  <c r="E88" i="55"/>
  <c r="E87" i="55"/>
  <c r="E86" i="55"/>
  <c r="E85" i="55"/>
  <c r="E84" i="55"/>
  <c r="E83" i="55"/>
  <c r="E81" i="55"/>
  <c r="E80" i="55"/>
  <c r="E79" i="55"/>
  <c r="E78" i="55"/>
  <c r="E77" i="55"/>
  <c r="E75" i="55"/>
  <c r="E74" i="55"/>
  <c r="E73" i="55"/>
  <c r="E72" i="55"/>
  <c r="E71" i="55"/>
  <c r="E70" i="55"/>
  <c r="E69" i="55"/>
  <c r="E68" i="55"/>
  <c r="E67" i="55"/>
  <c r="E64" i="55"/>
  <c r="E63" i="55"/>
  <c r="E62" i="55"/>
  <c r="E61" i="55"/>
  <c r="E60" i="55"/>
  <c r="E59" i="55"/>
  <c r="E58" i="55"/>
  <c r="E56" i="55"/>
  <c r="E55" i="55"/>
  <c r="E54" i="55"/>
  <c r="E53" i="55"/>
  <c r="E52" i="55"/>
  <c r="E51" i="55"/>
  <c r="E50" i="55"/>
  <c r="E49" i="55"/>
  <c r="E45" i="55"/>
  <c r="E44" i="55"/>
  <c r="E43" i="55"/>
  <c r="E42" i="55"/>
  <c r="E41" i="55"/>
  <c r="E40" i="55"/>
  <c r="E39" i="55"/>
  <c r="E38" i="55"/>
  <c r="E37" i="55"/>
  <c r="E34" i="55"/>
  <c r="E33" i="55"/>
  <c r="E32" i="55"/>
  <c r="E31" i="55"/>
  <c r="E29" i="55"/>
  <c r="E28" i="55"/>
  <c r="E27" i="55"/>
  <c r="E37" i="13" l="1"/>
  <c r="E38" i="13" s="1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l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G18" i="55"/>
  <c r="G19" i="55"/>
  <c r="G16" i="55"/>
  <c r="G20" i="55"/>
  <c r="G14" i="55"/>
  <c r="G21" i="55"/>
  <c r="H20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5" i="55"/>
  <c r="H184" i="55"/>
  <c r="H177" i="55"/>
  <c r="H176" i="55"/>
  <c r="H175" i="55"/>
  <c r="H174" i="55"/>
  <c r="H173" i="55"/>
  <c r="H182" i="55"/>
  <c r="H181" i="55"/>
  <c r="H180" i="55"/>
  <c r="H179" i="55"/>
  <c r="H171" i="55"/>
  <c r="H170" i="55"/>
  <c r="H169" i="55"/>
  <c r="H168" i="55"/>
  <c r="H167" i="55"/>
  <c r="H166" i="55"/>
  <c r="H163" i="55"/>
  <c r="H20" i="55" s="1"/>
  <c r="H160" i="55"/>
  <c r="H159" i="55"/>
  <c r="H158" i="55"/>
  <c r="H157" i="55"/>
  <c r="H156" i="55"/>
  <c r="H155" i="55"/>
  <c r="H154" i="55"/>
  <c r="H153" i="55"/>
  <c r="H152" i="55"/>
  <c r="H150" i="55"/>
  <c r="H148" i="55"/>
  <c r="H147" i="55"/>
  <c r="H146" i="55"/>
  <c r="H145" i="55"/>
  <c r="H144" i="55"/>
  <c r="H143" i="55"/>
  <c r="H140" i="55"/>
  <c r="H139" i="55"/>
  <c r="H138" i="55"/>
  <c r="H137" i="55"/>
  <c r="H136" i="55"/>
  <c r="H135" i="55"/>
  <c r="H134" i="55"/>
  <c r="H133" i="55"/>
  <c r="H132" i="55"/>
  <c r="H130" i="55"/>
  <c r="H129" i="55"/>
  <c r="H128" i="55"/>
  <c r="H127" i="55"/>
  <c r="H126" i="55"/>
  <c r="H125" i="55"/>
  <c r="H124" i="55"/>
  <c r="H123" i="55"/>
  <c r="H122" i="55"/>
  <c r="H64" i="55"/>
  <c r="H63" i="55"/>
  <c r="H62" i="55"/>
  <c r="H61" i="55"/>
  <c r="H60" i="55"/>
  <c r="H59" i="55"/>
  <c r="H58" i="55"/>
  <c r="H56" i="55"/>
  <c r="H55" i="55"/>
  <c r="H54" i="55"/>
  <c r="H53" i="55"/>
  <c r="H52" i="55"/>
  <c r="H51" i="55"/>
  <c r="H50" i="55"/>
  <c r="H49" i="55"/>
  <c r="H44" i="55"/>
  <c r="H43" i="55"/>
  <c r="H42" i="55"/>
  <c r="H41" i="55"/>
  <c r="H40" i="55"/>
  <c r="H39" i="55"/>
  <c r="H38" i="55"/>
  <c r="H37" i="55"/>
  <c r="H34" i="55"/>
  <c r="H33" i="55"/>
  <c r="H32" i="55"/>
  <c r="H31" i="55"/>
  <c r="H29" i="55"/>
  <c r="H28" i="55"/>
  <c r="H27" i="55"/>
  <c r="H25" i="55"/>
  <c r="B28" i="55"/>
  <c r="B29" i="55" s="1"/>
  <c r="C28" i="55"/>
  <c r="C29" i="55" s="1"/>
  <c r="C31" i="55" s="1"/>
  <c r="C32" i="55" s="1"/>
  <c r="C33" i="55" s="1"/>
  <c r="C34" i="55" s="1"/>
  <c r="B32" i="55"/>
  <c r="B33" i="55" s="1"/>
  <c r="B34" i="55" s="1"/>
  <c r="B50" i="55"/>
  <c r="B51" i="55" s="1"/>
  <c r="B52" i="55" s="1"/>
  <c r="B53" i="55" s="1"/>
  <c r="C62" i="55"/>
  <c r="C63" i="55" s="1"/>
  <c r="C64" i="55" s="1"/>
  <c r="B68" i="55"/>
  <c r="B69" i="55" s="1"/>
  <c r="B70" i="55" s="1"/>
  <c r="B71" i="55" s="1"/>
  <c r="B72" i="55" s="1"/>
  <c r="B73" i="55" s="1"/>
  <c r="B74" i="55" s="1"/>
  <c r="B75" i="55" s="1"/>
  <c r="B77" i="55" s="1"/>
  <c r="B78" i="55" s="1"/>
  <c r="B79" i="55" s="1"/>
  <c r="B80" i="55" s="1"/>
  <c r="B81" i="55" s="1"/>
  <c r="B83" i="55" s="1"/>
  <c r="B84" i="55" s="1"/>
  <c r="B85" i="55" s="1"/>
  <c r="B86" i="55" s="1"/>
  <c r="B87" i="55" s="1"/>
  <c r="B88" i="55" s="1"/>
  <c r="B89" i="55" s="1"/>
  <c r="B90" i="55" s="1"/>
  <c r="B91" i="55" s="1"/>
  <c r="B95" i="55"/>
  <c r="B96" i="55" s="1"/>
  <c r="B97" i="55" s="1"/>
  <c r="B98" i="55" s="1"/>
  <c r="B99" i="55" s="1"/>
  <c r="B100" i="55" s="1"/>
  <c r="B101" i="55" s="1"/>
  <c r="B102" i="55" s="1"/>
  <c r="B104" i="55" s="1"/>
  <c r="B105" i="55" s="1"/>
  <c r="B106" i="55" s="1"/>
  <c r="B107" i="55" s="1"/>
  <c r="B108" i="55" s="1"/>
  <c r="B109" i="55" s="1"/>
  <c r="B111" i="55" s="1"/>
  <c r="B112" i="55" s="1"/>
  <c r="B113" i="55" s="1"/>
  <c r="B114" i="55" s="1"/>
  <c r="B115" i="55" s="1"/>
  <c r="B116" i="55" s="1"/>
  <c r="B117" i="55" s="1"/>
  <c r="B118" i="55" s="1"/>
  <c r="B119" i="55" s="1"/>
  <c r="B123" i="55"/>
  <c r="B124" i="55" s="1"/>
  <c r="B125" i="55" s="1"/>
  <c r="B126" i="55" s="1"/>
  <c r="B127" i="55" s="1"/>
  <c r="B128" i="55" s="1"/>
  <c r="B129" i="55" s="1"/>
  <c r="B130" i="55" s="1"/>
  <c r="B132" i="55" s="1"/>
  <c r="B133" i="55" s="1"/>
  <c r="B134" i="55" s="1"/>
  <c r="B135" i="55" s="1"/>
  <c r="B136" i="55" s="1"/>
  <c r="B137" i="55" s="1"/>
  <c r="B138" i="55" s="1"/>
  <c r="B139" i="55" s="1"/>
  <c r="B140" i="55" s="1"/>
  <c r="B144" i="55"/>
  <c r="B145" i="55" s="1"/>
  <c r="B146" i="55" s="1"/>
  <c r="B147" i="55" s="1"/>
  <c r="B148" i="55" s="1"/>
  <c r="B150" i="55" s="1"/>
  <c r="B167" i="55"/>
  <c r="B168" i="55" s="1"/>
  <c r="B169" i="55" s="1"/>
  <c r="B170" i="55" s="1"/>
  <c r="B171" i="55" s="1"/>
  <c r="B174" i="55"/>
  <c r="B175" i="55" s="1"/>
  <c r="B176" i="55" s="1"/>
  <c r="B177" i="55" s="1"/>
  <c r="B184" i="55"/>
  <c r="B185" i="55" s="1"/>
  <c r="B188" i="55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B200" i="55" s="1"/>
  <c r="B201" i="55" s="1"/>
  <c r="A46" i="55" l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A129" i="55" s="1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A177" i="55" s="1"/>
  <c r="A178" i="55" s="1"/>
  <c r="A179" i="55" s="1"/>
  <c r="A180" i="55" s="1"/>
  <c r="A181" i="55" s="1"/>
  <c r="A182" i="55" s="1"/>
  <c r="A183" i="55" s="1"/>
  <c r="A184" i="55" s="1"/>
  <c r="H14" i="55"/>
  <c r="H16" i="55"/>
  <c r="H18" i="55"/>
  <c r="H21" i="55"/>
  <c r="H19" i="55"/>
  <c r="B58" i="55"/>
  <c r="B54" i="55"/>
  <c r="B55" i="55" s="1"/>
  <c r="B179" i="55"/>
  <c r="B180" i="55" s="1"/>
  <c r="B181" i="55" s="1"/>
  <c r="B182" i="55" s="1"/>
  <c r="A185" i="55" l="1"/>
  <c r="A186" i="55" s="1"/>
  <c r="A187" i="55" s="1"/>
  <c r="A188" i="55" s="1"/>
  <c r="A189" i="55" s="1"/>
  <c r="A190" i="55" s="1"/>
  <c r="A191" i="55" s="1"/>
  <c r="A192" i="55" s="1"/>
  <c r="A193" i="55" s="1"/>
  <c r="A194" i="55" s="1"/>
  <c r="A195" i="55" s="1"/>
  <c r="A196" i="55" s="1"/>
  <c r="A197" i="55" s="1"/>
  <c r="A198" i="55" s="1"/>
  <c r="A199" i="55" s="1"/>
  <c r="A200" i="55" s="1"/>
  <c r="A201" i="55" s="1"/>
  <c r="B59" i="55"/>
  <c r="B56" i="55"/>
  <c r="B61" i="55" s="1"/>
  <c r="B62" i="55" s="1"/>
  <c r="B63" i="55" s="1"/>
  <c r="B64" i="55" s="1"/>
  <c r="B60" i="55"/>
  <c r="E38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2" i="13" s="1"/>
  <c r="A23" i="13" s="1"/>
  <c r="A24" i="13" s="1"/>
  <c r="A25" i="13" s="1"/>
  <c r="A26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27" i="13" l="1"/>
  <c r="A28" i="13" s="1"/>
  <c r="A29" i="13" s="1"/>
  <c r="A30" i="13" s="1"/>
  <c r="A31" i="13" s="1"/>
  <c r="A32" i="13" s="1"/>
  <c r="A33" i="13" s="1"/>
  <c r="A34" i="13" s="1"/>
  <c r="A35" i="13" s="1"/>
  <c r="A36" i="12"/>
  <c r="A37" i="12" s="1"/>
  <c r="A38" i="12" s="1"/>
  <c r="A39" i="12" s="1"/>
  <c r="A40" i="12" s="1"/>
  <c r="A36" i="13" l="1"/>
  <c r="A37" i="13" s="1"/>
  <c r="A38" i="13" s="1"/>
  <c r="A39" i="13" s="1"/>
  <c r="A40" i="13" s="1"/>
  <c r="A41" i="13" s="1"/>
  <c r="A42" i="13" s="1"/>
  <c r="E22" i="13" l="1"/>
  <c r="D26" i="13" l="1"/>
  <c r="A1" i="13" l="1"/>
  <c r="A2" i="13"/>
  <c r="D4" i="13"/>
  <c r="D16" i="13" l="1"/>
  <c r="D17" i="13"/>
  <c r="D12" i="13"/>
  <c r="D7" i="13"/>
  <c r="D20" i="13" l="1"/>
  <c r="D24" i="13"/>
  <c r="D21" i="13"/>
  <c r="D15" i="13"/>
  <c r="D9" i="12"/>
  <c r="D33" i="13"/>
  <c r="D20" i="12"/>
  <c r="D14" i="12"/>
  <c r="D19" i="12"/>
  <c r="D11" i="13"/>
  <c r="D24" i="12" l="1"/>
  <c r="D25" i="12"/>
  <c r="D29" i="12"/>
  <c r="D13" i="12"/>
  <c r="D38" i="12"/>
  <c r="D18" i="12"/>
  <c r="D31" i="12" l="1"/>
  <c r="D22" i="13"/>
  <c r="D27" i="12" l="1"/>
  <c r="D22" i="12"/>
  <c r="D18" i="13"/>
  <c r="H71" i="55" l="1"/>
  <c r="H89" i="55"/>
  <c r="H95" i="55"/>
  <c r="H108" i="55"/>
  <c r="H68" i="55"/>
  <c r="H81" i="55"/>
  <c r="H86" i="55"/>
  <c r="H100" i="55"/>
  <c r="H105" i="55"/>
  <c r="H113" i="55"/>
  <c r="H118" i="55"/>
  <c r="H73" i="55"/>
  <c r="H78" i="55"/>
  <c r="H83" i="55"/>
  <c r="H91" i="55"/>
  <c r="H97" i="55"/>
  <c r="H115" i="55"/>
  <c r="H70" i="55"/>
  <c r="H88" i="55"/>
  <c r="H94" i="55"/>
  <c r="H102" i="55"/>
  <c r="H107" i="55"/>
  <c r="H117" i="55"/>
  <c r="H75" i="55"/>
  <c r="H80" i="55"/>
  <c r="H85" i="55"/>
  <c r="H99" i="55"/>
  <c r="H104" i="55"/>
  <c r="H112" i="55"/>
  <c r="H72" i="55"/>
  <c r="H77" i="55"/>
  <c r="H90" i="55"/>
  <c r="H96" i="55"/>
  <c r="H114" i="55"/>
  <c r="H119" i="55"/>
  <c r="H69" i="55"/>
  <c r="H87" i="55"/>
  <c r="H101" i="55"/>
  <c r="H106" i="55"/>
  <c r="H109" i="55"/>
  <c r="H74" i="55"/>
  <c r="H79" i="55"/>
  <c r="H84" i="55"/>
  <c r="H98" i="55"/>
  <c r="H111" i="55"/>
  <c r="H116" i="55"/>
  <c r="G17" i="55" l="1"/>
  <c r="G22" i="55" s="1"/>
  <c r="H67" i="55"/>
  <c r="H17" i="55" l="1"/>
  <c r="H22" i="55" s="1"/>
  <c r="H10" i="55"/>
  <c r="D9" i="13" l="1"/>
  <c r="D11" i="12" l="1"/>
  <c r="D10" i="13"/>
  <c r="D12" i="12" l="1"/>
  <c r="D13" i="13"/>
  <c r="D27" i="13" s="1"/>
  <c r="D30" i="13" s="1"/>
  <c r="D16" i="12" l="1"/>
  <c r="D35" i="12" s="1"/>
  <c r="E45" i="32"/>
  <c r="D34" i="13"/>
  <c r="D40" i="12" l="1"/>
  <c r="E19" i="12" l="1"/>
  <c r="E14" i="12"/>
  <c r="E25" i="12"/>
  <c r="E20" i="12"/>
  <c r="E31" i="12"/>
  <c r="E29" i="12"/>
  <c r="I29" i="12" l="1"/>
  <c r="I31" i="12"/>
  <c r="I25" i="12"/>
  <c r="I19" i="12"/>
  <c r="I14" i="12"/>
  <c r="I20" i="12"/>
  <c r="E12" i="12"/>
  <c r="E13" i="12"/>
  <c r="I12" i="12" l="1"/>
  <c r="I13" i="12"/>
  <c r="Q30" i="32"/>
  <c r="E24" i="12"/>
  <c r="Q19" i="32" l="1"/>
  <c r="E11" i="12"/>
  <c r="E18" i="12"/>
  <c r="Q25" i="32"/>
  <c r="E27" i="12"/>
  <c r="I24" i="12"/>
  <c r="I27" i="12" l="1"/>
  <c r="E9" i="12"/>
  <c r="Q12" i="32"/>
  <c r="I18" i="12"/>
  <c r="E22" i="12"/>
  <c r="I11" i="12"/>
  <c r="E16" i="12"/>
  <c r="I9" i="12" l="1"/>
  <c r="I22" i="12"/>
  <c r="I16" i="12"/>
  <c r="F27" i="12"/>
  <c r="F16" i="12" l="1"/>
  <c r="F22" i="12"/>
  <c r="Q38" i="32" l="1"/>
  <c r="Q42" i="32" s="1"/>
  <c r="E33" i="12" l="1"/>
  <c r="E35" i="12" l="1"/>
  <c r="E40" i="12" s="1"/>
  <c r="I33" i="12"/>
  <c r="I35" i="12" s="1"/>
  <c r="J33" i="12"/>
  <c r="K33" i="12" l="1"/>
  <c r="Q45" i="32"/>
  <c r="L33" i="12" l="1"/>
  <c r="F35" i="12"/>
  <c r="L36" i="32" l="1"/>
  <c r="M36" i="32" s="1"/>
  <c r="E29" i="13" s="1"/>
  <c r="G29" i="13" s="1"/>
  <c r="L18" i="32"/>
  <c r="M18" i="32" s="1"/>
  <c r="E12" i="13" s="1"/>
  <c r="L23" i="32"/>
  <c r="L22" i="32"/>
  <c r="L24" i="32"/>
  <c r="M24" i="32" l="1"/>
  <c r="E17" i="13" s="1"/>
  <c r="M23" i="32"/>
  <c r="E16" i="13" s="1"/>
  <c r="M22" i="32"/>
  <c r="L25" i="32"/>
  <c r="J25" i="32"/>
  <c r="L11" i="32"/>
  <c r="M11" i="32" s="1"/>
  <c r="M25" i="32" l="1"/>
  <c r="E15" i="13"/>
  <c r="L12" i="32"/>
  <c r="J12" i="32"/>
  <c r="E7" i="13" l="1"/>
  <c r="M12" i="32"/>
  <c r="E18" i="13"/>
  <c r="L17" i="32" l="1"/>
  <c r="M17" i="32" s="1"/>
  <c r="E11" i="13" s="1"/>
  <c r="L15" i="32" l="1"/>
  <c r="L16" i="32"/>
  <c r="M16" i="32" s="1"/>
  <c r="E10" i="13" s="1"/>
  <c r="L19" i="32" l="1"/>
  <c r="L38" i="32" s="1"/>
  <c r="L42" i="32" s="1"/>
  <c r="M15" i="32"/>
  <c r="J19" i="32"/>
  <c r="J38" i="32" s="1"/>
  <c r="J42" i="32" s="1"/>
  <c r="M42" i="32" l="1"/>
  <c r="L45" i="32"/>
  <c r="E9" i="13"/>
  <c r="M19" i="32"/>
  <c r="M38" i="32"/>
  <c r="J45" i="32"/>
  <c r="M44" i="32" l="1"/>
  <c r="M45" i="32" s="1"/>
  <c r="E13" i="13"/>
  <c r="E27" i="13" s="1"/>
  <c r="E40" i="13" s="1"/>
  <c r="E42" i="13" s="1"/>
  <c r="F7" i="13" s="1"/>
  <c r="F15" i="13" l="1"/>
  <c r="H7" i="13"/>
  <c r="G7" i="13" s="1"/>
  <c r="F27" i="13"/>
  <c r="E30" i="13"/>
  <c r="E34" i="13" l="1"/>
  <c r="F20" i="13"/>
  <c r="F26" i="13"/>
  <c r="F24" i="13"/>
  <c r="F21" i="13"/>
  <c r="F16" i="13"/>
  <c r="F12" i="13"/>
  <c r="F17" i="13"/>
  <c r="F11" i="13"/>
  <c r="F10" i="13"/>
  <c r="F9" i="13"/>
  <c r="G14" i="12" l="1"/>
  <c r="H12" i="13"/>
  <c r="H11" i="13"/>
  <c r="G13" i="12"/>
  <c r="H15" i="13"/>
  <c r="G18" i="12"/>
  <c r="G19" i="12"/>
  <c r="H16" i="13"/>
  <c r="H24" i="13"/>
  <c r="G29" i="12"/>
  <c r="H9" i="13"/>
  <c r="G11" i="12"/>
  <c r="G9" i="12"/>
  <c r="H17" i="13"/>
  <c r="G20" i="12"/>
  <c r="H21" i="13"/>
  <c r="G25" i="12"/>
  <c r="H26" i="13"/>
  <c r="G31" i="12"/>
  <c r="H20" i="13"/>
  <c r="G24" i="12"/>
  <c r="H10" i="13"/>
  <c r="G12" i="12"/>
  <c r="F92" i="55" l="1"/>
  <c r="I92" i="55" s="1"/>
  <c r="F46" i="55"/>
  <c r="I46" i="55" s="1"/>
  <c r="J9" i="12"/>
  <c r="K9" i="12" s="1"/>
  <c r="H9" i="12"/>
  <c r="H25" i="12"/>
  <c r="J25" i="12"/>
  <c r="K25" i="12" s="1"/>
  <c r="L25" i="12" s="1"/>
  <c r="H24" i="12"/>
  <c r="J24" i="12"/>
  <c r="I20" i="13"/>
  <c r="G20" i="13"/>
  <c r="H22" i="13"/>
  <c r="I24" i="13"/>
  <c r="G24" i="13"/>
  <c r="I11" i="55"/>
  <c r="J11" i="55" s="1"/>
  <c r="J10" i="55" s="1"/>
  <c r="G16" i="13"/>
  <c r="I16" i="13"/>
  <c r="H20" i="12"/>
  <c r="J20" i="12"/>
  <c r="K20" i="12" s="1"/>
  <c r="L20" i="12" s="1"/>
  <c r="H11" i="12"/>
  <c r="J11" i="12"/>
  <c r="G10" i="13"/>
  <c r="I10" i="13"/>
  <c r="G9" i="13"/>
  <c r="H13" i="13"/>
  <c r="I9" i="13"/>
  <c r="H31" i="12"/>
  <c r="J31" i="12"/>
  <c r="K31" i="12" s="1"/>
  <c r="L31" i="12" s="1"/>
  <c r="G26" i="13"/>
  <c r="I26" i="13"/>
  <c r="H13" i="12"/>
  <c r="J13" i="12"/>
  <c r="K13" i="12" s="1"/>
  <c r="L13" i="12" s="1"/>
  <c r="G17" i="13"/>
  <c r="I17" i="13"/>
  <c r="G11" i="13"/>
  <c r="I11" i="13"/>
  <c r="I7" i="13"/>
  <c r="G12" i="13"/>
  <c r="I12" i="13"/>
  <c r="H12" i="12"/>
  <c r="J12" i="12"/>
  <c r="K12" i="12" s="1"/>
  <c r="L12" i="12" s="1"/>
  <c r="H29" i="12"/>
  <c r="J29" i="12"/>
  <c r="K29" i="12" s="1"/>
  <c r="L29" i="12" s="1"/>
  <c r="H19" i="12"/>
  <c r="J19" i="12"/>
  <c r="K19" i="12" s="1"/>
  <c r="L19" i="12" s="1"/>
  <c r="H18" i="12"/>
  <c r="J18" i="12"/>
  <c r="I21" i="13"/>
  <c r="G21" i="13"/>
  <c r="H18" i="13"/>
  <c r="G15" i="13"/>
  <c r="I15" i="13"/>
  <c r="F31" i="59"/>
  <c r="H14" i="12"/>
  <c r="J14" i="12"/>
  <c r="K14" i="12" s="1"/>
  <c r="L14" i="12" s="1"/>
  <c r="F25" i="55" l="1"/>
  <c r="F163" i="55"/>
  <c r="G18" i="13"/>
  <c r="F13" i="13"/>
  <c r="I13" i="13"/>
  <c r="F22" i="13"/>
  <c r="I22" i="13"/>
  <c r="K24" i="12"/>
  <c r="J27" i="12"/>
  <c r="G27" i="12" s="1"/>
  <c r="H27" i="12" s="1"/>
  <c r="F94" i="55"/>
  <c r="I94" i="55" s="1"/>
  <c r="F70" i="55"/>
  <c r="I70" i="55" s="1"/>
  <c r="F167" i="55"/>
  <c r="I167" i="55" s="1"/>
  <c r="F150" i="55"/>
  <c r="I150" i="55" s="1"/>
  <c r="F50" i="55"/>
  <c r="I50" i="55" s="1"/>
  <c r="F69" i="55"/>
  <c r="I69" i="55" s="1"/>
  <c r="F199" i="55"/>
  <c r="I199" i="55" s="1"/>
  <c r="F135" i="55"/>
  <c r="I135" i="55" s="1"/>
  <c r="F158" i="55"/>
  <c r="I158" i="55" s="1"/>
  <c r="F136" i="55"/>
  <c r="I136" i="55" s="1"/>
  <c r="F79" i="55"/>
  <c r="I79" i="55" s="1"/>
  <c r="F84" i="55"/>
  <c r="I84" i="55" s="1"/>
  <c r="F81" i="55"/>
  <c r="I81" i="55" s="1"/>
  <c r="F113" i="55"/>
  <c r="I113" i="55" s="1"/>
  <c r="F112" i="55"/>
  <c r="I112" i="55" s="1"/>
  <c r="F193" i="55"/>
  <c r="I193" i="55" s="1"/>
  <c r="F64" i="55"/>
  <c r="I64" i="55" s="1"/>
  <c r="F170" i="55"/>
  <c r="I170" i="55" s="1"/>
  <c r="F102" i="55"/>
  <c r="I102" i="55" s="1"/>
  <c r="F126" i="55"/>
  <c r="I126" i="55" s="1"/>
  <c r="F173" i="55"/>
  <c r="I173" i="55" s="1"/>
  <c r="F134" i="55"/>
  <c r="I134" i="55" s="1"/>
  <c r="F189" i="55"/>
  <c r="I189" i="55" s="1"/>
  <c r="F192" i="55"/>
  <c r="I192" i="55" s="1"/>
  <c r="F138" i="55"/>
  <c r="I138" i="55" s="1"/>
  <c r="F97" i="55"/>
  <c r="I97" i="55" s="1"/>
  <c r="F153" i="55"/>
  <c r="I153" i="55" s="1"/>
  <c r="F105" i="55"/>
  <c r="I105" i="55" s="1"/>
  <c r="F115" i="55"/>
  <c r="I115" i="55" s="1"/>
  <c r="F58" i="55"/>
  <c r="I58" i="55" s="1"/>
  <c r="F154" i="55"/>
  <c r="I154" i="55" s="1"/>
  <c r="F169" i="55"/>
  <c r="I169" i="55" s="1"/>
  <c r="F156" i="55"/>
  <c r="I156" i="55" s="1"/>
  <c r="F39" i="55"/>
  <c r="I39" i="55" s="1"/>
  <c r="F55" i="55"/>
  <c r="I55" i="55" s="1"/>
  <c r="F44" i="55"/>
  <c r="I44" i="55" s="1"/>
  <c r="F144" i="55"/>
  <c r="I144" i="55" s="1"/>
  <c r="F42" i="55"/>
  <c r="I42" i="55" s="1"/>
  <c r="F29" i="55"/>
  <c r="I29" i="55" s="1"/>
  <c r="F200" i="55"/>
  <c r="I200" i="55" s="1"/>
  <c r="F96" i="55"/>
  <c r="I96" i="55" s="1"/>
  <c r="F75" i="55"/>
  <c r="I75" i="55" s="1"/>
  <c r="F111" i="55"/>
  <c r="I111" i="55" s="1"/>
  <c r="F176" i="55"/>
  <c r="I176" i="55" s="1"/>
  <c r="F99" i="55"/>
  <c r="I99" i="55" s="1"/>
  <c r="F191" i="55"/>
  <c r="I191" i="55" s="1"/>
  <c r="F49" i="55"/>
  <c r="I49" i="55" s="1"/>
  <c r="F194" i="55"/>
  <c r="I194" i="55" s="1"/>
  <c r="F41" i="55"/>
  <c r="I41" i="55" s="1"/>
  <c r="F117" i="55"/>
  <c r="I117" i="55" s="1"/>
  <c r="F71" i="55"/>
  <c r="I71" i="55" s="1"/>
  <c r="F159" i="55"/>
  <c r="I159" i="55" s="1"/>
  <c r="F68" i="55"/>
  <c r="I68" i="55" s="1"/>
  <c r="F80" i="55"/>
  <c r="I80" i="55" s="1"/>
  <c r="F196" i="55"/>
  <c r="I196" i="55" s="1"/>
  <c r="F101" i="55"/>
  <c r="I101" i="55" s="1"/>
  <c r="F95" i="55"/>
  <c r="I95" i="55" s="1"/>
  <c r="F198" i="55"/>
  <c r="I198" i="55" s="1"/>
  <c r="F195" i="55"/>
  <c r="I195" i="55" s="1"/>
  <c r="F72" i="55"/>
  <c r="I72" i="55" s="1"/>
  <c r="F38" i="55"/>
  <c r="I38" i="55" s="1"/>
  <c r="F63" i="55"/>
  <c r="I63" i="55" s="1"/>
  <c r="F51" i="55"/>
  <c r="I51" i="55" s="1"/>
  <c r="F168" i="55"/>
  <c r="I168" i="55" s="1"/>
  <c r="F90" i="55"/>
  <c r="I90" i="55" s="1"/>
  <c r="F125" i="55"/>
  <c r="I125" i="55" s="1"/>
  <c r="F56" i="55"/>
  <c r="I56" i="55" s="1"/>
  <c r="F145" i="55"/>
  <c r="I145" i="55" s="1"/>
  <c r="F184" i="55"/>
  <c r="I184" i="55" s="1"/>
  <c r="F53" i="55"/>
  <c r="I53" i="55" s="1"/>
  <c r="F86" i="55"/>
  <c r="I86" i="55" s="1"/>
  <c r="F197" i="55"/>
  <c r="I197" i="55" s="1"/>
  <c r="F28" i="55"/>
  <c r="I28" i="55" s="1"/>
  <c r="F27" i="55"/>
  <c r="I27" i="55" s="1"/>
  <c r="F37" i="55"/>
  <c r="I37" i="55" s="1"/>
  <c r="F87" i="55"/>
  <c r="I87" i="55" s="1"/>
  <c r="F61" i="55"/>
  <c r="I61" i="55" s="1"/>
  <c r="I163" i="55"/>
  <c r="I20" i="55" s="1"/>
  <c r="F107" i="55"/>
  <c r="I107" i="55" s="1"/>
  <c r="F182" i="55"/>
  <c r="I182" i="55" s="1"/>
  <c r="F174" i="55"/>
  <c r="I174" i="55" s="1"/>
  <c r="F175" i="55"/>
  <c r="I175" i="55" s="1"/>
  <c r="F128" i="55"/>
  <c r="I128" i="55" s="1"/>
  <c r="F114" i="55"/>
  <c r="I114" i="55" s="1"/>
  <c r="F123" i="55"/>
  <c r="I123" i="55" s="1"/>
  <c r="F133" i="55"/>
  <c r="I133" i="55" s="1"/>
  <c r="F146" i="55"/>
  <c r="I146" i="55" s="1"/>
  <c r="F129" i="55"/>
  <c r="I129" i="55" s="1"/>
  <c r="F143" i="55"/>
  <c r="I143" i="55" s="1"/>
  <c r="F67" i="55"/>
  <c r="I67" i="55" s="1"/>
  <c r="F73" i="55"/>
  <c r="I73" i="55" s="1"/>
  <c r="F127" i="55"/>
  <c r="I127" i="55" s="1"/>
  <c r="F109" i="55"/>
  <c r="I109" i="55" s="1"/>
  <c r="F152" i="55"/>
  <c r="I152" i="55" s="1"/>
  <c r="F166" i="55"/>
  <c r="I166" i="55" s="1"/>
  <c r="F130" i="55"/>
  <c r="I130" i="55" s="1"/>
  <c r="I25" i="55"/>
  <c r="F98" i="55"/>
  <c r="I98" i="55" s="1"/>
  <c r="F33" i="55"/>
  <c r="I33" i="55" s="1"/>
  <c r="F181" i="55"/>
  <c r="I181" i="55" s="1"/>
  <c r="F201" i="55"/>
  <c r="I201" i="55" s="1"/>
  <c r="F155" i="55"/>
  <c r="I155" i="55" s="1"/>
  <c r="F78" i="55"/>
  <c r="I78" i="55" s="1"/>
  <c r="F62" i="55"/>
  <c r="I62" i="55" s="1"/>
  <c r="F91" i="55"/>
  <c r="I91" i="55" s="1"/>
  <c r="F187" i="55"/>
  <c r="I187" i="55" s="1"/>
  <c r="F43" i="55"/>
  <c r="I43" i="55" s="1"/>
  <c r="F118" i="55"/>
  <c r="I118" i="55" s="1"/>
  <c r="F83" i="55"/>
  <c r="I83" i="55" s="1"/>
  <c r="F124" i="55"/>
  <c r="I124" i="55" s="1"/>
  <c r="F74" i="55"/>
  <c r="I74" i="55" s="1"/>
  <c r="F54" i="55"/>
  <c r="I54" i="55" s="1"/>
  <c r="F32" i="55"/>
  <c r="I32" i="55" s="1"/>
  <c r="F132" i="55"/>
  <c r="I132" i="55" s="1"/>
  <c r="F116" i="55"/>
  <c r="I116" i="55" s="1"/>
  <c r="F190" i="55"/>
  <c r="I190" i="55" s="1"/>
  <c r="F106" i="55"/>
  <c r="I106" i="55" s="1"/>
  <c r="F171" i="55"/>
  <c r="I171" i="55" s="1"/>
  <c r="F77" i="55"/>
  <c r="I77" i="55" s="1"/>
  <c r="F108" i="55"/>
  <c r="I108" i="55" s="1"/>
  <c r="F140" i="55"/>
  <c r="I140" i="55" s="1"/>
  <c r="F60" i="55"/>
  <c r="I60" i="55" s="1"/>
  <c r="F160" i="55"/>
  <c r="I160" i="55" s="1"/>
  <c r="F100" i="55"/>
  <c r="I100" i="55" s="1"/>
  <c r="F34" i="55"/>
  <c r="I34" i="55" s="1"/>
  <c r="F185" i="55"/>
  <c r="I185" i="55" s="1"/>
  <c r="F157" i="55"/>
  <c r="I157" i="55" s="1"/>
  <c r="F31" i="55"/>
  <c r="I31" i="55" s="1"/>
  <c r="F40" i="55"/>
  <c r="I40" i="55" s="1"/>
  <c r="F180" i="55"/>
  <c r="I180" i="55" s="1"/>
  <c r="F137" i="55"/>
  <c r="I137" i="55" s="1"/>
  <c r="F177" i="55"/>
  <c r="I177" i="55" s="1"/>
  <c r="F188" i="55"/>
  <c r="I188" i="55" s="1"/>
  <c r="F59" i="55"/>
  <c r="I59" i="55" s="1"/>
  <c r="F52" i="55"/>
  <c r="I52" i="55" s="1"/>
  <c r="F147" i="55"/>
  <c r="I147" i="55" s="1"/>
  <c r="F148" i="55"/>
  <c r="I148" i="55" s="1"/>
  <c r="F139" i="55"/>
  <c r="I139" i="55" s="1"/>
  <c r="F88" i="55"/>
  <c r="I88" i="55" s="1"/>
  <c r="F104" i="55"/>
  <c r="I104" i="55" s="1"/>
  <c r="F119" i="55"/>
  <c r="I119" i="55" s="1"/>
  <c r="F89" i="55"/>
  <c r="I89" i="55" s="1"/>
  <c r="F122" i="55"/>
  <c r="I122" i="55" s="1"/>
  <c r="F45" i="55"/>
  <c r="I45" i="55" s="1"/>
  <c r="F179" i="55"/>
  <c r="I179" i="55" s="1"/>
  <c r="F85" i="55"/>
  <c r="I85" i="55" s="1"/>
  <c r="F18" i="13"/>
  <c r="I18" i="13"/>
  <c r="J22" i="12"/>
  <c r="G22" i="12" s="1"/>
  <c r="H22" i="12" s="1"/>
  <c r="K18" i="12"/>
  <c r="G22" i="13"/>
  <c r="F38" i="59"/>
  <c r="F60" i="59" s="1"/>
  <c r="F41" i="59"/>
  <c r="F48" i="59" s="1"/>
  <c r="F61" i="59" s="1"/>
  <c r="G13" i="13"/>
  <c r="K11" i="12"/>
  <c r="J16" i="12"/>
  <c r="G16" i="12" s="1"/>
  <c r="H16" i="12" s="1"/>
  <c r="H27" i="13"/>
  <c r="I15" i="55" l="1"/>
  <c r="J35" i="12"/>
  <c r="G35" i="12" s="1"/>
  <c r="H35" i="12" s="1"/>
  <c r="G27" i="13"/>
  <c r="G30" i="13" s="1"/>
  <c r="I14" i="55"/>
  <c r="I10" i="55"/>
  <c r="I12" i="55" s="1"/>
  <c r="I18" i="55"/>
  <c r="I21" i="55"/>
  <c r="I16" i="55"/>
  <c r="K27" i="12"/>
  <c r="L27" i="12" s="1"/>
  <c r="L24" i="12"/>
  <c r="I19" i="55"/>
  <c r="L9" i="12"/>
  <c r="K22" i="12"/>
  <c r="L22" i="12" s="1"/>
  <c r="L18" i="12"/>
  <c r="H30" i="13"/>
  <c r="I27" i="13"/>
  <c r="I11" i="59"/>
  <c r="I9" i="59"/>
  <c r="I12" i="59"/>
  <c r="I10" i="59"/>
  <c r="I23" i="59"/>
  <c r="I22" i="59"/>
  <c r="I8" i="59"/>
  <c r="I18" i="59"/>
  <c r="I16" i="59"/>
  <c r="I7" i="59"/>
  <c r="I17" i="59"/>
  <c r="I14" i="59"/>
  <c r="I15" i="59"/>
  <c r="I13" i="59"/>
  <c r="K16" i="12"/>
  <c r="L16" i="12" s="1"/>
  <c r="L11" i="12"/>
  <c r="J16" i="59"/>
  <c r="J9" i="59"/>
  <c r="J22" i="59"/>
  <c r="J12" i="59"/>
  <c r="J23" i="59"/>
  <c r="J14" i="59"/>
  <c r="J10" i="59"/>
  <c r="J11" i="59"/>
  <c r="J18" i="59"/>
  <c r="J8" i="59"/>
  <c r="J7" i="59"/>
  <c r="J13" i="59"/>
  <c r="J15" i="59"/>
  <c r="J17" i="59"/>
  <c r="I17" i="55"/>
  <c r="K8" i="59" l="1"/>
  <c r="L8" i="59" s="1"/>
  <c r="M8" i="59" s="1"/>
  <c r="K18" i="59"/>
  <c r="L18" i="59" s="1"/>
  <c r="M18" i="59" s="1"/>
  <c r="K10" i="59"/>
  <c r="L10" i="59" s="1"/>
  <c r="M10" i="59" s="1"/>
  <c r="K16" i="59"/>
  <c r="L16" i="59" s="1"/>
  <c r="M16" i="59" s="1"/>
  <c r="K23" i="59"/>
  <c r="L23" i="59" s="1"/>
  <c r="M23" i="59" s="1"/>
  <c r="K22" i="59"/>
  <c r="L22" i="59" s="1"/>
  <c r="M22" i="59" s="1"/>
  <c r="K12" i="59"/>
  <c r="L12" i="59" s="1"/>
  <c r="M12" i="59" s="1"/>
  <c r="K7" i="59"/>
  <c r="I20" i="59"/>
  <c r="K9" i="59"/>
  <c r="L9" i="59" s="1"/>
  <c r="M9" i="59" s="1"/>
  <c r="J20" i="59"/>
  <c r="K15" i="59"/>
  <c r="L15" i="59" s="1"/>
  <c r="M15" i="59" s="1"/>
  <c r="K11" i="59"/>
  <c r="L11" i="59" s="1"/>
  <c r="M11" i="59" s="1"/>
  <c r="K35" i="12"/>
  <c r="L35" i="12" s="1"/>
  <c r="K13" i="59"/>
  <c r="L13" i="59" s="1"/>
  <c r="M13" i="59" s="1"/>
  <c r="K14" i="59"/>
  <c r="L14" i="59" s="1"/>
  <c r="M14" i="59" s="1"/>
  <c r="K17" i="59"/>
  <c r="L17" i="59" s="1"/>
  <c r="M17" i="59" s="1"/>
  <c r="F30" i="13"/>
  <c r="I30" i="13"/>
  <c r="I22" i="55"/>
  <c r="K20" i="59" l="1"/>
  <c r="L20" i="59" s="1"/>
  <c r="M20" i="59" s="1"/>
  <c r="L7" i="59"/>
  <c r="M7" i="59" s="1"/>
</calcChain>
</file>

<file path=xl/sharedStrings.xml><?xml version="1.0" encoding="utf-8"?>
<sst xmlns="http://schemas.openxmlformats.org/spreadsheetml/2006/main" count="634" uniqueCount="289">
  <si>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</si>
  <si>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</si>
  <si>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</si>
  <si>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</si>
  <si>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</si>
  <si>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</si>
  <si>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</si>
  <si>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</si>
  <si>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</si>
  <si>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</si>
  <si>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</si>
  <si>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</si>
  <si>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</si>
  <si>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</si>
  <si>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</si>
  <si>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</si>
  <si>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</si>
  <si>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</si>
  <si>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</si>
  <si>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</si>
  <si>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</si>
  <si>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</si>
  <si>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</si>
  <si>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</si>
  <si>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</si>
  <si>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</si>
  <si>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</si>
  <si>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</si>
  <si>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</si>
  <si>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</si>
  <si>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</si>
  <si>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</si>
  <si>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</si>
  <si>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</si>
  <si>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</si>
  <si>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</si>
  <si>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</si>
  <si>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</si>
  <si>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</si>
  <si>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</si>
  <si>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</si>
  <si>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</si>
  <si>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</si>
  <si>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</si>
  <si>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</si>
  <si>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</si>
  <si>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</si>
  <si>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</si>
  <si>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</si>
  <si>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</si>
  <si>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</si>
  <si>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</si>
  <si>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</si>
  <si>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</si>
  <si>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</si>
  <si>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</si>
  <si>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</si>
  <si>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</si>
  <si>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</si>
  <si>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</si>
  <si>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</si>
  <si>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</si>
  <si>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</si>
  <si>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</si>
  <si>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</si>
  <si>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</si>
  <si>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</si>
  <si>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</si>
  <si>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</si>
  <si>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</si>
  <si>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 xml:space="preserve"> </t>
  </si>
  <si>
    <t xml:space="preserve">REVENUE REQUIREMENTS </t>
  </si>
  <si>
    <t>E = D - C</t>
  </si>
  <si>
    <t>H=
G - F</t>
  </si>
  <si>
    <t>I=
H / F</t>
  </si>
  <si>
    <t>Change In Rates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</si>
  <si>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</si>
  <si>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</si>
  <si>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</si>
  <si>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</si>
  <si>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</si>
  <si>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</si>
  <si>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</si>
  <si>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</si>
  <si>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</si>
  <si>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</si>
  <si>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</si>
  <si>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</si>
  <si>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</si>
  <si>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</si>
  <si>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</si>
  <si>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</si>
  <si>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</si>
  <si>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</si>
  <si>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</si>
  <si>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</si>
  <si>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</si>
  <si>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</si>
  <si>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</si>
  <si>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Schedule 137 - Renewable Energy Credit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</si>
  <si>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</si>
  <si>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</si>
  <si>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</si>
  <si>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</si>
  <si>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</si>
  <si>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</si>
  <si>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</si>
  <si>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</si>
  <si>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</si>
  <si>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</si>
  <si>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</si>
  <si>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</si>
  <si>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</si>
  <si>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</si>
  <si>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</si>
  <si>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</si>
  <si>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</si>
  <si>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</si>
  <si>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</si>
  <si>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</si>
  <si>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</si>
  <si>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</si>
  <si>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</si>
  <si>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</si>
  <si>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11,25 &amp; 7A</t>
  </si>
  <si>
    <t>12,26 &amp; 26P</t>
  </si>
  <si>
    <t>449&amp;459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</si>
  <si>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</si>
  <si>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</si>
  <si>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</si>
  <si>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</si>
  <si>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</si>
  <si>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</si>
  <si>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</si>
  <si>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</si>
  <si>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</si>
  <si>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</si>
  <si>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</si>
  <si>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</si>
  <si>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</si>
  <si>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</si>
  <si>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</si>
  <si>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</si>
  <si>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</si>
  <si>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</si>
  <si>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</si>
  <si>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</si>
  <si>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</si>
  <si>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</si>
  <si>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</si>
  <si>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</si>
  <si>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</si>
  <si>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</si>
  <si>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</si>
  <si>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</si>
  <si>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</si>
  <si>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</si>
  <si>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</si>
  <si>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</si>
  <si>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</si>
  <si>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</si>
  <si>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</si>
  <si>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</si>
  <si>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</si>
  <si>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</si>
  <si>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</si>
  <si>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</si>
  <si>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53E - Customer Owned</t>
  </si>
  <si>
    <t>53E - Company Owned</t>
  </si>
  <si>
    <t>Sch 53E</t>
  </si>
  <si>
    <t xml:space="preserve">52E </t>
  </si>
  <si>
    <t>Sch 52E</t>
  </si>
  <si>
    <t>51E</t>
  </si>
  <si>
    <t>Sch 51E</t>
  </si>
  <si>
    <t>50E-B</t>
  </si>
  <si>
    <t>50E-A</t>
  </si>
  <si>
    <t>Compact Flourescent</t>
  </si>
  <si>
    <t>003</t>
  </si>
  <si>
    <t>Sch 50E</t>
  </si>
  <si>
    <t>Wattage (W)</t>
  </si>
  <si>
    <t>= (a) * (d)</t>
  </si>
  <si>
    <t>= (b) * (d)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</si>
  <si>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</si>
  <si>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</si>
  <si>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</si>
  <si>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</si>
  <si>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</si>
  <si>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</si>
  <si>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</si>
  <si>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</si>
  <si>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</si>
  <si>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= (a) * (AA)</t>
  </si>
  <si>
    <t>AA</t>
  </si>
  <si>
    <t>Difference Due to Rounding</t>
  </si>
  <si>
    <t>50 - 59</t>
  </si>
  <si>
    <t>50-59</t>
  </si>
  <si>
    <t>Schedule 129 Lighting Revenue Requirement to Collect</t>
  </si>
  <si>
    <t>Total Lamp Revenue Requirement Based on Inventory</t>
  </si>
  <si>
    <t>Demand-Related</t>
  </si>
  <si>
    <t>Energy-Related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</si>
  <si>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</si>
  <si>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</si>
  <si>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</si>
  <si>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</si>
  <si>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</si>
  <si>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</si>
  <si>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</si>
  <si>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</si>
  <si>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</si>
  <si>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</si>
  <si>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(d) = ∑(e to j)</t>
  </si>
  <si>
    <t>(j)</t>
  </si>
  <si>
    <t>(k)</t>
  </si>
  <si>
    <t>(l)</t>
  </si>
  <si>
    <t>Used for allocation of Schedule 129 Revenue Requirement</t>
  </si>
  <si>
    <t>Used for Rate Impacts</t>
  </si>
  <si>
    <t>Special Contract (Sch 129 rate set at $0.000614 per kWh per Contract)</t>
  </si>
  <si>
    <t>Total Retail Sales</t>
  </si>
  <si>
    <t>Subtotal before Special Contract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</si>
  <si>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</si>
  <si>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</si>
  <si>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</si>
  <si>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</si>
  <si>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Change in Revenue Requirement</t>
  </si>
  <si>
    <t>Components of Whole Dollar Increase/(Decrease) in Low Income Requirement</t>
  </si>
  <si>
    <t xml:space="preserve">Increase due to LIHEAP Credits 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</si>
  <si>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</si>
  <si>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</si>
  <si>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</si>
  <si>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</si>
  <si>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</si>
  <si>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</si>
  <si>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</si>
  <si>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</si>
  <si>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True-up Estimate in Prior Year Filing</t>
  </si>
  <si>
    <t>Bad Debts Conversion Factor used in 2019 GRC UE-190529, et al</t>
  </si>
  <si>
    <t>Last ALL Rate Revision Effective Date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</si>
  <si>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</si>
  <si>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</si>
  <si>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</si>
  <si>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</si>
  <si>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</si>
  <si>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</si>
  <si>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Schedule 141Y - Tax Over Collection Rider</t>
  </si>
  <si>
    <t>Schedule 141X EDIT Rider - First 600 kWh</t>
  </si>
  <si>
    <t>Schedule 141Z - EDIT Rider</t>
  </si>
  <si>
    <t>Schedule 141X EDIT Rider - Over 600 kWh</t>
  </si>
  <si>
    <t>OCTOBER 2021 THROUGH SEPTEMBER 2022</t>
  </si>
  <si>
    <t>Under / (Over) Collection through September 2021 (Excludes Revenue Sensitive Items)</t>
  </si>
  <si>
    <t>Conversion Factor</t>
  </si>
  <si>
    <t>Low income revenue requirement to be recovered in rates</t>
  </si>
  <si>
    <t>(m)</t>
  </si>
  <si>
    <t>(n)</t>
  </si>
  <si>
    <t>(o) = (m) - (n)</t>
  </si>
  <si>
    <t>Note 1 -  Excludes Rider Schedules 95a, 120, 129,132, 137, 140 and 194.
            - Includes Rider Schedules 95, 141x, 141y, 141z and 142 Revenue.</t>
  </si>
  <si>
    <r>
      <t xml:space="preserve">Proposed Rates Effective </t>
    </r>
    <r>
      <rPr>
        <b/>
        <sz val="8"/>
        <color rgb="FF0000FF"/>
        <rFont val="Arial"/>
        <family val="2"/>
      </rPr>
      <t>10/01/2021</t>
    </r>
  </si>
  <si>
    <t>Schedule 142 - Decoupling Rider - Supplemental</t>
  </si>
  <si>
    <t>Schedule 95 - Power Cost Adjustment Clause-Supplemental</t>
  </si>
  <si>
    <r>
      <t xml:space="preserve">Present Rates Effective </t>
    </r>
    <r>
      <rPr>
        <b/>
        <sz val="8"/>
        <color rgb="FF0000FF"/>
        <rFont val="Arial"/>
        <family val="2"/>
      </rPr>
      <t>07/01/2021</t>
    </r>
  </si>
  <si>
    <r>
      <t xml:space="preserve">Annual Lamp Inventory @ </t>
    </r>
    <r>
      <rPr>
        <b/>
        <sz val="8"/>
        <color rgb="FF0000FF"/>
        <rFont val="Arial"/>
        <family val="2"/>
      </rPr>
      <t>7/30/2022</t>
    </r>
  </si>
  <si>
    <t>10/01/2022</t>
  </si>
  <si>
    <t>F2022</t>
  </si>
  <si>
    <t>Prior Low Income Cap UE-210674 &amp; UG-210675</t>
  </si>
  <si>
    <t>Decoupling Residential Bill Impact UE-220227 and UG-220228</t>
  </si>
  <si>
    <t>COVID-19 bill payment assistance program</t>
  </si>
  <si>
    <t>Amount to be recovered October 2022 through September 2023</t>
  </si>
  <si>
    <t>Low Income revenue requirement set in rates in October 201</t>
  </si>
  <si>
    <t>Recovery of CACAP-2 Funding</t>
  </si>
  <si>
    <t>Note 1 -  Includes all Rider Revenue and Revenue Credits from Schedules 95, 95a, 120, 137, 140, 141, 141x, 141z, 142 and 194
           -  Excludes Sch 129 Low Income</t>
  </si>
  <si>
    <t>Subtotal of
Estimated Applicable
Rider Revenue</t>
  </si>
  <si>
    <t>Applicable (Base) Revenue includes Schedule 95 (PCA &amp; PCORC), Schedule 141 (ERF), Schedule 141x (Pass-Back), Schedule 141z (Unprotected EDIT), &amp; Schedule 142 (Decoupling &amp; Supplemental)</t>
  </si>
  <si>
    <t>2021 Low Income Customer Charge</t>
  </si>
  <si>
    <t>F2021 Forecast Delivered kWh 10/01/21 through 09/30/22</t>
  </si>
  <si>
    <t>Forecast Delivered Base Revenue October 1, 2021 through September 30, 2022 (Note 1)</t>
  </si>
  <si>
    <t>Proposed Equal % 2021 Low Income Rider (Excl Special Contract)</t>
  </si>
  <si>
    <t>$ Including Proposed 2021 Low Income</t>
  </si>
  <si>
    <t>Proposed 2021 Low Income $</t>
  </si>
  <si>
    <t>Decrease due to moving from a combined under-collection of $0.2M in the prior rate period to a combined over-collection of $1.2M in the current rate period</t>
  </si>
  <si>
    <t>Current Base Lamp Demand &amp; Energy Charges from COS Effective 10/1/21</t>
  </si>
  <si>
    <r>
      <t xml:space="preserve">Current Base Lamp Demand &amp; Energy Cost </t>
    </r>
    <r>
      <rPr>
        <b/>
        <sz val="8"/>
        <color rgb="FF0000FF"/>
        <rFont val="Arial"/>
        <family val="2"/>
      </rPr>
      <t>@ 10/1/2021</t>
    </r>
  </si>
  <si>
    <t>Smart LED</t>
  </si>
  <si>
    <t>Per kWh - All Lamps</t>
  </si>
  <si>
    <t>Test Year Ended September 30, 2023</t>
  </si>
  <si>
    <t>Estimated Schedule 95
PCA Revenue</t>
  </si>
  <si>
    <t>Estimated Schedule 95
PCORC Revenue</t>
  </si>
  <si>
    <t>Estimated Schedule 141X (Pass-back)
ERF Revenue</t>
  </si>
  <si>
    <t>Estimated Schedule 141Z (Unprotected)
EDIT Revenue</t>
  </si>
  <si>
    <t>Estimated Schedule 142
 Deferral Revenue</t>
  </si>
  <si>
    <t>Estimated Schedule 142
Supplemental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</si>
</sst>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&quot;$&quot;#,##0.00"/>
    <numFmt numFmtId="172" formatCode="0.0000000"/>
    <numFmt numFmtId="173" formatCode="#,##0.000000_);\(#,##0.000000\)"/>
    <numFmt numFmtId="174" formatCode="0.0000%"/>
    <numFmt numFmtId="175" formatCode="_(* #,##0.000000_);_(* \(#,##0.000000\);_(* &quot;-&quot;??_);_(@_)"/>
    <numFmt numFmtId="176" formatCode="mm/dd/yy;@"/>
    <numFmt numFmtId="177" formatCode="_(&quot;$&quot;* #,##0.000000_);_(&quot;$&quot;* \(#,##0.000000\);_(&quot;$&quot;* &quot;-&quot;??????_);_(@_)"/>
    <numFmt numFmtId="178" formatCode="&quot;$&quot;#,##0.000000"/>
  </numFmts>
  <fonts count="2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9"/>
      <name val="Arial"/>
      <family val="2"/>
    </font>
    <font>
      <b/>
      <i/>
      <u/>
      <sz val="9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u/>
      <sz val="10"/>
      <name val="Arial"/>
      <family val="2"/>
    </font>
    <font>
      <sz val="11"/>
      <color rgb="FF0000FF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7">
    <xf numFmtId="0" fontId="0" fillId="0" borderId="0" xfId="0"/>
    <xf numFmtId="0" fontId="7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/>
    </xf>
    <xf numFmtId="0" fontId="7" fillId="0" borderId="0" xfId="0" applyFont="1"/>
    <xf numFmtId="0" fontId="2" fillId="0" borderId="0" xfId="0" applyFont="1" applyAlignment="1">
      <alignment horizontal="centerContinuous" vertical="center"/>
    </xf>
    <xf numFmtId="0" fontId="2" fillId="0" borderId="0" xfId="0" applyFont="1"/>
    <xf numFmtId="0" fontId="2" fillId="0" borderId="0" xfId="0" applyFont="1" applyBorder="1" applyAlignment="1"/>
    <xf numFmtId="0" fontId="2" fillId="0" borderId="0" xfId="0" quotePrefix="1" applyFont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167" fontId="2" fillId="0" borderId="0" xfId="0" applyNumberFormat="1" applyFont="1"/>
    <xf numFmtId="44" fontId="2" fillId="0" borderId="0" xfId="9" applyFont="1"/>
    <xf numFmtId="44" fontId="2" fillId="0" borderId="0" xfId="0" applyNumberFormat="1" applyFont="1"/>
    <xf numFmtId="0" fontId="2" fillId="0" borderId="0" xfId="0" quotePrefix="1" applyFont="1" applyAlignment="1">
      <alignment horizontal="left"/>
    </xf>
    <xf numFmtId="167" fontId="2" fillId="0" borderId="7" xfId="0" applyNumberFormat="1" applyFont="1" applyBorder="1"/>
    <xf numFmtId="44" fontId="2" fillId="0" borderId="7" xfId="9" applyFont="1" applyBorder="1"/>
    <xf numFmtId="0" fontId="2" fillId="0" borderId="0" xfId="0" applyFont="1" applyFill="1" applyAlignment="1">
      <alignment horizontal="left"/>
    </xf>
    <xf numFmtId="167" fontId="2" fillId="0" borderId="7" xfId="0" applyNumberFormat="1" applyFont="1" applyFill="1" applyBorder="1"/>
    <xf numFmtId="44" fontId="2" fillId="0" borderId="7" xfId="0" applyNumberFormat="1" applyFont="1" applyBorder="1"/>
    <xf numFmtId="0" fontId="2" fillId="0" borderId="0" xfId="0" applyFont="1" applyAlignment="1">
      <alignment horizontal="left"/>
    </xf>
    <xf numFmtId="0" fontId="2" fillId="0" borderId="8" xfId="0" quotePrefix="1" applyFont="1" applyBorder="1" applyAlignment="1">
      <alignment horizontal="left"/>
    </xf>
    <xf numFmtId="0" fontId="2" fillId="0" borderId="8" xfId="0" applyFont="1" applyBorder="1"/>
    <xf numFmtId="0" fontId="2" fillId="3" borderId="3" xfId="0" quotePrefix="1" applyFont="1" applyFill="1" applyBorder="1" applyAlignment="1">
      <alignment horizontal="center" wrapText="1"/>
    </xf>
    <xf numFmtId="0" fontId="2" fillId="0" borderId="19" xfId="0" quotePrefix="1" applyFont="1" applyBorder="1" applyAlignment="1">
      <alignment horizontal="center" wrapText="1"/>
    </xf>
    <xf numFmtId="166" fontId="2" fillId="0" borderId="19" xfId="0" applyNumberFormat="1" applyFont="1" applyFill="1" applyBorder="1"/>
    <xf numFmtId="166" fontId="2" fillId="0" borderId="33" xfId="0" applyNumberFormat="1" applyFont="1" applyFill="1" applyBorder="1"/>
    <xf numFmtId="0" fontId="2" fillId="0" borderId="19" xfId="0" applyFont="1" applyFill="1" applyBorder="1"/>
    <xf numFmtId="166" fontId="2" fillId="0" borderId="10" xfId="0" quotePrefix="1" applyNumberFormat="1" applyFont="1" applyFill="1" applyBorder="1" applyAlignment="1"/>
    <xf numFmtId="0" fontId="2" fillId="0" borderId="0" xfId="0" applyFont="1" applyFill="1"/>
    <xf numFmtId="166" fontId="2" fillId="0" borderId="33" xfId="0" quotePrefix="1" applyNumberFormat="1" applyFont="1" applyFill="1" applyBorder="1" applyAlignment="1"/>
    <xf numFmtId="166" fontId="2" fillId="0" borderId="11" xfId="0" quotePrefix="1" applyNumberFormat="1" applyFont="1" applyFill="1" applyBorder="1" applyAlignment="1"/>
    <xf numFmtId="166" fontId="2" fillId="0" borderId="10" xfId="0" applyNumberFormat="1" applyFont="1" applyFill="1" applyBorder="1"/>
    <xf numFmtId="177" fontId="2" fillId="0" borderId="0" xfId="0" applyNumberFormat="1" applyFont="1"/>
    <xf numFmtId="166" fontId="2" fillId="0" borderId="11" xfId="0" applyNumberFormat="1" applyFont="1" applyFill="1" applyBorder="1"/>
    <xf numFmtId="0" fontId="2" fillId="0" borderId="0" xfId="0" applyFont="1" applyAlignment="1">
      <alignment horizontal="center" wrapText="1"/>
    </xf>
    <xf numFmtId="0" fontId="2" fillId="0" borderId="0" xfId="0" quotePrefix="1" applyFont="1" applyFill="1" applyAlignment="1">
      <alignment horizontal="left" indent="2"/>
    </xf>
    <xf numFmtId="176" fontId="2" fillId="0" borderId="0" xfId="0" applyNumberFormat="1" applyFont="1"/>
    <xf numFmtId="176" fontId="7" fillId="0" borderId="0" xfId="0" quotePrefix="1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/>
    </xf>
    <xf numFmtId="166" fontId="9" fillId="0" borderId="19" xfId="0" applyNumberFormat="1" applyFont="1" applyFill="1" applyBorder="1"/>
    <xf numFmtId="166" fontId="9" fillId="0" borderId="10" xfId="0" quotePrefix="1" applyNumberFormat="1" applyFont="1" applyFill="1" applyBorder="1" applyAlignment="1"/>
    <xf numFmtId="166" fontId="9" fillId="4" borderId="10" xfId="0" quotePrefix="1" applyNumberFormat="1" applyFont="1" applyFill="1" applyBorder="1" applyAlignment="1"/>
    <xf numFmtId="10" fontId="2" fillId="0" borderId="0" xfId="10" applyNumberFormat="1" applyFont="1"/>
    <xf numFmtId="10" fontId="2" fillId="0" borderId="7" xfId="10" applyNumberFormat="1" applyFont="1" applyBorder="1"/>
    <xf numFmtId="166" fontId="10" fillId="4" borderId="10" xfId="0" quotePrefix="1" applyNumberFormat="1" applyFont="1" applyFill="1" applyBorder="1" applyAlignment="1"/>
    <xf numFmtId="0" fontId="2" fillId="4" borderId="0" xfId="0" applyFont="1" applyFill="1"/>
    <xf numFmtId="166" fontId="2" fillId="4" borderId="10" xfId="0" quotePrefix="1" applyNumberFormat="1" applyFont="1" applyFill="1" applyBorder="1" applyAlignment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quotePrefix="1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indent="1"/>
    </xf>
    <xf numFmtId="0" fontId="2" fillId="0" borderId="0" xfId="0" applyFont="1" applyFill="1" applyAlignment="1">
      <alignment horizontal="center"/>
    </xf>
    <xf numFmtId="167" fontId="10" fillId="0" borderId="0" xfId="5" quotePrefix="1" applyNumberFormat="1" applyFont="1" applyFill="1" applyAlignment="1">
      <alignment horizontal="left"/>
    </xf>
    <xf numFmtId="164" fontId="2" fillId="0" borderId="0" xfId="0" quotePrefix="1" applyNumberFormat="1" applyFont="1" applyFill="1" applyAlignment="1">
      <alignment horizontal="left"/>
    </xf>
    <xf numFmtId="164" fontId="10" fillId="0" borderId="0" xfId="0" quotePrefix="1" applyNumberFormat="1" applyFont="1" applyFill="1" applyAlignment="1">
      <alignment horizontal="left"/>
    </xf>
    <xf numFmtId="0" fontId="10" fillId="0" borderId="0" xfId="0" applyFont="1" applyFill="1"/>
    <xf numFmtId="167" fontId="2" fillId="0" borderId="2" xfId="5" applyNumberFormat="1" applyFont="1" applyFill="1" applyBorder="1"/>
    <xf numFmtId="164" fontId="2" fillId="0" borderId="2" xfId="0" applyNumberFormat="1" applyFont="1" applyFill="1" applyBorder="1"/>
    <xf numFmtId="167" fontId="2" fillId="0" borderId="0" xfId="5" applyNumberFormat="1" applyFont="1" applyFill="1" applyBorder="1"/>
    <xf numFmtId="164" fontId="2" fillId="0" borderId="0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center"/>
    </xf>
    <xf numFmtId="0" fontId="2" fillId="0" borderId="0" xfId="0" quotePrefix="1" applyFont="1" applyFill="1" applyAlignment="1">
      <alignment horizontal="left"/>
    </xf>
    <xf numFmtId="167" fontId="2" fillId="0" borderId="0" xfId="5" applyNumberFormat="1" applyFont="1" applyFill="1"/>
    <xf numFmtId="167" fontId="10" fillId="0" borderId="2" xfId="5" applyNumberFormat="1" applyFont="1" applyFill="1" applyBorder="1"/>
    <xf numFmtId="164" fontId="10" fillId="0" borderId="2" xfId="0" applyNumberFormat="1" applyFont="1" applyFill="1" applyBorder="1"/>
    <xf numFmtId="167" fontId="2" fillId="0" borderId="7" xfId="5" applyNumberFormat="1" applyFont="1" applyFill="1" applyBorder="1"/>
    <xf numFmtId="164" fontId="2" fillId="0" borderId="7" xfId="0" applyNumberFormat="1" applyFont="1" applyFill="1" applyBorder="1"/>
    <xf numFmtId="167" fontId="2" fillId="0" borderId="9" xfId="5" applyNumberFormat="1" applyFont="1" applyFill="1" applyBorder="1"/>
    <xf numFmtId="164" fontId="2" fillId="0" borderId="9" xfId="0" applyNumberFormat="1" applyFont="1" applyFill="1" applyBorder="1"/>
    <xf numFmtId="164" fontId="2" fillId="0" borderId="0" xfId="0" applyNumberFormat="1" applyFont="1" applyFill="1"/>
    <xf numFmtId="44" fontId="11" fillId="0" borderId="0" xfId="0" applyNumberFormat="1" applyFont="1"/>
    <xf numFmtId="0" fontId="11" fillId="0" borderId="0" xfId="0" applyFont="1"/>
    <xf numFmtId="0" fontId="11" fillId="0" borderId="0" xfId="0" applyFont="1" applyFill="1" applyAlignment="1">
      <alignment horizontal="center"/>
    </xf>
    <xf numFmtId="0" fontId="11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 applyAlignment="1">
      <alignment horizontal="center" wrapText="1"/>
    </xf>
    <xf numFmtId="0" fontId="2" fillId="0" borderId="0" xfId="0" applyFont="1" applyFill="1" applyBorder="1"/>
    <xf numFmtId="0" fontId="11" fillId="0" borderId="0" xfId="0" applyFont="1" applyFill="1" applyBorder="1"/>
    <xf numFmtId="167" fontId="11" fillId="0" borderId="0" xfId="0" applyNumberFormat="1" applyFont="1" applyFill="1"/>
    <xf numFmtId="0" fontId="12" fillId="0" borderId="35" xfId="0" applyFont="1" applyBorder="1" applyAlignment="1">
      <alignment horizontal="center"/>
    </xf>
    <xf numFmtId="0" fontId="11" fillId="0" borderId="0" xfId="0" quotePrefix="1" applyFont="1" applyFill="1" applyAlignment="1">
      <alignment horizontal="left"/>
    </xf>
    <xf numFmtId="41" fontId="11" fillId="0" borderId="0" xfId="0" applyNumberFormat="1" applyFont="1" applyFill="1"/>
    <xf numFmtId="164" fontId="11" fillId="0" borderId="0" xfId="0" applyNumberFormat="1" applyFont="1" applyFill="1"/>
    <xf numFmtId="175" fontId="12" fillId="0" borderId="36" xfId="5" applyNumberFormat="1" applyFont="1" applyBorder="1" applyAlignment="1">
      <alignment horizontal="center"/>
    </xf>
    <xf numFmtId="175" fontId="11" fillId="0" borderId="0" xfId="5" applyNumberFormat="1" applyFont="1" applyAlignment="1">
      <alignment horizontal="center"/>
    </xf>
    <xf numFmtId="0" fontId="2" fillId="0" borderId="0" xfId="0" quotePrefix="1" applyFont="1" applyFill="1" applyBorder="1" applyAlignment="1">
      <alignment horizontal="left"/>
    </xf>
    <xf numFmtId="175" fontId="11" fillId="2" borderId="0" xfId="5" applyNumberFormat="1" applyFont="1" applyFill="1" applyAlignment="1">
      <alignment horizontal="center"/>
    </xf>
    <xf numFmtId="164" fontId="11" fillId="0" borderId="0" xfId="0" applyNumberFormat="1" applyFont="1"/>
    <xf numFmtId="0" fontId="2" fillId="0" borderId="0" xfId="0" quotePrefix="1" applyFont="1" applyFill="1" applyBorder="1" applyAlignment="1">
      <alignment horizontal="left" indent="1"/>
    </xf>
    <xf numFmtId="0" fontId="2" fillId="0" borderId="0" xfId="0" quotePrefix="1" applyFont="1" applyFill="1" applyBorder="1" applyAlignment="1">
      <alignment horizontal="right" wrapText="1"/>
    </xf>
    <xf numFmtId="44" fontId="11" fillId="0" borderId="0" xfId="1" applyFont="1"/>
    <xf numFmtId="167" fontId="2" fillId="0" borderId="0" xfId="0" applyNumberFormat="1" applyFont="1" applyFill="1" applyBorder="1" applyAlignment="1"/>
    <xf numFmtId="167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2" fillId="0" borderId="0" xfId="0" applyFont="1" applyFill="1" applyBorder="1" applyAlignment="1"/>
    <xf numFmtId="167" fontId="2" fillId="0" borderId="0" xfId="0" applyNumberFormat="1" applyFont="1" applyFill="1" applyBorder="1"/>
    <xf numFmtId="0" fontId="11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indent="1"/>
    </xf>
    <xf numFmtId="165" fontId="11" fillId="0" borderId="0" xfId="0" applyNumberFormat="1" applyFont="1"/>
    <xf numFmtId="44" fontId="12" fillId="0" borderId="0" xfId="0" applyNumberFormat="1" applyFont="1"/>
    <xf numFmtId="0" fontId="12" fillId="0" borderId="0" xfId="0" applyFont="1"/>
    <xf numFmtId="0" fontId="12" fillId="0" borderId="0" xfId="0" applyFont="1" applyFill="1" applyAlignment="1">
      <alignment horizontal="center"/>
    </xf>
    <xf numFmtId="0" fontId="12" fillId="0" borderId="0" xfId="0" applyFont="1" applyFill="1"/>
    <xf numFmtId="0" fontId="7" fillId="0" borderId="8" xfId="0" applyFont="1" applyFill="1" applyBorder="1" applyAlignment="1">
      <alignment horizontal="center" wrapText="1"/>
    </xf>
    <xf numFmtId="0" fontId="7" fillId="0" borderId="8" xfId="0" quotePrefix="1" applyFont="1" applyFill="1" applyBorder="1" applyAlignment="1">
      <alignment horizontal="center" wrapText="1"/>
    </xf>
    <xf numFmtId="0" fontId="13" fillId="0" borderId="0" xfId="0" applyFont="1" applyFill="1"/>
    <xf numFmtId="167" fontId="13" fillId="0" borderId="0" xfId="5" applyNumberFormat="1" applyFont="1" applyFill="1"/>
    <xf numFmtId="164" fontId="13" fillId="0" borderId="0" xfId="0" applyNumberFormat="1" applyFont="1" applyFill="1"/>
    <xf numFmtId="0" fontId="7" fillId="0" borderId="0" xfId="0" applyFont="1" applyFill="1"/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6" xfId="0" quotePrefix="1" applyFont="1" applyFill="1" applyBorder="1" applyAlignment="1">
      <alignment horizontal="center" wrapText="1"/>
    </xf>
    <xf numFmtId="44" fontId="12" fillId="0" borderId="6" xfId="0" applyNumberFormat="1" applyFont="1" applyBorder="1"/>
    <xf numFmtId="0" fontId="2" fillId="0" borderId="0" xfId="0" applyFont="1" applyBorder="1" applyAlignment="1">
      <alignment horizontal="center"/>
    </xf>
    <xf numFmtId="166" fontId="2" fillId="0" borderId="0" xfId="0" applyNumberFormat="1" applyFont="1" applyFill="1" applyBorder="1"/>
    <xf numFmtId="16" fontId="2" fillId="0" borderId="0" xfId="0" quotePrefix="1" applyNumberFormat="1" applyFont="1" applyBorder="1" applyAlignment="1">
      <alignment horizontal="center"/>
    </xf>
    <xf numFmtId="164" fontId="2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14" fillId="0" borderId="0" xfId="0" applyFont="1" applyFill="1" applyBorder="1"/>
    <xf numFmtId="0" fontId="14" fillId="0" borderId="15" xfId="0" applyFont="1" applyFill="1" applyBorder="1"/>
    <xf numFmtId="0" fontId="14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/>
    <xf numFmtId="0" fontId="14" fillId="0" borderId="16" xfId="0" applyFont="1" applyFill="1" applyBorder="1"/>
    <xf numFmtId="0" fontId="14" fillId="0" borderId="17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167" fontId="14" fillId="0" borderId="6" xfId="0" applyNumberFormat="1" applyFont="1" applyFill="1" applyBorder="1" applyAlignment="1">
      <alignment horizontal="center" wrapText="1"/>
    </xf>
    <xf numFmtId="0" fontId="14" fillId="0" borderId="6" xfId="0" quotePrefix="1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Border="1" applyAlignment="1">
      <alignment horizontal="center"/>
    </xf>
    <xf numFmtId="164" fontId="14" fillId="0" borderId="0" xfId="0" applyNumberFormat="1" applyFont="1" applyFill="1" applyBorder="1"/>
    <xf numFmtId="166" fontId="14" fillId="0" borderId="0" xfId="0" applyNumberFormat="1" applyFont="1" applyFill="1" applyBorder="1"/>
    <xf numFmtId="169" fontId="14" fillId="0" borderId="16" xfId="0" applyNumberFormat="1" applyFont="1" applyFill="1" applyBorder="1"/>
    <xf numFmtId="170" fontId="14" fillId="0" borderId="0" xfId="0" applyNumberFormat="1" applyFont="1" applyFill="1" applyBorder="1"/>
    <xf numFmtId="0" fontId="14" fillId="0" borderId="0" xfId="0" quotePrefix="1" applyFont="1" applyFill="1" applyBorder="1" applyAlignment="1">
      <alignment horizontal="left" indent="1"/>
    </xf>
    <xf numFmtId="16" fontId="14" fillId="0" borderId="0" xfId="0" quotePrefix="1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/>
    </xf>
    <xf numFmtId="0" fontId="14" fillId="0" borderId="0" xfId="0" applyFont="1" applyFill="1" applyBorder="1" applyAlignment="1">
      <alignment horizontal="left" indent="1"/>
    </xf>
    <xf numFmtId="0" fontId="14" fillId="0" borderId="0" xfId="0" quotePrefix="1" applyFont="1" applyFill="1" applyBorder="1" applyAlignment="1">
      <alignment horizontal="left"/>
    </xf>
    <xf numFmtId="169" fontId="14" fillId="0" borderId="16" xfId="0" applyNumberFormat="1" applyFont="1" applyFill="1" applyBorder="1" applyAlignment="1">
      <alignment horizontal="right"/>
    </xf>
    <xf numFmtId="164" fontId="14" fillId="0" borderId="0" xfId="1" applyNumberFormat="1" applyFont="1" applyFill="1" applyBorder="1"/>
    <xf numFmtId="0" fontId="14" fillId="0" borderId="17" xfId="0" applyFont="1" applyFill="1" applyBorder="1" applyAlignment="1">
      <alignment horizontal="center"/>
    </xf>
    <xf numFmtId="0" fontId="14" fillId="0" borderId="6" xfId="0" applyFont="1" applyFill="1" applyBorder="1"/>
    <xf numFmtId="0" fontId="14" fillId="0" borderId="6" xfId="0" applyFont="1" applyFill="1" applyBorder="1" applyAlignment="1">
      <alignment horizontal="center"/>
    </xf>
    <xf numFmtId="167" fontId="14" fillId="0" borderId="6" xfId="0" applyNumberFormat="1" applyFont="1" applyFill="1" applyBorder="1"/>
    <xf numFmtId="164" fontId="14" fillId="0" borderId="6" xfId="0" applyNumberFormat="1" applyFont="1" applyFill="1" applyBorder="1"/>
    <xf numFmtId="0" fontId="14" fillId="0" borderId="18" xfId="0" applyFont="1" applyFill="1" applyBorder="1"/>
    <xf numFmtId="0" fontId="15" fillId="0" borderId="0" xfId="0" applyFont="1" applyFill="1" applyBorder="1"/>
    <xf numFmtId="0" fontId="16" fillId="0" borderId="37" xfId="0" applyFont="1" applyFill="1" applyBorder="1" applyAlignment="1">
      <alignment horizontal="center"/>
    </xf>
    <xf numFmtId="0" fontId="16" fillId="0" borderId="1" xfId="0" quotePrefix="1" applyFont="1" applyFill="1" applyBorder="1" applyAlignment="1">
      <alignment horizontal="left"/>
    </xf>
    <xf numFmtId="0" fontId="16" fillId="0" borderId="1" xfId="0" applyFont="1" applyFill="1" applyBorder="1" applyAlignment="1">
      <alignment horizontal="center"/>
    </xf>
    <xf numFmtId="167" fontId="16" fillId="0" borderId="1" xfId="0" applyNumberFormat="1" applyFont="1" applyFill="1" applyBorder="1"/>
    <xf numFmtId="169" fontId="16" fillId="0" borderId="1" xfId="2" applyNumberFormat="1" applyFont="1" applyFill="1" applyBorder="1"/>
    <xf numFmtId="0" fontId="16" fillId="0" borderId="1" xfId="0" applyFont="1" applyFill="1" applyBorder="1"/>
    <xf numFmtId="167" fontId="14" fillId="0" borderId="1" xfId="0" applyNumberFormat="1" applyFont="1" applyFill="1" applyBorder="1"/>
    <xf numFmtId="0" fontId="14" fillId="0" borderId="1" xfId="0" applyFont="1" applyFill="1" applyBorder="1"/>
    <xf numFmtId="0" fontId="14" fillId="0" borderId="38" xfId="0" applyFont="1" applyFill="1" applyBorder="1"/>
    <xf numFmtId="0" fontId="14" fillId="0" borderId="0" xfId="0" applyFont="1" applyFill="1" applyBorder="1" applyAlignment="1">
      <alignment wrapText="1"/>
    </xf>
    <xf numFmtId="0" fontId="16" fillId="0" borderId="12" xfId="0" applyFont="1" applyFill="1" applyBorder="1" applyAlignment="1">
      <alignment horizontal="centerContinuous"/>
    </xf>
    <xf numFmtId="0" fontId="16" fillId="0" borderId="13" xfId="0" applyFont="1" applyFill="1" applyBorder="1" applyAlignment="1">
      <alignment horizontal="centerContinuous"/>
    </xf>
    <xf numFmtId="167" fontId="16" fillId="0" borderId="13" xfId="0" applyNumberFormat="1" applyFont="1" applyFill="1" applyBorder="1" applyAlignment="1">
      <alignment horizontal="centerContinuous"/>
    </xf>
    <xf numFmtId="0" fontId="16" fillId="0" borderId="14" xfId="0" applyFont="1" applyFill="1" applyBorder="1" applyAlignment="1">
      <alignment horizontal="centerContinuous"/>
    </xf>
    <xf numFmtId="0" fontId="16" fillId="0" borderId="0" xfId="0" applyFont="1" applyFill="1" applyBorder="1"/>
    <xf numFmtId="0" fontId="16" fillId="0" borderId="15" xfId="0" applyFont="1" applyFill="1" applyBorder="1" applyAlignment="1">
      <alignment horizontal="centerContinuous"/>
    </xf>
    <xf numFmtId="0" fontId="16" fillId="0" borderId="0" xfId="0" applyFont="1" applyFill="1" applyBorder="1" applyAlignment="1">
      <alignment horizontal="centerContinuous"/>
    </xf>
    <xf numFmtId="167" fontId="16" fillId="0" borderId="0" xfId="0" applyNumberFormat="1" applyFont="1" applyFill="1" applyBorder="1" applyAlignment="1">
      <alignment horizontal="centerContinuous"/>
    </xf>
    <xf numFmtId="0" fontId="16" fillId="0" borderId="16" xfId="0" applyFont="1" applyFill="1" applyBorder="1" applyAlignment="1">
      <alignment horizontal="centerContinuous"/>
    </xf>
    <xf numFmtId="0" fontId="16" fillId="0" borderId="15" xfId="0" applyFont="1" applyFill="1" applyBorder="1"/>
    <xf numFmtId="0" fontId="16" fillId="0" borderId="0" xfId="0" applyFont="1" applyFill="1" applyBorder="1" applyAlignment="1">
      <alignment horizontal="center"/>
    </xf>
    <xf numFmtId="167" fontId="16" fillId="0" borderId="0" xfId="0" applyNumberFormat="1" applyFont="1" applyFill="1" applyBorder="1"/>
    <xf numFmtId="0" fontId="16" fillId="0" borderId="16" xfId="0" applyFont="1" applyFill="1" applyBorder="1"/>
    <xf numFmtId="0" fontId="16" fillId="0" borderId="17" xfId="0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167" fontId="16" fillId="0" borderId="6" xfId="0" applyNumberFormat="1" applyFont="1" applyFill="1" applyBorder="1" applyAlignment="1">
      <alignment horizontal="center" wrapText="1"/>
    </xf>
    <xf numFmtId="167" fontId="16" fillId="0" borderId="6" xfId="0" quotePrefix="1" applyNumberFormat="1" applyFont="1" applyFill="1" applyBorder="1" applyAlignment="1">
      <alignment horizontal="center" wrapText="1"/>
    </xf>
    <xf numFmtId="0" fontId="16" fillId="0" borderId="6" xfId="0" quotePrefix="1" applyFont="1" applyFill="1" applyBorder="1" applyAlignment="1">
      <alignment horizontal="center" wrapText="1"/>
    </xf>
    <xf numFmtId="0" fontId="16" fillId="0" borderId="18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2" fillId="0" borderId="0" xfId="0" applyFont="1" applyBorder="1"/>
    <xf numFmtId="0" fontId="2" fillId="0" borderId="1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18" xfId="0" quotePrefix="1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167" fontId="2" fillId="0" borderId="6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167" fontId="2" fillId="0" borderId="0" xfId="0" applyNumberFormat="1" applyFont="1" applyBorder="1"/>
    <xf numFmtId="0" fontId="2" fillId="0" borderId="16" xfId="0" applyFont="1" applyBorder="1"/>
    <xf numFmtId="0" fontId="2" fillId="0" borderId="0" xfId="0" applyFont="1" applyBorder="1" applyAlignment="1">
      <alignment horizontal="left"/>
    </xf>
    <xf numFmtId="166" fontId="2" fillId="0" borderId="0" xfId="0" applyNumberFormat="1" applyFont="1" applyBorder="1"/>
    <xf numFmtId="164" fontId="2" fillId="0" borderId="0" xfId="0" applyNumberFormat="1" applyFont="1" applyBorder="1"/>
    <xf numFmtId="10" fontId="2" fillId="0" borderId="16" xfId="0" applyNumberFormat="1" applyFont="1" applyBorder="1"/>
    <xf numFmtId="170" fontId="2" fillId="0" borderId="0" xfId="0" applyNumberFormat="1" applyFont="1" applyBorder="1"/>
    <xf numFmtId="0" fontId="2" fillId="0" borderId="0" xfId="0" quotePrefix="1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167" fontId="2" fillId="0" borderId="6" xfId="0" applyNumberFormat="1" applyFont="1" applyBorder="1"/>
    <xf numFmtId="0" fontId="2" fillId="0" borderId="6" xfId="0" applyFont="1" applyBorder="1"/>
    <xf numFmtId="164" fontId="2" fillId="0" borderId="6" xfId="0" applyNumberFormat="1" applyFont="1" applyBorder="1"/>
    <xf numFmtId="169" fontId="2" fillId="0" borderId="18" xfId="0" applyNumberFormat="1" applyFont="1" applyBorder="1"/>
    <xf numFmtId="0" fontId="2" fillId="0" borderId="0" xfId="0" quotePrefix="1" applyFont="1" applyBorder="1" applyAlignment="1">
      <alignment vertical="top" wrapText="1"/>
    </xf>
    <xf numFmtId="0" fontId="7" fillId="0" borderId="0" xfId="0" applyFont="1" applyBorder="1"/>
    <xf numFmtId="0" fontId="7" fillId="0" borderId="15" xfId="0" applyFont="1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167" fontId="7" fillId="0" borderId="0" xfId="0" applyNumberFormat="1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167" fontId="7" fillId="0" borderId="6" xfId="0" quotePrefix="1" applyNumberFormat="1" applyFont="1" applyBorder="1" applyAlignment="1">
      <alignment horizontal="center" wrapText="1"/>
    </xf>
    <xf numFmtId="0" fontId="7" fillId="0" borderId="6" xfId="0" quotePrefix="1" applyFont="1" applyBorder="1" applyAlignment="1">
      <alignment horizontal="center" wrapText="1"/>
    </xf>
    <xf numFmtId="0" fontId="7" fillId="0" borderId="18" xfId="0" quotePrefix="1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Fill="1" applyBorder="1"/>
    <xf numFmtId="41" fontId="2" fillId="0" borderId="0" xfId="0" applyNumberFormat="1" applyFont="1" applyFill="1"/>
    <xf numFmtId="0" fontId="7" fillId="0" borderId="0" xfId="0" applyFont="1" applyFill="1" applyBorder="1" applyAlignment="1">
      <alignment horizontal="center" wrapText="1"/>
    </xf>
    <xf numFmtId="164" fontId="11" fillId="0" borderId="2" xfId="0" applyNumberFormat="1" applyFont="1" applyFill="1" applyBorder="1"/>
    <xf numFmtId="167" fontId="14" fillId="0" borderId="9" xfId="0" applyNumberFormat="1" applyFont="1" applyFill="1" applyBorder="1"/>
    <xf numFmtId="164" fontId="14" fillId="0" borderId="9" xfId="0" applyNumberFormat="1" applyFont="1" applyFill="1" applyBorder="1"/>
    <xf numFmtId="166" fontId="14" fillId="0" borderId="9" xfId="0" applyNumberFormat="1" applyFont="1" applyFill="1" applyBorder="1"/>
    <xf numFmtId="169" fontId="14" fillId="0" borderId="41" xfId="0" applyNumberFormat="1" applyFont="1" applyFill="1" applyBorder="1"/>
    <xf numFmtId="167" fontId="14" fillId="0" borderId="7" xfId="0" applyNumberFormat="1" applyFont="1" applyFill="1" applyBorder="1"/>
    <xf numFmtId="164" fontId="14" fillId="0" borderId="7" xfId="1" applyNumberFormat="1" applyFont="1" applyFill="1" applyBorder="1"/>
    <xf numFmtId="166" fontId="14" fillId="0" borderId="7" xfId="0" applyNumberFormat="1" applyFont="1" applyFill="1" applyBorder="1"/>
    <xf numFmtId="164" fontId="14" fillId="0" borderId="7" xfId="0" applyNumberFormat="1" applyFont="1" applyFill="1" applyBorder="1"/>
    <xf numFmtId="169" fontId="14" fillId="0" borderId="40" xfId="0" applyNumberFormat="1" applyFont="1" applyFill="1" applyBorder="1"/>
    <xf numFmtId="171" fontId="2" fillId="0" borderId="0" xfId="0" applyNumberFormat="1" applyFont="1" applyFill="1" applyBorder="1"/>
    <xf numFmtId="167" fontId="2" fillId="0" borderId="0" xfId="0" applyNumberFormat="1" applyFont="1" applyFill="1"/>
    <xf numFmtId="44" fontId="2" fillId="0" borderId="0" xfId="1" applyFont="1"/>
    <xf numFmtId="0" fontId="2" fillId="0" borderId="0" xfId="0" applyFont="1" applyAlignment="1">
      <alignment horizontal="center"/>
    </xf>
    <xf numFmtId="165" fontId="2" fillId="0" borderId="0" xfId="0" applyNumberFormat="1" applyFont="1"/>
    <xf numFmtId="165" fontId="2" fillId="0" borderId="0" xfId="0" applyNumberFormat="1" applyFont="1" applyFill="1"/>
    <xf numFmtId="0" fontId="18" fillId="0" borderId="0" xfId="0" applyFont="1" applyFill="1" applyBorder="1" applyAlignment="1">
      <alignment horizontal="centerContinuous"/>
    </xf>
    <xf numFmtId="0" fontId="19" fillId="0" borderId="0" xfId="0" applyFont="1" applyFill="1" applyBorder="1" applyAlignment="1">
      <alignment horizontal="centerContinuous"/>
    </xf>
    <xf numFmtId="0" fontId="0" fillId="0" borderId="0" xfId="0" applyFill="1"/>
    <xf numFmtId="0" fontId="1" fillId="0" borderId="0" xfId="0" applyFont="1" applyFill="1" applyBorder="1" applyAlignment="1">
      <alignment horizontal="centerContinuous"/>
    </xf>
    <xf numFmtId="0" fontId="20" fillId="0" borderId="0" xfId="0" applyFont="1" applyBorder="1"/>
    <xf numFmtId="0" fontId="20" fillId="0" borderId="0" xfId="0" applyFont="1"/>
    <xf numFmtId="0" fontId="18" fillId="0" borderId="0" xfId="0" applyFont="1" applyFill="1" applyBorder="1" applyAlignment="1">
      <alignment horizontal="right" vertical="top"/>
    </xf>
    <xf numFmtId="0" fontId="18" fillId="0" borderId="0" xfId="0" applyFont="1" applyFill="1" applyBorder="1" applyAlignment="1">
      <alignment horizontal="left" vertical="top"/>
    </xf>
    <xf numFmtId="0" fontId="20" fillId="0" borderId="23" xfId="0" applyFont="1" applyFill="1" applyBorder="1" applyAlignment="1">
      <alignment horizontal="centerContinuous"/>
    </xf>
    <xf numFmtId="0" fontId="20" fillId="0" borderId="23" xfId="0" applyFont="1" applyFill="1" applyBorder="1"/>
    <xf numFmtId="0" fontId="20" fillId="0" borderId="0" xfId="0" applyFont="1" applyFill="1"/>
    <xf numFmtId="0" fontId="19" fillId="0" borderId="27" xfId="0" applyFont="1" applyFill="1" applyBorder="1" applyAlignment="1">
      <alignment horizontal="center" wrapText="1"/>
    </xf>
    <xf numFmtId="0" fontId="19" fillId="0" borderId="28" xfId="0" applyFont="1" applyFill="1" applyBorder="1" applyAlignment="1">
      <alignment horizontal="center"/>
    </xf>
    <xf numFmtId="0" fontId="0" fillId="0" borderId="29" xfId="0" applyFill="1" applyBorder="1"/>
    <xf numFmtId="0" fontId="0" fillId="0" borderId="2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9" fontId="19" fillId="0" borderId="34" xfId="0" applyNumberFormat="1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1" fillId="0" borderId="20" xfId="0" applyFont="1" applyFill="1" applyBorder="1" applyAlignment="1">
      <alignment horizontal="left"/>
    </xf>
    <xf numFmtId="42" fontId="0" fillId="0" borderId="22" xfId="0" applyNumberForma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10" fontId="0" fillId="0" borderId="5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9" fontId="21" fillId="0" borderId="0" xfId="0" applyNumberFormat="1" applyFont="1" applyFill="1" applyBorder="1" applyAlignment="1">
      <alignment horizontal="centerContinuous"/>
    </xf>
    <xf numFmtId="41" fontId="0" fillId="0" borderId="26" xfId="0" applyNumberFormat="1" applyFill="1" applyBorder="1" applyAlignment="1">
      <alignment horizontal="center"/>
    </xf>
    <xf numFmtId="0" fontId="22" fillId="0" borderId="0" xfId="0" applyFont="1" applyFill="1"/>
    <xf numFmtId="0" fontId="0" fillId="0" borderId="0" xfId="0" applyFill="1" applyBorder="1"/>
    <xf numFmtId="174" fontId="0" fillId="0" borderId="0" xfId="0" applyNumberFormat="1" applyFont="1" applyFill="1" applyBorder="1"/>
    <xf numFmtId="174" fontId="0" fillId="0" borderId="5" xfId="0" applyNumberFormat="1" applyFont="1" applyFill="1" applyBorder="1"/>
    <xf numFmtId="42" fontId="1" fillId="0" borderId="22" xfId="0" applyNumberFormat="1" applyFont="1" applyFill="1" applyBorder="1" applyAlignment="1"/>
    <xf numFmtId="0" fontId="0" fillId="0" borderId="22" xfId="0" applyFill="1" applyBorder="1"/>
    <xf numFmtId="0" fontId="21" fillId="0" borderId="0" xfId="0" applyFont="1" applyFill="1"/>
    <xf numFmtId="164" fontId="1" fillId="0" borderId="22" xfId="0" applyNumberFormat="1" applyFont="1" applyFill="1" applyBorder="1" applyAlignment="1"/>
    <xf numFmtId="164" fontId="0" fillId="0" borderId="22" xfId="0" applyNumberFormat="1" applyFill="1" applyBorder="1" applyAlignment="1">
      <alignment horizontal="center"/>
    </xf>
    <xf numFmtId="41" fontId="1" fillId="0" borderId="22" xfId="0" applyNumberFormat="1" applyFont="1" applyFill="1" applyBorder="1" applyAlignment="1"/>
    <xf numFmtId="0" fontId="1" fillId="0" borderId="20" xfId="0" applyFont="1" applyFill="1" applyBorder="1"/>
    <xf numFmtId="0" fontId="0" fillId="0" borderId="5" xfId="0" applyFill="1" applyBorder="1" applyAlignment="1">
      <alignment horizontal="left"/>
    </xf>
    <xf numFmtId="0" fontId="0" fillId="0" borderId="20" xfId="0" applyFill="1" applyBorder="1"/>
    <xf numFmtId="9" fontId="0" fillId="0" borderId="0" xfId="0" applyNumberFormat="1" applyFill="1" applyBorder="1"/>
    <xf numFmtId="37" fontId="1" fillId="0" borderId="26" xfId="0" applyNumberFormat="1" applyFont="1" applyFill="1" applyBorder="1"/>
    <xf numFmtId="42" fontId="1" fillId="0" borderId="26" xfId="0" applyNumberFormat="1" applyFont="1" applyFill="1" applyBorder="1"/>
    <xf numFmtId="9" fontId="0" fillId="0" borderId="5" xfId="0" applyNumberFormat="1" applyFill="1" applyBorder="1"/>
    <xf numFmtId="42" fontId="1" fillId="0" borderId="22" xfId="0" applyNumberFormat="1" applyFont="1" applyFill="1" applyBorder="1"/>
    <xf numFmtId="0" fontId="0" fillId="0" borderId="5" xfId="0" applyFill="1" applyBorder="1"/>
    <xf numFmtId="164" fontId="1" fillId="0" borderId="22" xfId="0" applyNumberFormat="1" applyFont="1" applyFill="1" applyBorder="1"/>
    <xf numFmtId="0" fontId="23" fillId="0" borderId="20" xfId="0" applyFont="1" applyFill="1" applyBorder="1"/>
    <xf numFmtId="173" fontId="1" fillId="0" borderId="22" xfId="0" applyNumberFormat="1" applyFont="1" applyFill="1" applyBorder="1"/>
    <xf numFmtId="172" fontId="1" fillId="0" borderId="22" xfId="0" applyNumberFormat="1" applyFont="1" applyFill="1" applyBorder="1"/>
    <xf numFmtId="173" fontId="1" fillId="0" borderId="26" xfId="0" applyNumberFormat="1" applyFont="1" applyFill="1" applyBorder="1"/>
    <xf numFmtId="168" fontId="1" fillId="0" borderId="26" xfId="0" applyNumberFormat="1" applyFont="1" applyFill="1" applyBorder="1"/>
    <xf numFmtId="9" fontId="1" fillId="0" borderId="22" xfId="0" applyNumberFormat="1" applyFont="1" applyFill="1" applyBorder="1" applyAlignment="1">
      <alignment horizontal="center"/>
    </xf>
    <xf numFmtId="37" fontId="17" fillId="0" borderId="26" xfId="0" applyNumberFormat="1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0" fillId="0" borderId="31" xfId="0" applyFill="1" applyBorder="1"/>
    <xf numFmtId="0" fontId="1" fillId="0" borderId="39" xfId="0" applyFont="1" applyFill="1" applyBorder="1"/>
    <xf numFmtId="0" fontId="19" fillId="0" borderId="23" xfId="0" applyFont="1" applyFill="1" applyBorder="1"/>
    <xf numFmtId="0" fontId="19" fillId="0" borderId="24" xfId="0" applyFont="1" applyFill="1" applyBorder="1"/>
    <xf numFmtId="42" fontId="19" fillId="0" borderId="32" xfId="0" applyNumberFormat="1" applyFont="1" applyFill="1" applyBorder="1"/>
    <xf numFmtId="0" fontId="0" fillId="0" borderId="25" xfId="0" applyFill="1" applyBorder="1"/>
    <xf numFmtId="43" fontId="1" fillId="0" borderId="0" xfId="0" applyNumberFormat="1" applyFont="1" applyFill="1" applyBorder="1"/>
    <xf numFmtId="43" fontId="19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19" fillId="0" borderId="0" xfId="0" applyFont="1" applyFill="1" applyBorder="1" applyAlignment="1"/>
    <xf numFmtId="0" fontId="19" fillId="0" borderId="6" xfId="0" applyFont="1" applyFill="1" applyBorder="1" applyAlignment="1">
      <alignment horizontal="center"/>
    </xf>
    <xf numFmtId="43" fontId="19" fillId="0" borderId="6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173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41" fontId="1" fillId="0" borderId="0" xfId="0" applyNumberFormat="1" applyFont="1" applyFill="1" applyBorder="1"/>
    <xf numFmtId="41" fontId="1" fillId="0" borderId="0" xfId="0" applyNumberFormat="1" applyFont="1" applyFill="1" applyBorder="1" applyAlignment="1">
      <alignment vertical="top"/>
    </xf>
    <xf numFmtId="41" fontId="1" fillId="0" borderId="0" xfId="0" applyNumberFormat="1" applyFont="1" applyFill="1"/>
    <xf numFmtId="0" fontId="19" fillId="0" borderId="0" xfId="0" applyFont="1" applyFill="1" applyAlignment="1"/>
    <xf numFmtId="42" fontId="19" fillId="0" borderId="7" xfId="0" applyNumberFormat="1" applyFont="1" applyFill="1" applyBorder="1"/>
    <xf numFmtId="44" fontId="0" fillId="0" borderId="0" xfId="0" applyNumberFormat="1" applyFill="1"/>
    <xf numFmtId="164" fontId="0" fillId="0" borderId="0" xfId="0" applyNumberFormat="1" applyFill="1"/>
    <xf numFmtId="164" fontId="0" fillId="0" borderId="0" xfId="0" applyNumberFormat="1"/>
    <xf numFmtId="44" fontId="0" fillId="0" borderId="0" xfId="0" applyNumberFormat="1"/>
    <xf numFmtId="164" fontId="14" fillId="0" borderId="7" xfId="8" applyNumberFormat="1" applyFont="1" applyFill="1" applyBorder="1"/>
    <xf numFmtId="164" fontId="14" fillId="0" borderId="0" xfId="8" applyNumberFormat="1" applyFont="1" applyFill="1" applyBorder="1"/>
    <xf numFmtId="169" fontId="16" fillId="0" borderId="1" xfId="6" applyNumberFormat="1" applyFont="1" applyFill="1" applyBorder="1"/>
    <xf numFmtId="178" fontId="2" fillId="0" borderId="0" xfId="0" applyNumberFormat="1" applyFont="1" applyFill="1" applyBorder="1"/>
    <xf numFmtId="0" fontId="2" fillId="0" borderId="0" xfId="0" quotePrefix="1" applyFont="1" applyBorder="1" applyAlignment="1">
      <alignment horizontal="left" vertical="top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4" fillId="0" borderId="0" xfId="0" quotePrefix="1" applyFont="1" applyBorder="1" applyAlignment="1">
      <alignment horizontal="left" vertical="top" wrapText="1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quotePrefix="1" applyFont="1" applyFill="1" applyAlignment="1">
      <alignment horizontal="center"/>
    </xf>
    <xf numFmtId="0" fontId="2" fillId="0" borderId="0" xfId="0" quotePrefix="1" applyFont="1" applyFill="1" applyAlignment="1">
      <alignment horizontal="left" indent="3"/>
    </xf>
    <xf numFmtId="0" fontId="2" fillId="0" borderId="0" xfId="0" quotePrefix="1" applyFont="1" applyAlignment="1">
      <alignment horizontal="left" indent="3"/>
    </xf>
    <xf numFmtId="0" fontId="2" fillId="0" borderId="0" xfId="0" quotePrefix="1" applyFont="1" applyAlignment="1">
      <alignment horizontal="left" indent="1"/>
    </xf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left" indent="2"/>
    </xf>
    <xf numFmtId="0" fontId="2" fillId="4" borderId="0" xfId="0" quotePrefix="1" applyFont="1" applyFill="1" applyAlignment="1">
      <alignment horizontal="left" indent="2"/>
    </xf>
    <xf numFmtId="0" fontId="2" fillId="0" borderId="8" xfId="0" quotePrefix="1" applyFont="1" applyBorder="1" applyAlignment="1">
      <alignment horizontal="center"/>
    </xf>
    <xf numFmtId="0" fontId="2" fillId="0" borderId="0" xfId="0" quotePrefix="1" applyFont="1" applyAlignment="1">
      <alignment horizontal="left" indent="2"/>
    </xf>
    <xf numFmtId="0" fontId="7" fillId="0" borderId="3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wrapText="1"/>
    </xf>
  </cellXfs>
  <cellStyles count="11">
    <cellStyle name="Comma" xfId="5" builtinId="3"/>
    <cellStyle name="Comma 3" xfId="4"/>
    <cellStyle name="Currency" xfId="1" builtinId="4"/>
    <cellStyle name="Currency 10 2" xfId="8"/>
    <cellStyle name="Currency 2" xfId="7"/>
    <cellStyle name="Currency 2 12" xfId="9"/>
    <cellStyle name="Normal" xfId="0" builtinId="0"/>
    <cellStyle name="Normal 4" xfId="3"/>
    <cellStyle name="Percent" xfId="2" builtinId="5"/>
    <cellStyle name="Percent 2" xfId="6"/>
    <cellStyle name="Percent 2 3 3" xfId="10"/>
  </cellStyles>
  <dxfs count="0"/>
  <tableStyles count="0" defaultTableStyle="TableStyleMedium9" defaultPivotStyle="PivotStyleLight16"/>
  <colors>
    <mruColors>
      <color rgb="FF008080"/>
      <color rgb="FFFF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customXml" Target="../customXml/item1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customXml" Target="../customXml/item2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sharedStrings" Target="sharedStrings.xml"/><Relationship Id="rId115" Type="http://schemas.openxmlformats.org/officeDocument/2006/relationships/customXml" Target="../customXml/item4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customXml" Target="../customXml/item5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47</xdr:row>
      <xdr:rowOff>1</xdr:rowOff>
    </xdr:from>
    <xdr:to>
      <xdr:col>4</xdr:col>
      <xdr:colOff>300568</xdr:colOff>
      <xdr:row>59</xdr:row>
      <xdr:rowOff>86785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4" y="10955868"/>
          <a:ext cx="6438900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449580</xdr:colOff>
      <xdr:row>23</xdr:row>
      <xdr:rowOff>117466</xdr:rowOff>
    </xdr:from>
    <xdr:to>
      <xdr:col>23</xdr:col>
      <xdr:colOff>154206</xdr:colOff>
      <xdr:row>58</xdr:row>
      <xdr:rowOff>57635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2320" y="3264526"/>
          <a:ext cx="7454166" cy="4923649"/>
        </a:xfrm>
        <a:prstGeom prst="rect">
          <a:avLst/>
        </a:prstGeom>
      </xdr:spPr>
    </xdr:pic>
    <xdr:clientData/>
  </xdr:twoCellAnchor>
  <xdr:twoCellAnchor editAs="oneCell">
    <xdr:from>
      <xdr:col>10</xdr:col>
      <xdr:colOff>403860</xdr:colOff>
      <xdr:row>59</xdr:row>
      <xdr:rowOff>27618</xdr:rowOff>
    </xdr:from>
    <xdr:to>
      <xdr:col>23</xdr:col>
      <xdr:colOff>206282</xdr:colOff>
      <xdr:row>77</xdr:row>
      <xdr:rowOff>119502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0" y="8295318"/>
          <a:ext cx="7551962" cy="28427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47</xdr:row>
      <xdr:rowOff>1</xdr:rowOff>
    </xdr:from>
    <xdr:ext cx="6434667" cy="18415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7654291"/>
          <a:ext cx="6434667" cy="1841500"/>
        </a:xfrm>
        <a:prstGeom prst="rect">
          <a:avLst/>
        </a:prstGeom>
      </xdr:spPr>
    </xdr:pic>
    <xdr:clientData/>
  </xdr:oneCellAnchor>
  <xdr:oneCellAnchor>
    <xdr:from>
      <xdr:col>1</xdr:col>
      <xdr:colOff>1198034</xdr:colOff>
      <xdr:row>7</xdr:row>
      <xdr:rowOff>88900</xdr:rowOff>
    </xdr:from>
    <xdr:ext cx="9004773" cy="2628220"/>
    <xdr:sp macro="" textlink="">
      <xdr:nvSpPr>
        <xdr:cNvPr id="3" name="Rectangle 2"/>
        <xdr:cNvSpPr/>
      </xdr:nvSpPr>
      <xdr:spPr>
        <a:xfrm rot="20397266">
          <a:off x="1634067" y="2129367"/>
          <a:ext cx="9004773" cy="262822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2021 Electric Low Income Filing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UE-210674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1607820</xdr:colOff>
      <xdr:row>6</xdr:row>
      <xdr:rowOff>137160</xdr:rowOff>
    </xdr:from>
    <xdr:ext cx="6115050" cy="4318811"/>
    <xdr:sp macro="" textlink="">
      <xdr:nvSpPr>
        <xdr:cNvPr id="2" name="Rectangle 1"/>
        <xdr:cNvSpPr/>
      </xdr:nvSpPr>
      <xdr:spPr>
        <a:xfrm>
          <a:off x="1219200" y="1143000"/>
          <a:ext cx="6115050" cy="43188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 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2022</a:t>
          </a:r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Revenue Revenue </a:t>
          </a:r>
        </a:p>
        <a:p>
          <a:pPr algn="ctr"/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Requirement Workpapers</a:t>
          </a:r>
          <a:endParaRPr lang="en-US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PCOS/RateFilings/Sch_129_Low_Income/2022_Filing/RevReq/v2/UXXXX-Advice-2022-23-PSE-WP-Low-Income-Rev-Req-(8-31-2022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ID Assistance Funding"/>
      <sheetName val="Summary of RR change"/>
      <sheetName val="Revenue Req 2021-2022"/>
      <sheetName val="2021 Elec&amp;Gas Forecast Revenue"/>
      <sheetName val="2021-2022 Elec Rev Collected"/>
      <sheetName val="2020-2021 Elec Rev Collected"/>
      <sheetName val="2021 Elec Rates"/>
      <sheetName val="2020 Elec Rates"/>
      <sheetName val="F22 Electric - Load"/>
      <sheetName val="Electric - Load"/>
      <sheetName val="2021-2022 Gas Rev Collected"/>
      <sheetName val="2020-2021 Gas Rev Collected"/>
      <sheetName val="2021 Prop G Rates"/>
      <sheetName val="2020 Proposed Gas Rates"/>
      <sheetName val="ConvFac Elec -2019 GRC"/>
      <sheetName val="ConvFac Gas-2019 GRC"/>
      <sheetName val="F22 Gas - Load"/>
      <sheetName val="Gas - Load"/>
      <sheetName val="Elec Sch 142 5-2022"/>
      <sheetName val="Elec Sch 142 5-2021"/>
      <sheetName val="Gas Sch 142 05-2022"/>
      <sheetName val="Gas Sch 142 05-2021"/>
      <sheetName val="LIHEAP Credit"/>
      <sheetName val="2020 PCORC Low-Income Funding"/>
      <sheetName val="2020 PCORC Electr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tabSelected="1" zoomScaleNormal="100" workbookViewId="0">
      <pane xSplit="3" ySplit="6" topLeftCell="D7" activePane="bottomRight" state="frozen"/>
      <selection activeCell="B13" sqref="B13"/>
      <selection pane="topRight" activeCell="B13" sqref="B13"/>
      <selection pane="bottomLeft" activeCell="B13" sqref="B13"/>
      <selection pane="bottomRight" activeCell="F19" sqref="F19"/>
    </sheetView>
  </sheetViews>
  <sheetFormatPr defaultColWidth="9.109375" defaultRowHeight="10.199999999999999" x14ac:dyDescent="0.2"/>
  <cols>
    <col min="1" max="1" width="5.6640625" style="189" customWidth="1"/>
    <col min="2" max="2" width="19.44140625" style="189" bestFit="1" customWidth="1"/>
    <col min="3" max="3" width="9.5546875" style="122" bestFit="1" customWidth="1"/>
    <col min="4" max="5" width="15.44140625" style="198" customWidth="1"/>
    <col min="6" max="6" width="12.88671875" style="189" customWidth="1"/>
    <col min="7" max="7" width="12" style="189" customWidth="1"/>
    <col min="8" max="8" width="11.5546875" style="189" customWidth="1"/>
    <col min="9" max="10" width="15.44140625" style="198" customWidth="1"/>
    <col min="11" max="11" width="13.44140625" style="189" bestFit="1" customWidth="1"/>
    <col min="12" max="12" width="9.6640625" style="189" customWidth="1"/>
    <col min="13" max="13" width="9.109375" style="189"/>
    <col min="14" max="15" width="9.88671875" style="189" bestFit="1" customWidth="1"/>
    <col min="16" max="16" width="6.88671875" style="189" bestFit="1" customWidth="1"/>
    <col min="17" max="18" width="14" style="189" bestFit="1" customWidth="1"/>
    <col min="19" max="16384" width="9.109375" style="189"/>
  </cols>
  <sheetData>
    <row r="1" spans="1:12" s="216" customFormat="1" x14ac:dyDescent="0.2">
      <c r="A1" s="335" t="str">
        <f>TEXT(Controls!B7,"yyyy")&amp;" Low Income Customer Charge"</f>
        <v>2022 Low Income Customer Charge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</row>
    <row r="2" spans="1:12" s="216" customFormat="1" x14ac:dyDescent="0.2">
      <c r="A2" s="338" t="s">
        <v>8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40"/>
    </row>
    <row r="3" spans="1:12" s="216" customFormat="1" x14ac:dyDescent="0.2">
      <c r="A3" s="338" t="s">
        <v>62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40"/>
    </row>
    <row r="4" spans="1:12" s="216" customFormat="1" x14ac:dyDescent="0.2">
      <c r="A4" s="338" t="str">
        <f>"For the Twelve Months Ended "&amp;TEXT(Controls!B8,"mmmm d, yyyy")</f>
        <v>For the Twelve Months Ended September 30, 2023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</row>
    <row r="5" spans="1:12" s="216" customFormat="1" x14ac:dyDescent="0.2">
      <c r="A5" s="217"/>
      <c r="B5" s="218"/>
      <c r="C5" s="218"/>
      <c r="D5" s="219"/>
      <c r="E5" s="219"/>
      <c r="F5" s="218"/>
      <c r="G5" s="218"/>
      <c r="H5" s="218"/>
      <c r="I5" s="219"/>
      <c r="J5" s="219"/>
      <c r="K5" s="218"/>
      <c r="L5" s="220"/>
    </row>
    <row r="6" spans="1:12" s="226" customFormat="1" ht="51.6" thickBot="1" x14ac:dyDescent="0.25">
      <c r="A6" s="221" t="s">
        <v>9</v>
      </c>
      <c r="B6" s="222" t="s">
        <v>63</v>
      </c>
      <c r="C6" s="222" t="s">
        <v>0</v>
      </c>
      <c r="D6" s="223" t="str">
        <f>Controls!B6&amp;" Forecast Delivered kWh "&amp;TEXT(Controls!B7,"MM/DD/YY")&amp;" through "&amp;TEXT(Controls!B8,"MM/DD/YY")</f>
        <v>F2022 Forecast Delivered kWh 10/01/22 through 09/30/23</v>
      </c>
      <c r="E6" s="223" t="str">
        <f>"Estimated Delivered Revenue "&amp;TEXT(Controls!B7,"mmmm d, yyyy")&amp;" through "&amp;TEXT(Controls!B8,"mmmm d, yyyy")&amp;" (Note 1)"</f>
        <v>Estimated Delivered Revenue October 1, 2022 through September 30, 2023 (Note 1)</v>
      </c>
      <c r="F6" s="224" t="str">
        <f>TEXT(Controls!B4,"yyyy")&amp;" Low Income Rider Effective "&amp;TEXT(Controls!B4,"MM/DD/YY")</f>
        <v>2021 Low Income Rider Effective 10/01/21</v>
      </c>
      <c r="G6" s="224" t="str">
        <f>"Proposed "&amp;TEXT(Controls!B7,"yyyy")&amp;" Low Income Rider"</f>
        <v>Proposed 2022 Low Income Rider</v>
      </c>
      <c r="H6" s="224" t="s">
        <v>75</v>
      </c>
      <c r="I6" s="223" t="str">
        <f>"$ Including "&amp;TEXT(Controls!B4,"yyyy")&amp;" Low Income Effective
 "&amp;TEXT(Controls!B4,"mm/dd/yy")</f>
        <v>$ Including 2021 Low Income Effective
 10/01/21</v>
      </c>
      <c r="J6" s="223" t="str">
        <f>"$ Including Proposed "&amp;TEXT(Controls!B1,"yyyy")&amp;" Low Income Effective
 "&amp;TEXT(Controls!B1,"mm/dd/yy")</f>
        <v>$ Including Proposed 2022 Low Income Effective
 10/01/22</v>
      </c>
      <c r="K6" s="224" t="s">
        <v>64</v>
      </c>
      <c r="L6" s="225" t="s">
        <v>65</v>
      </c>
    </row>
    <row r="7" spans="1:12" s="195" customFormat="1" ht="21" thickBot="1" x14ac:dyDescent="0.25">
      <c r="A7" s="190"/>
      <c r="B7" s="191"/>
      <c r="C7" s="191"/>
      <c r="D7" s="196" t="s">
        <v>14</v>
      </c>
      <c r="E7" s="196" t="s">
        <v>15</v>
      </c>
      <c r="F7" s="191" t="s">
        <v>16</v>
      </c>
      <c r="G7" s="191" t="s">
        <v>45</v>
      </c>
      <c r="H7" s="193" t="s">
        <v>72</v>
      </c>
      <c r="I7" s="192" t="s">
        <v>127</v>
      </c>
      <c r="J7" s="192" t="s">
        <v>128</v>
      </c>
      <c r="K7" s="193" t="s">
        <v>73</v>
      </c>
      <c r="L7" s="194" t="s">
        <v>74</v>
      </c>
    </row>
    <row r="8" spans="1:12" x14ac:dyDescent="0.2">
      <c r="A8" s="197"/>
      <c r="L8" s="199"/>
    </row>
    <row r="9" spans="1:12" x14ac:dyDescent="0.2">
      <c r="A9" s="197">
        <v>1</v>
      </c>
      <c r="B9" s="200" t="s">
        <v>1</v>
      </c>
      <c r="C9" s="122">
        <v>7</v>
      </c>
      <c r="D9" s="102">
        <f>+'2022 Equal % Allocation'!D7</f>
        <v>10803757000</v>
      </c>
      <c r="E9" s="63">
        <f>+'Base Revenue'!Q11</f>
        <v>1216477000</v>
      </c>
      <c r="F9" s="201">
        <f>ROUND(+'2021 Equal % Allocation'!F7,6)</f>
        <v>1.3519999999999999E-3</v>
      </c>
      <c r="G9" s="201">
        <f>ROUND(+'2022 Equal % Allocation'!F7,6)</f>
        <v>2.6870000000000002E-3</v>
      </c>
      <c r="H9" s="201">
        <f>G9-F9</f>
        <v>1.3350000000000002E-3</v>
      </c>
      <c r="I9" s="202">
        <f>+F9*D9+E9</f>
        <v>1231083679.464</v>
      </c>
      <c r="J9" s="202">
        <f>+G9*D9+E9</f>
        <v>1245506695.059</v>
      </c>
      <c r="K9" s="202">
        <f>+J9-I9</f>
        <v>14423015.595000029</v>
      </c>
      <c r="L9" s="203">
        <f>IF(I9&gt;0,+K9/I9,0)</f>
        <v>1.1715706930076149E-2</v>
      </c>
    </row>
    <row r="10" spans="1:12" x14ac:dyDescent="0.2">
      <c r="A10" s="197">
        <f>+A9+1</f>
        <v>2</v>
      </c>
      <c r="B10" s="200"/>
      <c r="D10" s="102"/>
      <c r="E10" s="63"/>
      <c r="F10" s="204"/>
      <c r="G10" s="204"/>
      <c r="H10" s="201" t="s">
        <v>70</v>
      </c>
      <c r="I10" s="202"/>
      <c r="J10" s="202"/>
      <c r="K10" s="202"/>
      <c r="L10" s="203"/>
    </row>
    <row r="11" spans="1:12" x14ac:dyDescent="0.2">
      <c r="A11" s="197">
        <f t="shared" ref="A11:A40" si="0">+A10+1</f>
        <v>3</v>
      </c>
      <c r="B11" s="205" t="s">
        <v>46</v>
      </c>
      <c r="C11" s="124" t="s">
        <v>116</v>
      </c>
      <c r="D11" s="102">
        <f>+'2022 Equal % Allocation'!D9</f>
        <v>2715721000</v>
      </c>
      <c r="E11" s="63">
        <f>+'Base Revenue'!Q15</f>
        <v>315563000</v>
      </c>
      <c r="F11" s="201">
        <f>ROUND(+'2021 Equal % Allocation'!F9,6)</f>
        <v>1.3339999999999999E-3</v>
      </c>
      <c r="G11" s="201">
        <f>ROUND(+'2022 Equal % Allocation'!F9,6)</f>
        <v>2.6389999999999999E-3</v>
      </c>
      <c r="H11" s="201">
        <f t="shared" ref="H11:H35" si="1">G11-F11</f>
        <v>1.305E-3</v>
      </c>
      <c r="I11" s="202">
        <f t="shared" ref="I11:I14" si="2">+F11*D11+E11</f>
        <v>319185771.81400001</v>
      </c>
      <c r="J11" s="202">
        <f t="shared" ref="J11:J14" si="3">+G11*D11+E11</f>
        <v>322729787.71899998</v>
      </c>
      <c r="K11" s="202">
        <f>+J11-I11</f>
        <v>3544015.9049999714</v>
      </c>
      <c r="L11" s="203">
        <f>IF(I11&gt;0,+K11/I11,0)</f>
        <v>1.1103301644238658E-2</v>
      </c>
    </row>
    <row r="12" spans="1:12" x14ac:dyDescent="0.2">
      <c r="A12" s="197">
        <f t="shared" si="0"/>
        <v>4</v>
      </c>
      <c r="B12" s="206" t="s">
        <v>47</v>
      </c>
      <c r="C12" s="7" t="s">
        <v>117</v>
      </c>
      <c r="D12" s="102">
        <f>+'2022 Equal % Allocation'!D10</f>
        <v>2875620000</v>
      </c>
      <c r="E12" s="63">
        <f>+'Base Revenue'!Q16</f>
        <v>305591000</v>
      </c>
      <c r="F12" s="201">
        <f>ROUND(+'2021 Equal % Allocation'!F10,6)</f>
        <v>1.206E-3</v>
      </c>
      <c r="G12" s="201">
        <f>ROUND(+'2022 Equal % Allocation'!F10,6)</f>
        <v>2.3969999999999998E-3</v>
      </c>
      <c r="H12" s="201">
        <f t="shared" si="1"/>
        <v>1.1909999999999998E-3</v>
      </c>
      <c r="I12" s="202">
        <f t="shared" si="2"/>
        <v>309058997.72000003</v>
      </c>
      <c r="J12" s="202">
        <f t="shared" si="3"/>
        <v>312483861.13999999</v>
      </c>
      <c r="K12" s="202">
        <f>+J12-I12</f>
        <v>3424863.4199999571</v>
      </c>
      <c r="L12" s="203">
        <f>IF(I12&gt;0,+K12/I12,0)</f>
        <v>1.1081584568855687E-2</v>
      </c>
    </row>
    <row r="13" spans="1:12" x14ac:dyDescent="0.2">
      <c r="A13" s="197">
        <f t="shared" si="0"/>
        <v>5</v>
      </c>
      <c r="B13" s="206" t="s">
        <v>48</v>
      </c>
      <c r="C13" s="7" t="s">
        <v>118</v>
      </c>
      <c r="D13" s="102">
        <f>+'2022 Equal % Allocation'!D11</f>
        <v>1815376000</v>
      </c>
      <c r="E13" s="63">
        <f>+'Base Revenue'!Q17</f>
        <v>179615000</v>
      </c>
      <c r="F13" s="201">
        <f>ROUND(+'2021 Equal % Allocation'!F11,6)</f>
        <v>1.1180000000000001E-3</v>
      </c>
      <c r="G13" s="201">
        <f>ROUND(+'2022 Equal % Allocation'!F11,6)</f>
        <v>2.2179999999999999E-3</v>
      </c>
      <c r="H13" s="201">
        <f t="shared" si="1"/>
        <v>1.0999999999999998E-3</v>
      </c>
      <c r="I13" s="202">
        <f t="shared" si="2"/>
        <v>181644590.368</v>
      </c>
      <c r="J13" s="202">
        <f t="shared" si="3"/>
        <v>183641503.96799999</v>
      </c>
      <c r="K13" s="202">
        <f>+J13-I13</f>
        <v>1996913.599999994</v>
      </c>
      <c r="L13" s="203">
        <f>IF(I13&gt;0,+K13/I13,0)</f>
        <v>1.0993520896792898E-2</v>
      </c>
    </row>
    <row r="14" spans="1:12" x14ac:dyDescent="0.2">
      <c r="A14" s="197">
        <f t="shared" si="0"/>
        <v>6</v>
      </c>
      <c r="B14" s="206" t="s">
        <v>49</v>
      </c>
      <c r="C14" s="122">
        <v>29</v>
      </c>
      <c r="D14" s="102">
        <f>+'2022 Equal % Allocation'!D12</f>
        <v>14984000</v>
      </c>
      <c r="E14" s="63">
        <f>+'Base Revenue'!Q18</f>
        <v>1306000</v>
      </c>
      <c r="F14" s="201">
        <f>ROUND(+'2021 Equal % Allocation'!F12,6)</f>
        <v>1.054E-3</v>
      </c>
      <c r="G14" s="201">
        <f>ROUND(+'2022 Equal % Allocation'!F12,6)</f>
        <v>2.1069999999999999E-3</v>
      </c>
      <c r="H14" s="201">
        <f t="shared" si="1"/>
        <v>1.0529999999999999E-3</v>
      </c>
      <c r="I14" s="202">
        <f t="shared" si="2"/>
        <v>1321793.1359999999</v>
      </c>
      <c r="J14" s="202">
        <f t="shared" si="3"/>
        <v>1337571.2879999999</v>
      </c>
      <c r="K14" s="202">
        <f>+J14-I14</f>
        <v>15778.152000000002</v>
      </c>
      <c r="L14" s="203">
        <f>IF(I14&gt;0,+K14/I14,0)</f>
        <v>1.1936929894906039E-2</v>
      </c>
    </row>
    <row r="15" spans="1:12" x14ac:dyDescent="0.2">
      <c r="A15" s="197">
        <f t="shared" si="0"/>
        <v>7</v>
      </c>
      <c r="B15" s="200"/>
      <c r="D15" s="102"/>
      <c r="E15" s="63"/>
      <c r="F15" s="204"/>
      <c r="G15" s="204"/>
      <c r="H15" s="201" t="s">
        <v>70</v>
      </c>
      <c r="I15" s="202"/>
      <c r="J15" s="202"/>
      <c r="K15" s="202"/>
      <c r="L15" s="203"/>
    </row>
    <row r="16" spans="1:12" x14ac:dyDescent="0.2">
      <c r="A16" s="197">
        <f t="shared" si="0"/>
        <v>8</v>
      </c>
      <c r="B16" s="200" t="s">
        <v>50</v>
      </c>
      <c r="D16" s="102">
        <f>SUM(D11:D15)</f>
        <v>7421701000</v>
      </c>
      <c r="E16" s="63">
        <f>SUM(E11:E15)</f>
        <v>802075000</v>
      </c>
      <c r="F16" s="201">
        <f>($I16-$E16)/$D16</f>
        <v>1.2310052692772327E-3</v>
      </c>
      <c r="G16" s="201">
        <f>($J16-$E16)/$D16</f>
        <v>2.4411821649780677E-3</v>
      </c>
      <c r="H16" s="201">
        <f t="shared" si="1"/>
        <v>1.210176895700835E-3</v>
      </c>
      <c r="I16" s="202">
        <f>SUM(I11:I15)</f>
        <v>811211153.03800011</v>
      </c>
      <c r="J16" s="202">
        <f>SUM(J11:J15)</f>
        <v>820192724.11499989</v>
      </c>
      <c r="K16" s="202">
        <f>SUM(K11:K14)</f>
        <v>8981571.0769999232</v>
      </c>
      <c r="L16" s="203">
        <f>IF(I16&gt;0,+K16/I16,0)</f>
        <v>1.1071804231689592E-2</v>
      </c>
    </row>
    <row r="17" spans="1:12" x14ac:dyDescent="0.2">
      <c r="A17" s="197">
        <f t="shared" si="0"/>
        <v>9</v>
      </c>
      <c r="B17" s="200"/>
      <c r="D17" s="102"/>
      <c r="E17" s="63"/>
      <c r="F17" s="201"/>
      <c r="G17" s="204"/>
      <c r="H17" s="201" t="s">
        <v>70</v>
      </c>
      <c r="I17" s="202"/>
      <c r="J17" s="202"/>
      <c r="K17" s="202"/>
      <c r="L17" s="203"/>
    </row>
    <row r="18" spans="1:12" x14ac:dyDescent="0.2">
      <c r="A18" s="197">
        <f t="shared" si="0"/>
        <v>10</v>
      </c>
      <c r="B18" s="206" t="s">
        <v>51</v>
      </c>
      <c r="C18" s="124" t="s">
        <v>120</v>
      </c>
      <c r="D18" s="102">
        <f>+'2022 Equal % Allocation'!D15</f>
        <v>1321558000</v>
      </c>
      <c r="E18" s="63">
        <f>+'Base Revenue'!Q22</f>
        <v>128673000</v>
      </c>
      <c r="F18" s="123">
        <f>ROUND(+'2021 Equal % Allocation'!F15,6)</f>
        <v>1.1069999999999999E-3</v>
      </c>
      <c r="G18" s="201">
        <f>ROUND(+'2022 Equal % Allocation'!F15,6)</f>
        <v>2.1909999999999998E-3</v>
      </c>
      <c r="H18" s="201">
        <f t="shared" si="1"/>
        <v>1.0839999999999999E-3</v>
      </c>
      <c r="I18" s="202">
        <f t="shared" ref="I18:I20" si="4">+F18*D18+E18</f>
        <v>130135964.706</v>
      </c>
      <c r="J18" s="202">
        <f t="shared" ref="J18:J20" si="5">+G18*D18+E18</f>
        <v>131568533.57799999</v>
      </c>
      <c r="K18" s="202">
        <f>+J18-I18</f>
        <v>1432568.8719999939</v>
      </c>
      <c r="L18" s="203">
        <f>IF(I18&gt;0,+K18/I18,0)</f>
        <v>1.1008247222329497E-2</v>
      </c>
    </row>
    <row r="19" spans="1:12" x14ac:dyDescent="0.2">
      <c r="A19" s="197">
        <f t="shared" si="0"/>
        <v>11</v>
      </c>
      <c r="B19" s="206" t="s">
        <v>52</v>
      </c>
      <c r="C19" s="122">
        <v>35</v>
      </c>
      <c r="D19" s="102">
        <f>+'2022 Equal % Allocation'!D16</f>
        <v>4711000</v>
      </c>
      <c r="E19" s="63">
        <f>+'Base Revenue'!Q23</f>
        <v>317000</v>
      </c>
      <c r="F19" s="123">
        <f>ROUND(+'2021 Equal % Allocation'!F16,6)</f>
        <v>8.1999999999999998E-4</v>
      </c>
      <c r="G19" s="201">
        <f>ROUND(+'2022 Equal % Allocation'!F16,6)</f>
        <v>1.6590000000000001E-3</v>
      </c>
      <c r="H19" s="201">
        <f t="shared" si="1"/>
        <v>8.3900000000000012E-4</v>
      </c>
      <c r="I19" s="202">
        <f t="shared" si="4"/>
        <v>320863.02</v>
      </c>
      <c r="J19" s="202">
        <f t="shared" si="5"/>
        <v>324815.549</v>
      </c>
      <c r="K19" s="202">
        <f>+J19-I19</f>
        <v>3952.5289999999804</v>
      </c>
      <c r="L19" s="203">
        <f>IF(I19&gt;0,+K19/I19,0)</f>
        <v>1.2318431086262231E-2</v>
      </c>
    </row>
    <row r="20" spans="1:12" x14ac:dyDescent="0.2">
      <c r="A20" s="197">
        <f t="shared" si="0"/>
        <v>12</v>
      </c>
      <c r="B20" s="206" t="s">
        <v>53</v>
      </c>
      <c r="C20" s="122">
        <v>43</v>
      </c>
      <c r="D20" s="102">
        <f>+'2022 Equal % Allocation'!D17</f>
        <v>119012000</v>
      </c>
      <c r="E20" s="63">
        <f>+'Base Revenue'!Q24</f>
        <v>12254000</v>
      </c>
      <c r="F20" s="123">
        <f>ROUND(+'2021 Equal % Allocation'!F17,6)</f>
        <v>1.1590000000000001E-3</v>
      </c>
      <c r="G20" s="201">
        <f>ROUND(+'2022 Equal % Allocation'!F17,6)</f>
        <v>2.3119999999999998E-3</v>
      </c>
      <c r="H20" s="201">
        <f t="shared" si="1"/>
        <v>1.1529999999999997E-3</v>
      </c>
      <c r="I20" s="202">
        <f t="shared" si="4"/>
        <v>12391934.908</v>
      </c>
      <c r="J20" s="202">
        <f t="shared" si="5"/>
        <v>12529155.744000001</v>
      </c>
      <c r="K20" s="202">
        <f>+J20-I20</f>
        <v>137220.83600000106</v>
      </c>
      <c r="L20" s="203">
        <f>IF(I20&gt;0,+K20/I20,0)</f>
        <v>1.1073398708010794E-2</v>
      </c>
    </row>
    <row r="21" spans="1:12" x14ac:dyDescent="0.2">
      <c r="A21" s="197">
        <f t="shared" si="0"/>
        <v>13</v>
      </c>
      <c r="B21" s="207"/>
      <c r="D21" s="102"/>
      <c r="E21" s="63"/>
      <c r="F21" s="123"/>
      <c r="G21" s="204"/>
      <c r="H21" s="201" t="s">
        <v>70</v>
      </c>
      <c r="I21" s="202"/>
      <c r="J21" s="202"/>
      <c r="K21" s="202"/>
      <c r="L21" s="203"/>
    </row>
    <row r="22" spans="1:12" x14ac:dyDescent="0.2">
      <c r="A22" s="197">
        <f t="shared" si="0"/>
        <v>14</v>
      </c>
      <c r="B22" s="207" t="s">
        <v>54</v>
      </c>
      <c r="D22" s="102">
        <f>SUM(D18:D21)</f>
        <v>1445281000</v>
      </c>
      <c r="E22" s="63">
        <f>SUM(E18:E21)</f>
        <v>141244000</v>
      </c>
      <c r="F22" s="123">
        <f>($I22-$E22)/$D22</f>
        <v>1.1103464544265117E-3</v>
      </c>
      <c r="G22" s="201">
        <f>($J22-$E22)/$D22</f>
        <v>2.1992296799030722E-3</v>
      </c>
      <c r="H22" s="201">
        <f t="shared" si="1"/>
        <v>1.0888832254765605E-3</v>
      </c>
      <c r="I22" s="202">
        <f>SUM(I18:I20)</f>
        <v>142848762.634</v>
      </c>
      <c r="J22" s="202">
        <f>SUM(J18:J20)</f>
        <v>144422504.87099999</v>
      </c>
      <c r="K22" s="202">
        <f>SUM(K18:K20)</f>
        <v>1573742.2369999951</v>
      </c>
      <c r="L22" s="203">
        <f>IF(I22&gt;0,+K22/I22,0)</f>
        <v>1.1016841924155543E-2</v>
      </c>
    </row>
    <row r="23" spans="1:12" x14ac:dyDescent="0.2">
      <c r="A23" s="197">
        <f t="shared" si="0"/>
        <v>15</v>
      </c>
      <c r="B23" s="207"/>
      <c r="D23" s="102"/>
      <c r="E23" s="63"/>
      <c r="F23" s="123"/>
      <c r="G23" s="204"/>
      <c r="H23" s="201" t="s">
        <v>70</v>
      </c>
      <c r="I23" s="202"/>
      <c r="J23" s="202"/>
      <c r="K23" s="202"/>
      <c r="L23" s="203"/>
    </row>
    <row r="24" spans="1:12" x14ac:dyDescent="0.2">
      <c r="A24" s="197">
        <f t="shared" si="0"/>
        <v>16</v>
      </c>
      <c r="B24" s="206" t="s">
        <v>55</v>
      </c>
      <c r="C24" s="122">
        <v>46</v>
      </c>
      <c r="D24" s="102">
        <f>+'2022 Equal % Allocation'!D20</f>
        <v>89398000</v>
      </c>
      <c r="E24" s="63">
        <f>+'Base Revenue'!Q28</f>
        <v>6852000</v>
      </c>
      <c r="F24" s="123">
        <f>ROUND(+'2021 Equal % Allocation'!F20,6)</f>
        <v>8.6200000000000003E-4</v>
      </c>
      <c r="G24" s="201">
        <f>ROUND(+'2022 Equal % Allocation'!F20,6)</f>
        <v>1.7099999999999999E-3</v>
      </c>
      <c r="H24" s="201">
        <f t="shared" si="1"/>
        <v>8.479999999999999E-4</v>
      </c>
      <c r="I24" s="202">
        <f t="shared" ref="I24:I25" si="6">+F24*D24+E24</f>
        <v>6929061.0760000004</v>
      </c>
      <c r="J24" s="202">
        <f t="shared" ref="J24:J25" si="7">+G24*D24+E24</f>
        <v>7004870.5800000001</v>
      </c>
      <c r="K24" s="202">
        <f>+J24-I24</f>
        <v>75809.503999999724</v>
      </c>
      <c r="L24" s="203">
        <f>IF(I24&gt;0,+K24/I24,0)</f>
        <v>1.09408047018923E-2</v>
      </c>
    </row>
    <row r="25" spans="1:12" x14ac:dyDescent="0.2">
      <c r="A25" s="197">
        <f t="shared" si="0"/>
        <v>17</v>
      </c>
      <c r="B25" s="205" t="s">
        <v>56</v>
      </c>
      <c r="C25" s="122">
        <v>49</v>
      </c>
      <c r="D25" s="102">
        <f>+'2022 Equal % Allocation'!D21</f>
        <v>506513000</v>
      </c>
      <c r="E25" s="63">
        <f>+'Base Revenue'!Q29</f>
        <v>38029000</v>
      </c>
      <c r="F25" s="123">
        <f>ROUND(+'2021 Equal % Allocation'!F21,6)</f>
        <v>8.4800000000000001E-4</v>
      </c>
      <c r="G25" s="201">
        <f>ROUND(+'2022 Equal % Allocation'!F21,6)</f>
        <v>1.6819999999999999E-3</v>
      </c>
      <c r="H25" s="201">
        <f t="shared" si="1"/>
        <v>8.3399999999999989E-4</v>
      </c>
      <c r="I25" s="202">
        <f t="shared" si="6"/>
        <v>38458523.023999996</v>
      </c>
      <c r="J25" s="202">
        <f t="shared" si="7"/>
        <v>38880954.865999997</v>
      </c>
      <c r="K25" s="202">
        <f>+J25-I25</f>
        <v>422431.84200000018</v>
      </c>
      <c r="L25" s="203">
        <f>IF(I25&gt;0,+K25/I25,0)</f>
        <v>1.0984089059696393E-2</v>
      </c>
    </row>
    <row r="26" spans="1:12" x14ac:dyDescent="0.2">
      <c r="A26" s="197">
        <f t="shared" si="0"/>
        <v>18</v>
      </c>
      <c r="B26" s="200"/>
      <c r="D26" s="102"/>
      <c r="E26" s="63"/>
      <c r="F26" s="123"/>
      <c r="G26" s="204"/>
      <c r="H26" s="201" t="s">
        <v>70</v>
      </c>
      <c r="I26" s="202"/>
      <c r="J26" s="202"/>
      <c r="K26" s="202"/>
      <c r="L26" s="203"/>
    </row>
    <row r="27" spans="1:12" x14ac:dyDescent="0.2">
      <c r="A27" s="197">
        <f t="shared" si="0"/>
        <v>19</v>
      </c>
      <c r="B27" s="200" t="s">
        <v>57</v>
      </c>
      <c r="D27" s="102">
        <f>SUM(D24:D26)</f>
        <v>595911000</v>
      </c>
      <c r="E27" s="63">
        <f>SUM(E24:E26)</f>
        <v>44881000</v>
      </c>
      <c r="F27" s="123">
        <f>($I27-$E27)/$D27</f>
        <v>8.5010026665054692E-4</v>
      </c>
      <c r="G27" s="201">
        <f>($J27-$E27)/$D27</f>
        <v>1.6862005333011052E-3</v>
      </c>
      <c r="H27" s="201">
        <f t="shared" si="1"/>
        <v>8.3610026665055829E-4</v>
      </c>
      <c r="I27" s="198">
        <f>SUM(I24:I26)</f>
        <v>45387584.099999994</v>
      </c>
      <c r="J27" s="198">
        <f>SUM(J24:J26)</f>
        <v>45885825.445999995</v>
      </c>
      <c r="K27" s="202">
        <f>SUM(K24:K26)</f>
        <v>498241.3459999999</v>
      </c>
      <c r="L27" s="203">
        <f>IF(I27&gt;0,+K27/I27,0)</f>
        <v>1.0977481086066441E-2</v>
      </c>
    </row>
    <row r="28" spans="1:12" x14ac:dyDescent="0.2">
      <c r="A28" s="197">
        <f t="shared" si="0"/>
        <v>20</v>
      </c>
      <c r="B28" s="200"/>
      <c r="D28" s="102"/>
      <c r="E28" s="63"/>
      <c r="F28" s="123"/>
      <c r="G28" s="204"/>
      <c r="H28" s="201"/>
      <c r="K28" s="202"/>
      <c r="L28" s="203"/>
    </row>
    <row r="29" spans="1:12" x14ac:dyDescent="0.2">
      <c r="A29" s="197">
        <f t="shared" si="0"/>
        <v>21</v>
      </c>
      <c r="B29" s="200" t="s">
        <v>58</v>
      </c>
      <c r="C29" s="7" t="s">
        <v>119</v>
      </c>
      <c r="D29" s="102">
        <f>+'2022 Equal % Allocation'!D24</f>
        <v>62946000</v>
      </c>
      <c r="E29" s="63">
        <f>+'Base Revenue'!Q32</f>
        <v>16483000</v>
      </c>
      <c r="F29" s="123">
        <f>ROUND(+'2021 Equal % Allocation'!F24,6)</f>
        <v>2.944E-3</v>
      </c>
      <c r="G29" s="201">
        <f>ROUND(+'2022 Equal % Allocation'!F24,6)</f>
        <v>5.9150000000000001E-3</v>
      </c>
      <c r="H29" s="201">
        <f>G29-F29</f>
        <v>2.9710000000000001E-3</v>
      </c>
      <c r="I29" s="202">
        <f t="shared" ref="I29" si="8">+F29*D29+E29</f>
        <v>16668313.024</v>
      </c>
      <c r="J29" s="202">
        <f>+G29*D29+E29</f>
        <v>16855325.59</v>
      </c>
      <c r="K29" s="202">
        <f>+J29-I29</f>
        <v>187012.56599999964</v>
      </c>
      <c r="L29" s="203">
        <f>IF(I29&gt;0,+K29/I29,0)</f>
        <v>1.1219645667244678E-2</v>
      </c>
    </row>
    <row r="30" spans="1:12" x14ac:dyDescent="0.2">
      <c r="A30" s="197">
        <f t="shared" si="0"/>
        <v>22</v>
      </c>
      <c r="B30" s="200"/>
      <c r="D30" s="102"/>
      <c r="E30" s="63"/>
      <c r="F30" s="123"/>
      <c r="H30" s="201" t="s">
        <v>70</v>
      </c>
      <c r="I30" s="202"/>
      <c r="J30" s="202"/>
      <c r="K30" s="202"/>
      <c r="L30" s="203"/>
    </row>
    <row r="31" spans="1:12" x14ac:dyDescent="0.2">
      <c r="A31" s="197">
        <f t="shared" si="0"/>
        <v>23</v>
      </c>
      <c r="B31" s="200" t="s">
        <v>96</v>
      </c>
      <c r="C31" s="7" t="s">
        <v>121</v>
      </c>
      <c r="D31" s="102">
        <f>+'2022 Equal % Allocation'!D26</f>
        <v>1955590000</v>
      </c>
      <c r="E31" s="63">
        <f>+'Base Revenue'!Q34</f>
        <v>11877000</v>
      </c>
      <c r="F31" s="123">
        <f>ROUND(+'2021 Equal % Allocation'!F26,6)</f>
        <v>6.0000000000000002E-5</v>
      </c>
      <c r="G31" s="201">
        <f>ROUND(+'2022 Equal % Allocation'!F26,6)</f>
        <v>1.18E-4</v>
      </c>
      <c r="H31" s="201">
        <f>G31-F31</f>
        <v>5.7999999999999994E-5</v>
      </c>
      <c r="I31" s="202">
        <f t="shared" ref="I31" si="9">+F31*D31+E31</f>
        <v>11994335.4</v>
      </c>
      <c r="J31" s="202">
        <f>+G31*D31+E31</f>
        <v>12107759.619999999</v>
      </c>
      <c r="K31" s="202">
        <f>+J31-I31</f>
        <v>113424.21999999881</v>
      </c>
      <c r="L31" s="203">
        <f>IF(I31&gt;0,+K31/I31,0)</f>
        <v>9.4564822657867975E-3</v>
      </c>
    </row>
    <row r="32" spans="1:12" x14ac:dyDescent="0.2">
      <c r="A32" s="197">
        <f t="shared" si="0"/>
        <v>24</v>
      </c>
      <c r="B32" s="200"/>
      <c r="D32" s="102"/>
      <c r="E32" s="63"/>
      <c r="F32" s="204"/>
      <c r="G32" s="204"/>
      <c r="H32" s="201" t="s">
        <v>70</v>
      </c>
      <c r="I32" s="202"/>
      <c r="J32" s="202"/>
      <c r="K32" s="202"/>
      <c r="L32" s="203"/>
    </row>
    <row r="33" spans="1:12" x14ac:dyDescent="0.2">
      <c r="A33" s="197">
        <f t="shared" si="0"/>
        <v>25</v>
      </c>
      <c r="B33" s="200" t="s">
        <v>201</v>
      </c>
      <c r="C33" s="7" t="s">
        <v>202</v>
      </c>
      <c r="D33" s="102">
        <f>+'2022 Equal % Allocation'!D29</f>
        <v>289426000</v>
      </c>
      <c r="E33" s="63">
        <f>+'Base Revenue'!Q36</f>
        <v>5452000</v>
      </c>
      <c r="F33" s="123">
        <f>ROUND(+'2021 Equal % Allocation'!F29,6)</f>
        <v>6.1399999999999996E-4</v>
      </c>
      <c r="G33" s="201">
        <f>ROUND(+'2022 Equal % Allocation'!F29,6)</f>
        <v>6.1399999999999996E-4</v>
      </c>
      <c r="H33" s="201">
        <f>G33-F33</f>
        <v>0</v>
      </c>
      <c r="I33" s="202">
        <f t="shared" ref="I33" si="10">+F33*D33+E33</f>
        <v>5629707.5640000002</v>
      </c>
      <c r="J33" s="202">
        <f>+G33*D33+E33</f>
        <v>5629707.5640000002</v>
      </c>
      <c r="K33" s="202">
        <f>+J33-I33</f>
        <v>0</v>
      </c>
      <c r="L33" s="203">
        <f>IF(I33&gt;0,+K33/I33,0)</f>
        <v>0</v>
      </c>
    </row>
    <row r="34" spans="1:12" x14ac:dyDescent="0.2">
      <c r="A34" s="197">
        <f t="shared" si="0"/>
        <v>26</v>
      </c>
      <c r="B34" s="200"/>
      <c r="D34" s="102"/>
      <c r="E34" s="63"/>
      <c r="F34" s="204"/>
      <c r="G34" s="204"/>
      <c r="H34" s="201" t="s">
        <v>70</v>
      </c>
      <c r="I34" s="202"/>
      <c r="J34" s="202"/>
      <c r="K34" s="202"/>
      <c r="L34" s="203"/>
    </row>
    <row r="35" spans="1:12" x14ac:dyDescent="0.2">
      <c r="A35" s="197">
        <f t="shared" si="0"/>
        <v>27</v>
      </c>
      <c r="B35" s="200" t="s">
        <v>59</v>
      </c>
      <c r="D35" s="102">
        <f>SUM(D9,D16,D22,D27,D29,D31,D33)</f>
        <v>22574612000</v>
      </c>
      <c r="E35" s="125">
        <f>SUM(E9,E16,E22,E27,E29,E31,E33)</f>
        <v>2238489000</v>
      </c>
      <c r="F35" s="201">
        <f>($I35-$E35)/$D35</f>
        <v>1.166555386378311E-3</v>
      </c>
      <c r="G35" s="201">
        <f>($J35-$E35)/$D35</f>
        <v>2.3084136402875878E-3</v>
      </c>
      <c r="H35" s="201">
        <f t="shared" si="1"/>
        <v>1.1418582539092768E-3</v>
      </c>
      <c r="I35" s="202">
        <f>SUM(I9,I16,I22,I27,I29,I31,I33)</f>
        <v>2264823535.2240005</v>
      </c>
      <c r="J35" s="202">
        <f>SUM(J9,J16,J22,J27,J29,J31,J33)</f>
        <v>2290600542.2649999</v>
      </c>
      <c r="K35" s="202">
        <f>SUM(K9,K16,K22,K27,K29,K31,K33)</f>
        <v>25777007.040999949</v>
      </c>
      <c r="L35" s="203">
        <f>IF(I35&gt;0,+K35/I35,0)</f>
        <v>1.1381463782983206E-2</v>
      </c>
    </row>
    <row r="36" spans="1:12" ht="10.8" thickBot="1" x14ac:dyDescent="0.25">
      <c r="A36" s="208">
        <f t="shared" si="0"/>
        <v>28</v>
      </c>
      <c r="B36" s="209"/>
      <c r="C36" s="210"/>
      <c r="D36" s="211"/>
      <c r="E36" s="211"/>
      <c r="F36" s="212"/>
      <c r="G36" s="212"/>
      <c r="H36" s="212"/>
      <c r="I36" s="211"/>
      <c r="J36" s="211"/>
      <c r="K36" s="213"/>
      <c r="L36" s="214"/>
    </row>
    <row r="37" spans="1:12" x14ac:dyDescent="0.2">
      <c r="A37" s="122">
        <f t="shared" si="0"/>
        <v>29</v>
      </c>
      <c r="B37" s="200"/>
    </row>
    <row r="38" spans="1:12" x14ac:dyDescent="0.2">
      <c r="A38" s="122">
        <f t="shared" si="0"/>
        <v>30</v>
      </c>
      <c r="B38" s="200" t="s">
        <v>60</v>
      </c>
      <c r="D38" s="198">
        <f>+'2022 Equal % Allocation'!D33</f>
        <v>7099000</v>
      </c>
      <c r="E38" s="202">
        <f>+'Base Revenue'!Q40</f>
        <v>680000</v>
      </c>
    </row>
    <row r="39" spans="1:12" x14ac:dyDescent="0.2">
      <c r="A39" s="122">
        <f t="shared" si="0"/>
        <v>31</v>
      </c>
      <c r="B39" s="200"/>
      <c r="E39" s="202"/>
    </row>
    <row r="40" spans="1:12" x14ac:dyDescent="0.2">
      <c r="A40" s="122">
        <f t="shared" si="0"/>
        <v>32</v>
      </c>
      <c r="B40" s="200" t="s">
        <v>61</v>
      </c>
      <c r="D40" s="198">
        <f>+D38+D35</f>
        <v>22581711000</v>
      </c>
      <c r="E40" s="202">
        <f>+E38+E35</f>
        <v>2239169000</v>
      </c>
    </row>
    <row r="41" spans="1:12" x14ac:dyDescent="0.2">
      <c r="A41" s="200"/>
      <c r="B41" s="200"/>
      <c r="K41" s="202"/>
    </row>
    <row r="42" spans="1:12" ht="30.6" customHeight="1" x14ac:dyDescent="0.2">
      <c r="A42" s="215"/>
      <c r="B42" s="334" t="s">
        <v>268</v>
      </c>
      <c r="C42" s="334"/>
      <c r="D42" s="334"/>
      <c r="E42" s="334"/>
      <c r="F42" s="334"/>
      <c r="G42" s="334"/>
      <c r="H42" s="334"/>
      <c r="I42" s="334"/>
      <c r="J42" s="334"/>
      <c r="K42" s="334"/>
      <c r="L42" s="334"/>
    </row>
    <row r="43" spans="1:12" x14ac:dyDescent="0.2">
      <c r="A43" s="200"/>
      <c r="B43" s="200"/>
    </row>
    <row r="44" spans="1:12" x14ac:dyDescent="0.2">
      <c r="A44" s="200"/>
      <c r="B44" s="200"/>
    </row>
    <row r="45" spans="1:12" x14ac:dyDescent="0.2">
      <c r="A45" s="200"/>
      <c r="B45" s="200"/>
    </row>
    <row r="46" spans="1:12" x14ac:dyDescent="0.2">
      <c r="A46" s="200"/>
      <c r="B46" s="200"/>
    </row>
    <row r="47" spans="1:12" x14ac:dyDescent="0.2">
      <c r="A47" s="200"/>
      <c r="B47" s="200"/>
    </row>
    <row r="48" spans="1:12" x14ac:dyDescent="0.2">
      <c r="A48" s="200"/>
      <c r="B48" s="200"/>
    </row>
    <row r="49" spans="1:2" x14ac:dyDescent="0.2">
      <c r="A49" s="200"/>
      <c r="B49" s="200"/>
    </row>
    <row r="50" spans="1:2" x14ac:dyDescent="0.2">
      <c r="A50" s="200"/>
      <c r="B50" s="200"/>
    </row>
    <row r="51" spans="1:2" x14ac:dyDescent="0.2">
      <c r="A51" s="200"/>
      <c r="B51" s="200"/>
    </row>
    <row r="52" spans="1:2" x14ac:dyDescent="0.2">
      <c r="A52" s="200"/>
      <c r="B52" s="200"/>
    </row>
    <row r="53" spans="1:2" x14ac:dyDescent="0.2">
      <c r="A53" s="200"/>
      <c r="B53" s="200"/>
    </row>
    <row r="54" spans="1:2" x14ac:dyDescent="0.2">
      <c r="A54" s="200"/>
      <c r="B54" s="200"/>
    </row>
    <row r="55" spans="1:2" x14ac:dyDescent="0.2">
      <c r="A55" s="200"/>
      <c r="B55" s="200"/>
    </row>
    <row r="56" spans="1:2" x14ac:dyDescent="0.2">
      <c r="A56" s="200"/>
      <c r="B56" s="200"/>
    </row>
    <row r="57" spans="1:2" x14ac:dyDescent="0.2">
      <c r="A57" s="200"/>
      <c r="B57" s="200"/>
    </row>
    <row r="58" spans="1:2" x14ac:dyDescent="0.2">
      <c r="A58" s="200"/>
      <c r="B58" s="200"/>
    </row>
    <row r="59" spans="1:2" x14ac:dyDescent="0.2">
      <c r="A59" s="200"/>
      <c r="B59" s="200"/>
    </row>
    <row r="60" spans="1:2" x14ac:dyDescent="0.2">
      <c r="A60" s="200"/>
      <c r="B60" s="200"/>
    </row>
    <row r="61" spans="1:2" x14ac:dyDescent="0.2">
      <c r="A61" s="200"/>
      <c r="B61" s="200"/>
    </row>
    <row r="62" spans="1:2" x14ac:dyDescent="0.2">
      <c r="A62" s="200"/>
      <c r="B62" s="200"/>
    </row>
    <row r="63" spans="1:2" x14ac:dyDescent="0.2">
      <c r="A63" s="200"/>
      <c r="B63" s="200"/>
    </row>
    <row r="64" spans="1:2" x14ac:dyDescent="0.2">
      <c r="A64" s="200"/>
      <c r="B64" s="200"/>
    </row>
    <row r="65" spans="1:2" x14ac:dyDescent="0.2">
      <c r="A65" s="200"/>
      <c r="B65" s="200"/>
    </row>
    <row r="66" spans="1:2" x14ac:dyDescent="0.2">
      <c r="A66" s="200"/>
      <c r="B66" s="200"/>
    </row>
    <row r="67" spans="1:2" x14ac:dyDescent="0.2">
      <c r="A67" s="200"/>
      <c r="B67" s="200"/>
    </row>
    <row r="68" spans="1:2" x14ac:dyDescent="0.2">
      <c r="A68" s="200"/>
      <c r="B68" s="200"/>
    </row>
    <row r="69" spans="1:2" x14ac:dyDescent="0.2">
      <c r="A69" s="200"/>
      <c r="B69" s="200"/>
    </row>
    <row r="70" spans="1:2" x14ac:dyDescent="0.2">
      <c r="A70" s="200"/>
      <c r="B70" s="200"/>
    </row>
    <row r="71" spans="1:2" x14ac:dyDescent="0.2">
      <c r="A71" s="200"/>
      <c r="B71" s="200"/>
    </row>
    <row r="72" spans="1:2" x14ac:dyDescent="0.2">
      <c r="A72" s="200"/>
      <c r="B72" s="200"/>
    </row>
    <row r="73" spans="1:2" x14ac:dyDescent="0.2">
      <c r="A73" s="200"/>
      <c r="B73" s="200"/>
    </row>
    <row r="74" spans="1:2" x14ac:dyDescent="0.2">
      <c r="A74" s="200"/>
      <c r="B74" s="200"/>
    </row>
    <row r="75" spans="1:2" x14ac:dyDescent="0.2">
      <c r="A75" s="200"/>
      <c r="B75" s="200"/>
    </row>
    <row r="76" spans="1:2" x14ac:dyDescent="0.2">
      <c r="A76" s="200"/>
      <c r="B76" s="200"/>
    </row>
    <row r="77" spans="1:2" x14ac:dyDescent="0.2">
      <c r="A77" s="200"/>
      <c r="B77" s="200"/>
    </row>
    <row r="78" spans="1:2" x14ac:dyDescent="0.2">
      <c r="A78" s="200"/>
      <c r="B78" s="200"/>
    </row>
    <row r="79" spans="1:2" x14ac:dyDescent="0.2">
      <c r="A79" s="200"/>
      <c r="B79" s="200"/>
    </row>
    <row r="80" spans="1:2" x14ac:dyDescent="0.2">
      <c r="A80" s="200"/>
      <c r="B80" s="200"/>
    </row>
    <row r="81" spans="1:2" x14ac:dyDescent="0.2">
      <c r="A81" s="200"/>
      <c r="B81" s="200"/>
    </row>
    <row r="82" spans="1:2" x14ac:dyDescent="0.2">
      <c r="A82" s="200"/>
      <c r="B82" s="200"/>
    </row>
    <row r="83" spans="1:2" x14ac:dyDescent="0.2">
      <c r="A83" s="200"/>
      <c r="B83" s="200"/>
    </row>
    <row r="84" spans="1:2" x14ac:dyDescent="0.2">
      <c r="A84" s="200"/>
      <c r="B84" s="200"/>
    </row>
    <row r="85" spans="1:2" x14ac:dyDescent="0.2">
      <c r="A85" s="200"/>
      <c r="B85" s="200"/>
    </row>
    <row r="86" spans="1:2" x14ac:dyDescent="0.2">
      <c r="A86" s="200"/>
      <c r="B86" s="200"/>
    </row>
    <row r="87" spans="1:2" x14ac:dyDescent="0.2">
      <c r="A87" s="200"/>
      <c r="B87" s="200"/>
    </row>
    <row r="88" spans="1:2" x14ac:dyDescent="0.2">
      <c r="A88" s="200"/>
      <c r="B88" s="200"/>
    </row>
    <row r="89" spans="1:2" x14ac:dyDescent="0.2">
      <c r="A89" s="200"/>
      <c r="B89" s="200"/>
    </row>
    <row r="90" spans="1:2" x14ac:dyDescent="0.2">
      <c r="A90" s="200"/>
      <c r="B90" s="200"/>
    </row>
    <row r="91" spans="1:2" x14ac:dyDescent="0.2">
      <c r="A91" s="200"/>
      <c r="B91" s="200"/>
    </row>
    <row r="92" spans="1:2" x14ac:dyDescent="0.2">
      <c r="A92" s="200"/>
      <c r="B92" s="200"/>
    </row>
    <row r="93" spans="1:2" x14ac:dyDescent="0.2">
      <c r="A93" s="200"/>
      <c r="B93" s="200"/>
    </row>
    <row r="94" spans="1:2" x14ac:dyDescent="0.2">
      <c r="A94" s="200"/>
      <c r="B94" s="200"/>
    </row>
    <row r="95" spans="1:2" x14ac:dyDescent="0.2">
      <c r="A95" s="200"/>
      <c r="B95" s="200"/>
    </row>
    <row r="96" spans="1:2" x14ac:dyDescent="0.2">
      <c r="A96" s="200"/>
      <c r="B96" s="200"/>
    </row>
    <row r="97" spans="1:2" x14ac:dyDescent="0.2">
      <c r="A97" s="200"/>
      <c r="B97" s="200"/>
    </row>
    <row r="98" spans="1:2" x14ac:dyDescent="0.2">
      <c r="A98" s="200"/>
      <c r="B98" s="200"/>
    </row>
    <row r="99" spans="1:2" x14ac:dyDescent="0.2">
      <c r="A99" s="200"/>
      <c r="B99" s="200"/>
    </row>
    <row r="100" spans="1:2" x14ac:dyDescent="0.2">
      <c r="A100" s="200"/>
      <c r="B100" s="200"/>
    </row>
    <row r="101" spans="1:2" x14ac:dyDescent="0.2">
      <c r="A101" s="200"/>
      <c r="B101" s="200"/>
    </row>
    <row r="102" spans="1:2" x14ac:dyDescent="0.2">
      <c r="A102" s="200"/>
      <c r="B102" s="200"/>
    </row>
    <row r="103" spans="1:2" x14ac:dyDescent="0.2">
      <c r="A103" s="200"/>
      <c r="B103" s="200"/>
    </row>
    <row r="104" spans="1:2" x14ac:dyDescent="0.2">
      <c r="A104" s="200"/>
      <c r="B104" s="200"/>
    </row>
    <row r="105" spans="1:2" x14ac:dyDescent="0.2">
      <c r="A105" s="200"/>
      <c r="B105" s="200"/>
    </row>
    <row r="106" spans="1:2" x14ac:dyDescent="0.2">
      <c r="A106" s="200"/>
      <c r="B106" s="200"/>
    </row>
    <row r="107" spans="1:2" x14ac:dyDescent="0.2">
      <c r="A107" s="200"/>
      <c r="B107" s="200"/>
    </row>
    <row r="108" spans="1:2" x14ac:dyDescent="0.2">
      <c r="A108" s="200"/>
      <c r="B108" s="200"/>
    </row>
    <row r="109" spans="1:2" x14ac:dyDescent="0.2">
      <c r="A109" s="200"/>
      <c r="B109" s="200"/>
    </row>
    <row r="110" spans="1:2" x14ac:dyDescent="0.2">
      <c r="A110" s="200"/>
      <c r="B110" s="200"/>
    </row>
    <row r="111" spans="1:2" x14ac:dyDescent="0.2">
      <c r="A111" s="200"/>
      <c r="B111" s="200"/>
    </row>
    <row r="112" spans="1:2" x14ac:dyDescent="0.2">
      <c r="A112" s="200"/>
      <c r="B112" s="200"/>
    </row>
    <row r="113" spans="1:2" x14ac:dyDescent="0.2">
      <c r="A113" s="200"/>
      <c r="B113" s="200"/>
    </row>
    <row r="114" spans="1:2" x14ac:dyDescent="0.2">
      <c r="A114" s="200"/>
      <c r="B114" s="200"/>
    </row>
    <row r="115" spans="1:2" x14ac:dyDescent="0.2">
      <c r="A115" s="200"/>
      <c r="B115" s="200"/>
    </row>
    <row r="116" spans="1:2" x14ac:dyDescent="0.2">
      <c r="A116" s="200"/>
      <c r="B116" s="200"/>
    </row>
    <row r="117" spans="1:2" x14ac:dyDescent="0.2">
      <c r="A117" s="200"/>
      <c r="B117" s="200"/>
    </row>
    <row r="118" spans="1:2" x14ac:dyDescent="0.2">
      <c r="A118" s="200"/>
      <c r="B118" s="200"/>
    </row>
    <row r="119" spans="1:2" x14ac:dyDescent="0.2">
      <c r="A119" s="200"/>
      <c r="B119" s="200"/>
    </row>
    <row r="120" spans="1:2" x14ac:dyDescent="0.2">
      <c r="A120" s="200"/>
      <c r="B120" s="200"/>
    </row>
    <row r="121" spans="1:2" x14ac:dyDescent="0.2">
      <c r="A121" s="200"/>
      <c r="B121" s="200"/>
    </row>
    <row r="122" spans="1:2" x14ac:dyDescent="0.2">
      <c r="A122" s="200"/>
      <c r="B122" s="200"/>
    </row>
    <row r="123" spans="1:2" x14ac:dyDescent="0.2">
      <c r="A123" s="200"/>
      <c r="B123" s="200"/>
    </row>
    <row r="124" spans="1:2" x14ac:dyDescent="0.2">
      <c r="A124" s="200"/>
      <c r="B124" s="200"/>
    </row>
    <row r="125" spans="1:2" x14ac:dyDescent="0.2">
      <c r="A125" s="200"/>
      <c r="B125" s="200"/>
    </row>
    <row r="126" spans="1:2" x14ac:dyDescent="0.2">
      <c r="A126" s="200"/>
      <c r="B126" s="200"/>
    </row>
    <row r="127" spans="1:2" x14ac:dyDescent="0.2">
      <c r="A127" s="200"/>
      <c r="B127" s="200"/>
    </row>
    <row r="128" spans="1:2" x14ac:dyDescent="0.2">
      <c r="A128" s="200"/>
      <c r="B128" s="200"/>
    </row>
    <row r="129" spans="1:2" x14ac:dyDescent="0.2">
      <c r="A129" s="200"/>
      <c r="B129" s="200"/>
    </row>
    <row r="130" spans="1:2" x14ac:dyDescent="0.2">
      <c r="A130" s="200"/>
      <c r="B130" s="200"/>
    </row>
    <row r="131" spans="1:2" x14ac:dyDescent="0.2">
      <c r="A131" s="200"/>
      <c r="B131" s="200"/>
    </row>
    <row r="132" spans="1:2" x14ac:dyDescent="0.2">
      <c r="A132" s="200"/>
      <c r="B132" s="200"/>
    </row>
    <row r="133" spans="1:2" x14ac:dyDescent="0.2">
      <c r="A133" s="200"/>
      <c r="B133" s="200"/>
    </row>
    <row r="134" spans="1:2" x14ac:dyDescent="0.2">
      <c r="A134" s="200"/>
      <c r="B134" s="200"/>
    </row>
    <row r="135" spans="1:2" x14ac:dyDescent="0.2">
      <c r="A135" s="200"/>
      <c r="B135" s="200"/>
    </row>
    <row r="136" spans="1:2" x14ac:dyDescent="0.2">
      <c r="A136" s="200"/>
      <c r="B136" s="200"/>
    </row>
    <row r="137" spans="1:2" x14ac:dyDescent="0.2">
      <c r="A137" s="200"/>
      <c r="B137" s="200"/>
    </row>
    <row r="138" spans="1:2" x14ac:dyDescent="0.2">
      <c r="A138" s="200"/>
      <c r="B138" s="200"/>
    </row>
    <row r="139" spans="1:2" x14ac:dyDescent="0.2">
      <c r="A139" s="200"/>
      <c r="B139" s="200"/>
    </row>
    <row r="140" spans="1:2" x14ac:dyDescent="0.2">
      <c r="A140" s="200"/>
      <c r="B140" s="200"/>
    </row>
    <row r="141" spans="1:2" x14ac:dyDescent="0.2">
      <c r="A141" s="200"/>
      <c r="B141" s="200"/>
    </row>
    <row r="142" spans="1:2" x14ac:dyDescent="0.2">
      <c r="A142" s="200"/>
      <c r="B142" s="200"/>
    </row>
    <row r="143" spans="1:2" x14ac:dyDescent="0.2">
      <c r="A143" s="200"/>
      <c r="B143" s="200"/>
    </row>
    <row r="144" spans="1:2" x14ac:dyDescent="0.2">
      <c r="A144" s="200"/>
      <c r="B144" s="200"/>
    </row>
    <row r="145" spans="1:2" x14ac:dyDescent="0.2">
      <c r="A145" s="200"/>
      <c r="B145" s="200"/>
    </row>
    <row r="146" spans="1:2" x14ac:dyDescent="0.2">
      <c r="A146" s="200"/>
      <c r="B146" s="200"/>
    </row>
    <row r="147" spans="1:2" x14ac:dyDescent="0.2">
      <c r="A147" s="200"/>
      <c r="B147" s="200"/>
    </row>
    <row r="148" spans="1:2" x14ac:dyDescent="0.2">
      <c r="A148" s="200"/>
      <c r="B148" s="200"/>
    </row>
    <row r="149" spans="1:2" x14ac:dyDescent="0.2">
      <c r="A149" s="200"/>
      <c r="B149" s="200"/>
    </row>
    <row r="150" spans="1:2" x14ac:dyDescent="0.2">
      <c r="A150" s="200"/>
      <c r="B150" s="200"/>
    </row>
    <row r="151" spans="1:2" x14ac:dyDescent="0.2">
      <c r="A151" s="200"/>
      <c r="B151" s="200"/>
    </row>
    <row r="152" spans="1:2" x14ac:dyDescent="0.2">
      <c r="A152" s="200"/>
      <c r="B152" s="200"/>
    </row>
    <row r="153" spans="1:2" x14ac:dyDescent="0.2">
      <c r="A153" s="200"/>
      <c r="B153" s="200"/>
    </row>
    <row r="154" spans="1:2" x14ac:dyDescent="0.2">
      <c r="A154" s="200"/>
      <c r="B154" s="200"/>
    </row>
    <row r="155" spans="1:2" x14ac:dyDescent="0.2">
      <c r="A155" s="200"/>
      <c r="B155" s="200"/>
    </row>
    <row r="156" spans="1:2" x14ac:dyDescent="0.2">
      <c r="A156" s="200"/>
      <c r="B156" s="200"/>
    </row>
    <row r="157" spans="1:2" x14ac:dyDescent="0.2">
      <c r="A157" s="200"/>
      <c r="B157" s="200"/>
    </row>
    <row r="158" spans="1:2" x14ac:dyDescent="0.2">
      <c r="A158" s="200"/>
      <c r="B158" s="200"/>
    </row>
    <row r="159" spans="1:2" x14ac:dyDescent="0.2">
      <c r="A159" s="200"/>
      <c r="B159" s="200"/>
    </row>
    <row r="160" spans="1:2" x14ac:dyDescent="0.2">
      <c r="A160" s="200"/>
      <c r="B160" s="200"/>
    </row>
    <row r="161" spans="1:2" x14ac:dyDescent="0.2">
      <c r="A161" s="200"/>
      <c r="B161" s="200"/>
    </row>
    <row r="162" spans="1:2" x14ac:dyDescent="0.2">
      <c r="A162" s="200"/>
      <c r="B162" s="200"/>
    </row>
    <row r="163" spans="1:2" x14ac:dyDescent="0.2">
      <c r="A163" s="200"/>
      <c r="B163" s="200"/>
    </row>
    <row r="164" spans="1:2" x14ac:dyDescent="0.2">
      <c r="A164" s="200"/>
      <c r="B164" s="200"/>
    </row>
    <row r="165" spans="1:2" x14ac:dyDescent="0.2">
      <c r="A165" s="200"/>
      <c r="B165" s="200"/>
    </row>
    <row r="166" spans="1:2" x14ac:dyDescent="0.2">
      <c r="A166" s="200"/>
      <c r="B166" s="200"/>
    </row>
    <row r="167" spans="1:2" x14ac:dyDescent="0.2">
      <c r="A167" s="200"/>
      <c r="B167" s="200"/>
    </row>
    <row r="168" spans="1:2" x14ac:dyDescent="0.2">
      <c r="A168" s="200"/>
      <c r="B168" s="200"/>
    </row>
    <row r="169" spans="1:2" x14ac:dyDescent="0.2">
      <c r="A169" s="200"/>
      <c r="B169" s="200"/>
    </row>
    <row r="170" spans="1:2" x14ac:dyDescent="0.2">
      <c r="A170" s="200"/>
      <c r="B170" s="200"/>
    </row>
    <row r="171" spans="1:2" x14ac:dyDescent="0.2">
      <c r="A171" s="200"/>
      <c r="B171" s="200"/>
    </row>
    <row r="172" spans="1:2" x14ac:dyDescent="0.2">
      <c r="A172" s="200"/>
      <c r="B172" s="200"/>
    </row>
    <row r="173" spans="1:2" x14ac:dyDescent="0.2">
      <c r="A173" s="200"/>
      <c r="B173" s="200"/>
    </row>
    <row r="174" spans="1:2" x14ac:dyDescent="0.2">
      <c r="A174" s="200"/>
      <c r="B174" s="200"/>
    </row>
    <row r="175" spans="1:2" x14ac:dyDescent="0.2">
      <c r="A175" s="200"/>
      <c r="B175" s="200"/>
    </row>
    <row r="176" spans="1:2" x14ac:dyDescent="0.2">
      <c r="A176" s="200"/>
      <c r="B176" s="200"/>
    </row>
    <row r="177" spans="1:2" x14ac:dyDescent="0.2">
      <c r="A177" s="200"/>
      <c r="B177" s="200"/>
    </row>
    <row r="178" spans="1:2" x14ac:dyDescent="0.2">
      <c r="A178" s="200"/>
      <c r="B178" s="200"/>
    </row>
    <row r="179" spans="1:2" x14ac:dyDescent="0.2">
      <c r="A179" s="200"/>
      <c r="B179" s="200"/>
    </row>
    <row r="180" spans="1:2" x14ac:dyDescent="0.2">
      <c r="A180" s="200"/>
      <c r="B180" s="200"/>
    </row>
    <row r="181" spans="1:2" x14ac:dyDescent="0.2">
      <c r="A181" s="200"/>
      <c r="B181" s="200"/>
    </row>
    <row r="182" spans="1:2" x14ac:dyDescent="0.2">
      <c r="A182" s="200"/>
      <c r="B182" s="200"/>
    </row>
    <row r="183" spans="1:2" x14ac:dyDescent="0.2">
      <c r="A183" s="200"/>
      <c r="B183" s="200"/>
    </row>
    <row r="184" spans="1:2" x14ac:dyDescent="0.2">
      <c r="A184" s="200"/>
      <c r="B184" s="200"/>
    </row>
    <row r="185" spans="1:2" x14ac:dyDescent="0.2">
      <c r="A185" s="200"/>
      <c r="B185" s="200"/>
    </row>
    <row r="186" spans="1:2" x14ac:dyDescent="0.2">
      <c r="A186" s="200"/>
      <c r="B186" s="200"/>
    </row>
  </sheetData>
  <mergeCells count="5">
    <mergeCell ref="B42:L42"/>
    <mergeCell ref="A1:L1"/>
    <mergeCell ref="A2:L2"/>
    <mergeCell ref="A3:L3"/>
    <mergeCell ref="A4:L4"/>
  </mergeCells>
  <phoneticPr fontId="2" type="noConversion"/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9" sqref="D9"/>
    </sheetView>
  </sheetViews>
  <sheetFormatPr defaultColWidth="9.109375" defaultRowHeight="11.4" x14ac:dyDescent="0.2"/>
  <cols>
    <col min="1" max="1" width="6.33203125" style="127" customWidth="1"/>
    <col min="2" max="2" width="59.44140625" style="127" customWidth="1"/>
    <col min="3" max="3" width="14.5546875" style="129" bestFit="1" customWidth="1"/>
    <col min="4" max="4" width="15.44140625" style="130" bestFit="1" customWidth="1"/>
    <col min="5" max="5" width="18.5546875" style="130" bestFit="1" customWidth="1"/>
    <col min="6" max="6" width="15.33203125" style="127" customWidth="1"/>
    <col min="7" max="7" width="16.44140625" style="130" bestFit="1" customWidth="1"/>
    <col min="8" max="8" width="14.44140625" style="127" bestFit="1" customWidth="1"/>
    <col min="9" max="9" width="11.109375" style="127" customWidth="1"/>
    <col min="10" max="16384" width="9.109375" style="127"/>
  </cols>
  <sheetData>
    <row r="1" spans="1:9" s="173" customFormat="1" ht="12" x14ac:dyDescent="0.25">
      <c r="A1" s="169" t="str">
        <f>+'2022 Proposed Impacts'!A1</f>
        <v>2022 Low Income Customer Charge</v>
      </c>
      <c r="B1" s="170"/>
      <c r="C1" s="170"/>
      <c r="D1" s="171"/>
      <c r="E1" s="171"/>
      <c r="F1" s="170"/>
      <c r="G1" s="171"/>
      <c r="H1" s="170"/>
      <c r="I1" s="172"/>
    </row>
    <row r="2" spans="1:9" s="173" customFormat="1" ht="12" x14ac:dyDescent="0.25">
      <c r="A2" s="174" t="str">
        <f>+'2022 Proposed Impacts'!A2</f>
        <v>Settlement Methodology</v>
      </c>
      <c r="B2" s="175"/>
      <c r="C2" s="175"/>
      <c r="D2" s="176"/>
      <c r="E2" s="176"/>
      <c r="F2" s="175"/>
      <c r="G2" s="176"/>
      <c r="H2" s="175"/>
      <c r="I2" s="177"/>
    </row>
    <row r="3" spans="1:9" s="173" customFormat="1" ht="12" x14ac:dyDescent="0.25">
      <c r="A3" s="178"/>
      <c r="C3" s="179"/>
      <c r="D3" s="180"/>
      <c r="E3" s="180"/>
      <c r="G3" s="180"/>
      <c r="I3" s="181"/>
    </row>
    <row r="4" spans="1:9" s="188" customFormat="1" ht="72.599999999999994" thickBot="1" x14ac:dyDescent="0.3">
      <c r="A4" s="182" t="s">
        <v>9</v>
      </c>
      <c r="B4" s="183" t="s">
        <v>63</v>
      </c>
      <c r="C4" s="183" t="s">
        <v>0</v>
      </c>
      <c r="D4" s="184" t="str">
        <f>+'2022 Proposed Impacts'!D6</f>
        <v>F2022 Forecast Delivered kWh 10/01/22 through 09/30/23</v>
      </c>
      <c r="E4" s="185" t="str">
        <f>"Forecast Delivered Applicable Base Revenue "&amp;TEXT(Controls!B7,"mmmm d, yyyy")&amp;" through "&amp;TEXT(Controls!B8,"mmmm d, yyyy")&amp;" (Note 1)"</f>
        <v>Forecast Delivered Applicable Base Revenue October 1, 2022 through September 30, 2023 (Note 1)</v>
      </c>
      <c r="F4" s="186" t="str">
        <f>"Proposed Equal % "&amp;TEXT(Controls!B1,"YYYY")&amp;" Low Income Rider (Ex. Special Contract)"</f>
        <v>Proposed Equal % 2022 Low Income Rider (Ex. Special Contract)</v>
      </c>
      <c r="G4" s="185" t="str">
        <f>"$ Including Proposed "&amp;TEXT(Controls!B1,"YYYY")&amp;" Low Income"</f>
        <v>$ Including Proposed 2022 Low Income</v>
      </c>
      <c r="H4" s="186" t="str">
        <f>"Proposed "&amp;TEXT(Controls!B1,"YYYY")&amp;" Low Income $"</f>
        <v>Proposed 2022 Low Income $</v>
      </c>
      <c r="I4" s="187" t="s">
        <v>100</v>
      </c>
    </row>
    <row r="5" spans="1:9" s="137" customFormat="1" ht="23.4" thickBot="1" x14ac:dyDescent="0.25">
      <c r="A5" s="132"/>
      <c r="B5" s="133"/>
      <c r="C5" s="133"/>
      <c r="D5" s="134" t="s">
        <v>14</v>
      </c>
      <c r="E5" s="134" t="s">
        <v>15</v>
      </c>
      <c r="F5" s="135" t="s">
        <v>129</v>
      </c>
      <c r="G5" s="133" t="s">
        <v>66</v>
      </c>
      <c r="H5" s="134" t="s">
        <v>67</v>
      </c>
      <c r="I5" s="136" t="s">
        <v>68</v>
      </c>
    </row>
    <row r="6" spans="1:9" x14ac:dyDescent="0.2">
      <c r="A6" s="128"/>
      <c r="I6" s="131"/>
    </row>
    <row r="7" spans="1:9" x14ac:dyDescent="0.2">
      <c r="A7" s="138">
        <v>1</v>
      </c>
      <c r="B7" s="139" t="s">
        <v>1</v>
      </c>
      <c r="C7" s="140">
        <v>7</v>
      </c>
      <c r="D7" s="130">
        <f>+'Base Revenue'!D11</f>
        <v>10803757000</v>
      </c>
      <c r="E7" s="141">
        <f>'Base Revenue'!M11</f>
        <v>1229487000</v>
      </c>
      <c r="F7" s="142">
        <f>(IF(D7&gt;0,E7*$E$42/D7,0))</f>
        <v>2.6871167223286641E-3</v>
      </c>
      <c r="G7" s="141">
        <f>+H7+E7</f>
        <v>1258517956.0986753</v>
      </c>
      <c r="H7" s="141">
        <f>+F7*D7</f>
        <v>29030956.098675363</v>
      </c>
      <c r="I7" s="143">
        <f>IF(E7&gt;0,+H7/E7,0)</f>
        <v>2.3612251368802892E-2</v>
      </c>
    </row>
    <row r="8" spans="1:9" x14ac:dyDescent="0.2">
      <c r="A8" s="138">
        <f>+A7+1</f>
        <v>2</v>
      </c>
      <c r="B8" s="139"/>
      <c r="C8" s="140"/>
      <c r="E8" s="141"/>
      <c r="F8" s="144"/>
      <c r="G8" s="141"/>
      <c r="H8" s="141"/>
      <c r="I8" s="143"/>
    </row>
    <row r="9" spans="1:9" x14ac:dyDescent="0.2">
      <c r="A9" s="138">
        <f t="shared" ref="A9:A42" si="0">+A8+1</f>
        <v>3</v>
      </c>
      <c r="B9" s="145" t="s">
        <v>46</v>
      </c>
      <c r="C9" s="146" t="s">
        <v>116</v>
      </c>
      <c r="D9" s="130">
        <f>+'Base Revenue'!D15</f>
        <v>2715721000</v>
      </c>
      <c r="E9" s="141">
        <f>'Base Revenue'!M15</f>
        <v>303519000</v>
      </c>
      <c r="F9" s="142">
        <f>(IF(D9&gt;0,E9*$E$42/D9,0))</f>
        <v>2.6389923424415414E-3</v>
      </c>
      <c r="G9" s="141">
        <f>+H9+E9</f>
        <v>310685766.9232077</v>
      </c>
      <c r="H9" s="141">
        <f t="shared" ref="H9:H12" si="1">+F9*D9</f>
        <v>7166766.9232076854</v>
      </c>
      <c r="I9" s="143">
        <f>IF(E9&gt;0,+H9/E9,0)</f>
        <v>2.3612251368802892E-2</v>
      </c>
    </row>
    <row r="10" spans="1:9" x14ac:dyDescent="0.2">
      <c r="A10" s="138">
        <f t="shared" si="0"/>
        <v>4</v>
      </c>
      <c r="B10" s="145" t="s">
        <v>47</v>
      </c>
      <c r="C10" s="147" t="s">
        <v>117</v>
      </c>
      <c r="D10" s="130">
        <f>+'Base Revenue'!D16</f>
        <v>2875620000</v>
      </c>
      <c r="E10" s="141">
        <f>'Base Revenue'!M16</f>
        <v>291947000</v>
      </c>
      <c r="F10" s="142">
        <f>(IF(D10&gt;0,E10*$E$42/D10,0))</f>
        <v>2.3972311885325243E-3</v>
      </c>
      <c r="G10" s="141">
        <f t="shared" ref="G10:G12" si="2">+H10+E10</f>
        <v>298840525.95036793</v>
      </c>
      <c r="H10" s="141">
        <f t="shared" si="1"/>
        <v>6893525.9503678977</v>
      </c>
      <c r="I10" s="143">
        <f>IF(E10&gt;0,+H10/E10,0)</f>
        <v>2.3612251368802892E-2</v>
      </c>
    </row>
    <row r="11" spans="1:9" x14ac:dyDescent="0.2">
      <c r="A11" s="138">
        <f t="shared" si="0"/>
        <v>5</v>
      </c>
      <c r="B11" s="145" t="s">
        <v>48</v>
      </c>
      <c r="C11" s="147" t="s">
        <v>118</v>
      </c>
      <c r="D11" s="130">
        <f>+'Base Revenue'!D17</f>
        <v>1815376000</v>
      </c>
      <c r="E11" s="141">
        <f>'Base Revenue'!M17</f>
        <v>170519000</v>
      </c>
      <c r="F11" s="142">
        <f>(IF(D11&gt;0,E11*$E$42/D11,0))</f>
        <v>2.2179082962190204E-3</v>
      </c>
      <c r="G11" s="141">
        <f t="shared" si="2"/>
        <v>174545337.49115691</v>
      </c>
      <c r="H11" s="141">
        <f t="shared" si="1"/>
        <v>4026337.4911569003</v>
      </c>
      <c r="I11" s="143">
        <f>IF(E11&gt;0,+H11/E11,0)</f>
        <v>2.3612251368802892E-2</v>
      </c>
    </row>
    <row r="12" spans="1:9" x14ac:dyDescent="0.2">
      <c r="A12" s="138">
        <f t="shared" si="0"/>
        <v>6</v>
      </c>
      <c r="B12" s="148" t="s">
        <v>49</v>
      </c>
      <c r="C12" s="140">
        <v>29</v>
      </c>
      <c r="D12" s="130">
        <f>+'Base Revenue'!D18</f>
        <v>14984000</v>
      </c>
      <c r="E12" s="141">
        <f>'Base Revenue'!M18</f>
        <v>1337000</v>
      </c>
      <c r="F12" s="142">
        <f>(IF(D12&gt;0,E12*$E$42/D12,0))</f>
        <v>2.1068860170908614E-3</v>
      </c>
      <c r="G12" s="141">
        <f t="shared" si="2"/>
        <v>1368569.5800800894</v>
      </c>
      <c r="H12" s="141">
        <f t="shared" si="1"/>
        <v>31569.580080089469</v>
      </c>
      <c r="I12" s="143">
        <f>IF(E12&gt;0,+H12/E12,0)</f>
        <v>2.3612251368802892E-2</v>
      </c>
    </row>
    <row r="13" spans="1:9" x14ac:dyDescent="0.2">
      <c r="A13" s="138">
        <f t="shared" si="0"/>
        <v>7</v>
      </c>
      <c r="B13" s="139" t="s">
        <v>50</v>
      </c>
      <c r="C13" s="140"/>
      <c r="D13" s="231">
        <f>SUM(D9:D12)</f>
        <v>7421701000</v>
      </c>
      <c r="E13" s="232">
        <f>SUM(E9:E12)</f>
        <v>767322000</v>
      </c>
      <c r="F13" s="233">
        <f>+H13/D13</f>
        <v>2.4412462782874935E-3</v>
      </c>
      <c r="G13" s="232">
        <f>SUM(G9:G12)</f>
        <v>785440199.94481266</v>
      </c>
      <c r="H13" s="232">
        <f>SUM(H9:H12)</f>
        <v>18118199.94481257</v>
      </c>
      <c r="I13" s="234">
        <f>IF(E13&gt;0,+H13/E13,0)</f>
        <v>2.3612251368802888E-2</v>
      </c>
    </row>
    <row r="14" spans="1:9" x14ac:dyDescent="0.2">
      <c r="A14" s="138">
        <f t="shared" si="0"/>
        <v>8</v>
      </c>
      <c r="B14" s="139"/>
      <c r="C14" s="140"/>
      <c r="E14" s="141"/>
      <c r="F14" s="144"/>
      <c r="G14" s="141"/>
      <c r="H14" s="141"/>
      <c r="I14" s="143"/>
    </row>
    <row r="15" spans="1:9" x14ac:dyDescent="0.2">
      <c r="A15" s="138">
        <f t="shared" si="0"/>
        <v>9</v>
      </c>
      <c r="B15" s="145" t="s">
        <v>51</v>
      </c>
      <c r="C15" s="147" t="s">
        <v>120</v>
      </c>
      <c r="D15" s="130">
        <f>+'Base Revenue'!D22</f>
        <v>1321558000</v>
      </c>
      <c r="E15" s="141">
        <f>'Base Revenue'!M22</f>
        <v>122642000</v>
      </c>
      <c r="F15" s="142">
        <f>(IF(D15&gt;0,E15*$E$42/D15,0))</f>
        <v>2.1912422552568442E-3</v>
      </c>
      <c r="G15" s="141">
        <f t="shared" ref="G15:G17" si="3">+H15+E15</f>
        <v>125537853.73237273</v>
      </c>
      <c r="H15" s="141">
        <f t="shared" ref="H15:H17" si="4">+F15*D15</f>
        <v>2895853.7323727245</v>
      </c>
      <c r="I15" s="143">
        <f>IF(E15&gt;0,+H15/E15,0)</f>
        <v>2.3612251368802892E-2</v>
      </c>
    </row>
    <row r="16" spans="1:9" x14ac:dyDescent="0.2">
      <c r="A16" s="138">
        <f t="shared" si="0"/>
        <v>10</v>
      </c>
      <c r="B16" s="148" t="s">
        <v>52</v>
      </c>
      <c r="C16" s="140">
        <v>35</v>
      </c>
      <c r="D16" s="130">
        <f>+'Base Revenue'!D23</f>
        <v>4711000</v>
      </c>
      <c r="E16" s="141">
        <f>'Base Revenue'!M23</f>
        <v>331000</v>
      </c>
      <c r="F16" s="142">
        <f>(IF(D16&gt;0,E16*$E$42/D16,0))</f>
        <v>1.6590225436369684E-3</v>
      </c>
      <c r="G16" s="141">
        <f t="shared" si="3"/>
        <v>338815.65520307375</v>
      </c>
      <c r="H16" s="141">
        <f t="shared" si="4"/>
        <v>7815.6552030737575</v>
      </c>
      <c r="I16" s="143">
        <f>IF(E16&gt;0,+H16/E16,0)</f>
        <v>2.3612251368802892E-2</v>
      </c>
    </row>
    <row r="17" spans="1:9" x14ac:dyDescent="0.2">
      <c r="A17" s="138">
        <f t="shared" si="0"/>
        <v>11</v>
      </c>
      <c r="B17" s="148" t="s">
        <v>53</v>
      </c>
      <c r="C17" s="140">
        <v>43</v>
      </c>
      <c r="D17" s="130">
        <f>+'Base Revenue'!D24</f>
        <v>119012000</v>
      </c>
      <c r="E17" s="141">
        <f>'Base Revenue'!M24</f>
        <v>11653000</v>
      </c>
      <c r="F17" s="142">
        <f>(IF(D17&gt;0,E17*$E$42/D17,0))</f>
        <v>2.311981692607973E-3</v>
      </c>
      <c r="G17" s="141">
        <f t="shared" si="3"/>
        <v>11928153.56520066</v>
      </c>
      <c r="H17" s="141">
        <f t="shared" si="4"/>
        <v>275153.56520066009</v>
      </c>
      <c r="I17" s="143">
        <f>IF(E17&gt;0,+H17/E17,0)</f>
        <v>2.3612251368802892E-2</v>
      </c>
    </row>
    <row r="18" spans="1:9" x14ac:dyDescent="0.2">
      <c r="A18" s="138">
        <f t="shared" si="0"/>
        <v>12</v>
      </c>
      <c r="B18" s="149" t="s">
        <v>54</v>
      </c>
      <c r="C18" s="140"/>
      <c r="D18" s="231">
        <f>SUM(D15:D17)</f>
        <v>1445281000</v>
      </c>
      <c r="E18" s="232">
        <f>SUM(E15:E17)</f>
        <v>134626000</v>
      </c>
      <c r="F18" s="233">
        <f>+H18/D18</f>
        <v>2.1994497629017873E-3</v>
      </c>
      <c r="G18" s="232">
        <f>SUM(G15:G17)</f>
        <v>137804822.95277646</v>
      </c>
      <c r="H18" s="232">
        <f>SUM(H15:H17)</f>
        <v>3178822.9527764581</v>
      </c>
      <c r="I18" s="234">
        <f>IF(E18&gt;0,+H18/E18,0)</f>
        <v>2.3612251368802892E-2</v>
      </c>
    </row>
    <row r="19" spans="1:9" x14ac:dyDescent="0.2">
      <c r="A19" s="138">
        <f t="shared" si="0"/>
        <v>13</v>
      </c>
      <c r="B19" s="149"/>
      <c r="C19" s="140"/>
      <c r="E19" s="141"/>
      <c r="F19" s="144"/>
      <c r="G19" s="141"/>
      <c r="H19" s="141"/>
      <c r="I19" s="143"/>
    </row>
    <row r="20" spans="1:9" x14ac:dyDescent="0.2">
      <c r="A20" s="138">
        <f t="shared" si="0"/>
        <v>14</v>
      </c>
      <c r="B20" s="148" t="s">
        <v>55</v>
      </c>
      <c r="C20" s="140">
        <v>46</v>
      </c>
      <c r="D20" s="130">
        <f>+'Base Revenue'!D28</f>
        <v>89398000</v>
      </c>
      <c r="E20" s="141">
        <f>'Base Revenue'!M28</f>
        <v>6473000</v>
      </c>
      <c r="F20" s="142">
        <f>(IF(D20&gt;0,E20*$E$42/D20,0))</f>
        <v>1.7096814594315434E-3</v>
      </c>
      <c r="G20" s="141">
        <f t="shared" ref="G20:G21" si="5">+H20+E20</f>
        <v>6625842.1031102613</v>
      </c>
      <c r="H20" s="141">
        <f t="shared" ref="H20:H21" si="6">+F20*D20</f>
        <v>152842.10311026112</v>
      </c>
      <c r="I20" s="143">
        <f>IF(E20&gt;0,+H20/E20,0)</f>
        <v>2.3612251368802892E-2</v>
      </c>
    </row>
    <row r="21" spans="1:9" x14ac:dyDescent="0.2">
      <c r="A21" s="138">
        <f t="shared" si="0"/>
        <v>15</v>
      </c>
      <c r="B21" s="145" t="s">
        <v>56</v>
      </c>
      <c r="C21" s="140">
        <v>49</v>
      </c>
      <c r="D21" s="130">
        <f>+'Base Revenue'!D29</f>
        <v>506513000</v>
      </c>
      <c r="E21" s="141">
        <f>'Base Revenue'!M29</f>
        <v>36085000</v>
      </c>
      <c r="F21" s="142">
        <f>(IF(D21&gt;0,E21*$E$42/D21,0))</f>
        <v>1.6821840518274011E-3</v>
      </c>
      <c r="G21" s="141">
        <f t="shared" si="5"/>
        <v>36937048.090643249</v>
      </c>
      <c r="H21" s="141">
        <f t="shared" si="6"/>
        <v>852048.09064325236</v>
      </c>
      <c r="I21" s="143">
        <f>IF(E21&gt;0,+H21/E21,0)</f>
        <v>2.3612251368802892E-2</v>
      </c>
    </row>
    <row r="22" spans="1:9" x14ac:dyDescent="0.2">
      <c r="A22" s="138">
        <f t="shared" si="0"/>
        <v>16</v>
      </c>
      <c r="B22" s="139" t="s">
        <v>57</v>
      </c>
      <c r="C22" s="140"/>
      <c r="D22" s="231">
        <f>SUM(D20:D21)</f>
        <v>595911000</v>
      </c>
      <c r="E22" s="232">
        <f>SUM(E20:E21)</f>
        <v>42558000</v>
      </c>
      <c r="F22" s="233">
        <f>+H22/D22</f>
        <v>1.6863091866965261E-3</v>
      </c>
      <c r="G22" s="231">
        <f>SUM(G20:G21)</f>
        <v>43562890.193753511</v>
      </c>
      <c r="H22" s="232">
        <f>SUM(H20:H21)</f>
        <v>1004890.1937535135</v>
      </c>
      <c r="I22" s="234">
        <f>IF(E22&gt;0,+H22/E22,0)</f>
        <v>2.3612251368802892E-2</v>
      </c>
    </row>
    <row r="23" spans="1:9" x14ac:dyDescent="0.2">
      <c r="A23" s="138">
        <f t="shared" si="0"/>
        <v>17</v>
      </c>
      <c r="B23" s="139"/>
      <c r="C23" s="140"/>
      <c r="E23" s="141"/>
      <c r="F23" s="144"/>
      <c r="G23" s="141"/>
      <c r="H23" s="141"/>
      <c r="I23" s="143"/>
    </row>
    <row r="24" spans="1:9" x14ac:dyDescent="0.2">
      <c r="A24" s="138">
        <f t="shared" si="0"/>
        <v>18</v>
      </c>
      <c r="B24" s="139" t="s">
        <v>58</v>
      </c>
      <c r="C24" s="147" t="s">
        <v>194</v>
      </c>
      <c r="D24" s="130">
        <f>+'Base Revenue'!D32</f>
        <v>62946000</v>
      </c>
      <c r="E24" s="141">
        <f>'Base Revenue'!M32</f>
        <v>15769000</v>
      </c>
      <c r="F24" s="142">
        <f>(IF(D24&gt;0,E24*$E$42/D24,0))</f>
        <v>5.9152542152742481E-3</v>
      </c>
      <c r="G24" s="141">
        <f t="shared" ref="G24:G29" si="7">+H24+E24</f>
        <v>16141341.591834653</v>
      </c>
      <c r="H24" s="141">
        <f>+F24*D24</f>
        <v>372341.59183465282</v>
      </c>
      <c r="I24" s="143">
        <f>IF(E24&gt;0,+H24/E24,0)</f>
        <v>2.3612251368802892E-2</v>
      </c>
    </row>
    <row r="25" spans="1:9" x14ac:dyDescent="0.2">
      <c r="A25" s="138">
        <f t="shared" si="0"/>
        <v>19</v>
      </c>
      <c r="B25" s="139"/>
      <c r="C25" s="147"/>
      <c r="E25" s="141"/>
      <c r="F25" s="144"/>
      <c r="G25" s="141"/>
      <c r="H25" s="141"/>
      <c r="I25" s="143"/>
    </row>
    <row r="26" spans="1:9" x14ac:dyDescent="0.2">
      <c r="A26" s="138">
        <f t="shared" si="0"/>
        <v>20</v>
      </c>
      <c r="B26" s="139" t="s">
        <v>96</v>
      </c>
      <c r="C26" s="147" t="s">
        <v>121</v>
      </c>
      <c r="D26" s="130">
        <f>+'Base Revenue'!D34</f>
        <v>1955590000</v>
      </c>
      <c r="E26" s="141">
        <f>'Base Revenue'!M34</f>
        <v>9786000</v>
      </c>
      <c r="F26" s="142">
        <f>(IF(D26&gt;0,E26*$E$42/D26,0))</f>
        <v>1.1815845442812916E-4</v>
      </c>
      <c r="G26" s="141">
        <f t="shared" si="7"/>
        <v>10017069.491895106</v>
      </c>
      <c r="H26" s="141">
        <f>+F26*D26</f>
        <v>231069.49189510511</v>
      </c>
      <c r="I26" s="143">
        <f>IF(E26&gt;0,+H26/E26,0)</f>
        <v>2.3612251368802892E-2</v>
      </c>
    </row>
    <row r="27" spans="1:9" x14ac:dyDescent="0.2">
      <c r="A27" s="138">
        <f t="shared" si="0"/>
        <v>21</v>
      </c>
      <c r="B27" s="149" t="s">
        <v>218</v>
      </c>
      <c r="C27" s="147"/>
      <c r="D27" s="231">
        <f>SUM(D26,D24,D22,D18,D13,D7)</f>
        <v>22285186000</v>
      </c>
      <c r="E27" s="231">
        <f>SUM(E26,E24,E22,E18,E13,E7)</f>
        <v>2199548000</v>
      </c>
      <c r="F27" s="233">
        <f>(IF(D27&gt;0,E27*$E$42/D27,0))</f>
        <v>2.3305293603449241E-3</v>
      </c>
      <c r="G27" s="232">
        <f>SUM(G26,G24,G22,G18,G13,G7)</f>
        <v>2251484280.2737474</v>
      </c>
      <c r="H27" s="232">
        <f>SUM(H26,H24,H22,H18,H13,H7)</f>
        <v>51936280.27374766</v>
      </c>
      <c r="I27" s="234">
        <f>IF(E27&gt;0,+H27/E27,0)</f>
        <v>2.3612251368802892E-2</v>
      </c>
    </row>
    <row r="28" spans="1:9" x14ac:dyDescent="0.2">
      <c r="A28" s="138">
        <f t="shared" si="0"/>
        <v>22</v>
      </c>
      <c r="B28" s="139"/>
      <c r="E28" s="141"/>
      <c r="G28" s="141"/>
      <c r="H28" s="141"/>
      <c r="I28" s="131"/>
    </row>
    <row r="29" spans="1:9" x14ac:dyDescent="0.2">
      <c r="A29" s="138">
        <f t="shared" si="0"/>
        <v>23</v>
      </c>
      <c r="B29" s="149" t="s">
        <v>216</v>
      </c>
      <c r="C29" s="147" t="s">
        <v>202</v>
      </c>
      <c r="D29" s="130">
        <f>+'Base Revenue'!D36</f>
        <v>289426000</v>
      </c>
      <c r="E29" s="141">
        <f>'Base Revenue'!M36</f>
        <v>4654000</v>
      </c>
      <c r="F29" s="142">
        <v>6.1399999999999996E-4</v>
      </c>
      <c r="G29" s="141">
        <f t="shared" si="7"/>
        <v>4831707.5640000002</v>
      </c>
      <c r="H29" s="141">
        <f>+F29*D29</f>
        <v>177707.56399999998</v>
      </c>
      <c r="I29" s="150" t="s">
        <v>208</v>
      </c>
    </row>
    <row r="30" spans="1:9" ht="12" thickBot="1" x14ac:dyDescent="0.25">
      <c r="A30" s="138">
        <f t="shared" si="0"/>
        <v>24</v>
      </c>
      <c r="B30" s="149" t="s">
        <v>217</v>
      </c>
      <c r="D30" s="235">
        <f>SUM(D27,D29)</f>
        <v>22574612000</v>
      </c>
      <c r="E30" s="236">
        <f>SUM(E27,E29)</f>
        <v>2204202000</v>
      </c>
      <c r="F30" s="237">
        <f>+H30/D30</f>
        <v>2.3085219731682504E-3</v>
      </c>
      <c r="G30" s="238">
        <f>SUM(G27,G29)</f>
        <v>2256315987.8377476</v>
      </c>
      <c r="H30" s="238">
        <f>SUM(H27,H29)</f>
        <v>52113987.837747663</v>
      </c>
      <c r="I30" s="239">
        <f>IF(E30&gt;0,+H30/E30,0)</f>
        <v>2.3643018125266042E-2</v>
      </c>
    </row>
    <row r="31" spans="1:9" ht="12.6" thickTop="1" thickBot="1" x14ac:dyDescent="0.25">
      <c r="A31" s="152">
        <f t="shared" si="0"/>
        <v>25</v>
      </c>
      <c r="B31" s="153"/>
      <c r="C31" s="154"/>
      <c r="D31" s="155"/>
      <c r="E31" s="155"/>
      <c r="F31" s="153"/>
      <c r="G31" s="155"/>
      <c r="H31" s="156"/>
      <c r="I31" s="157"/>
    </row>
    <row r="32" spans="1:9" x14ac:dyDescent="0.2">
      <c r="A32" s="129">
        <f t="shared" si="0"/>
        <v>26</v>
      </c>
    </row>
    <row r="33" spans="1:9" x14ac:dyDescent="0.2">
      <c r="A33" s="129">
        <f t="shared" si="0"/>
        <v>27</v>
      </c>
      <c r="B33" s="127" t="s">
        <v>60</v>
      </c>
      <c r="D33" s="130">
        <f>+'Base Revenue'!D40</f>
        <v>7099000</v>
      </c>
      <c r="E33" s="141">
        <f>'Base Revenue'!M40</f>
        <v>680000</v>
      </c>
    </row>
    <row r="34" spans="1:9" x14ac:dyDescent="0.2">
      <c r="A34" s="129">
        <f t="shared" si="0"/>
        <v>28</v>
      </c>
      <c r="B34" s="127" t="s">
        <v>61</v>
      </c>
      <c r="D34" s="130">
        <f>+D33+D30</f>
        <v>22581711000</v>
      </c>
      <c r="E34" s="141">
        <f>+E33+E30</f>
        <v>2204882000</v>
      </c>
    </row>
    <row r="35" spans="1:9" x14ac:dyDescent="0.2">
      <c r="A35" s="129">
        <f t="shared" si="0"/>
        <v>29</v>
      </c>
      <c r="E35" s="151"/>
    </row>
    <row r="36" spans="1:9" x14ac:dyDescent="0.2">
      <c r="A36" s="129">
        <f t="shared" si="0"/>
        <v>30</v>
      </c>
      <c r="B36" s="149" t="s">
        <v>206</v>
      </c>
      <c r="E36" s="141">
        <f>'Revenue Req 2022-2023'!$F$27</f>
        <v>52113987.837747663</v>
      </c>
      <c r="F36" s="158"/>
    </row>
    <row r="37" spans="1:9" x14ac:dyDescent="0.2">
      <c r="A37" s="129">
        <f t="shared" si="0"/>
        <v>31</v>
      </c>
      <c r="B37" s="149" t="s">
        <v>209</v>
      </c>
      <c r="E37" s="141">
        <f>-H29</f>
        <v>-177707.56399999998</v>
      </c>
      <c r="F37" s="158"/>
    </row>
    <row r="38" spans="1:9" x14ac:dyDescent="0.2">
      <c r="A38" s="129">
        <f t="shared" si="0"/>
        <v>32</v>
      </c>
      <c r="B38" s="149" t="s">
        <v>205</v>
      </c>
      <c r="E38" s="141">
        <f>SUM(E36:E37)</f>
        <v>51936280.27374766</v>
      </c>
      <c r="F38" s="158"/>
    </row>
    <row r="39" spans="1:9" x14ac:dyDescent="0.2">
      <c r="A39" s="129">
        <f t="shared" si="0"/>
        <v>33</v>
      </c>
      <c r="B39" s="149"/>
      <c r="E39" s="141"/>
      <c r="F39" s="158"/>
    </row>
    <row r="40" spans="1:9" x14ac:dyDescent="0.2">
      <c r="A40" s="129">
        <f t="shared" si="0"/>
        <v>34</v>
      </c>
      <c r="B40" s="127" t="s">
        <v>203</v>
      </c>
      <c r="E40" s="151">
        <f>+E27</f>
        <v>2199548000</v>
      </c>
      <c r="F40" s="158"/>
    </row>
    <row r="41" spans="1:9" ht="12" thickBot="1" x14ac:dyDescent="0.25">
      <c r="A41" s="129">
        <f t="shared" si="0"/>
        <v>35</v>
      </c>
    </row>
    <row r="42" spans="1:9" ht="12.6" thickBot="1" x14ac:dyDescent="0.3">
      <c r="A42" s="159">
        <f t="shared" si="0"/>
        <v>36</v>
      </c>
      <c r="B42" s="160" t="s">
        <v>207</v>
      </c>
      <c r="C42" s="161"/>
      <c r="D42" s="162"/>
      <c r="E42" s="163">
        <f>+E38/E40</f>
        <v>2.3612251368802892E-2</v>
      </c>
      <c r="F42" s="164" t="s">
        <v>69</v>
      </c>
      <c r="G42" s="165"/>
      <c r="H42" s="166"/>
      <c r="I42" s="167"/>
    </row>
    <row r="45" spans="1:9" s="168" customFormat="1" ht="33" customHeight="1" x14ac:dyDescent="0.2">
      <c r="A45" s="341" t="s">
        <v>254</v>
      </c>
      <c r="B45" s="341"/>
      <c r="C45" s="341"/>
      <c r="D45" s="341"/>
      <c r="E45" s="341"/>
      <c r="F45" s="341"/>
      <c r="G45" s="341"/>
      <c r="H45" s="341"/>
      <c r="I45" s="341"/>
    </row>
  </sheetData>
  <mergeCells count="1">
    <mergeCell ref="A45:I45"/>
  </mergeCells>
  <phoneticPr fontId="2" type="noConversion"/>
  <printOptions horizontalCentered="1"/>
  <pageMargins left="0.7" right="0.7" top="0.75" bottom="0.75" header="0.3" footer="0.3"/>
  <pageSetup scale="7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9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J13" sqref="J13"/>
    </sheetView>
  </sheetViews>
  <sheetFormatPr defaultColWidth="8.88671875" defaultRowHeight="10.199999999999999" x14ac:dyDescent="0.2"/>
  <cols>
    <col min="1" max="1" width="4.44140625" style="76" bestFit="1" customWidth="1"/>
    <col min="2" max="2" width="39.44140625" style="76" bestFit="1" customWidth="1"/>
    <col min="3" max="3" width="18.6640625" style="76" bestFit="1" customWidth="1"/>
    <col min="4" max="4" width="15.21875" style="76" bestFit="1" customWidth="1"/>
    <col min="5" max="5" width="11.88671875" style="76" bestFit="1" customWidth="1"/>
    <col min="6" max="6" width="11.33203125" style="76" bestFit="1" customWidth="1"/>
    <col min="7" max="7" width="12.5546875" style="76" bestFit="1" customWidth="1"/>
    <col min="8" max="8" width="12.6640625" style="76" bestFit="1" customWidth="1"/>
    <col min="9" max="9" width="12" style="76" bestFit="1" customWidth="1"/>
    <col min="10" max="10" width="13" style="76" customWidth="1"/>
    <col min="11" max="11" width="1" style="75" customWidth="1"/>
    <col min="12" max="13" width="10.88671875" style="76" bestFit="1" customWidth="1"/>
    <col min="14" max="16384" width="8.88671875" style="76"/>
  </cols>
  <sheetData>
    <row r="1" spans="1:13" s="108" customFormat="1" x14ac:dyDescent="0.2">
      <c r="A1" s="343" t="s">
        <v>7</v>
      </c>
      <c r="B1" s="343"/>
      <c r="C1" s="343"/>
      <c r="D1" s="343"/>
      <c r="E1" s="343"/>
      <c r="F1" s="343"/>
      <c r="G1" s="343"/>
      <c r="H1" s="343"/>
      <c r="I1" s="343"/>
      <c r="J1" s="343"/>
      <c r="K1" s="107"/>
    </row>
    <row r="2" spans="1:13" s="108" customFormat="1" x14ac:dyDescent="0.2">
      <c r="A2" s="344" t="str">
        <f>TEXT(Controls!B1,"YYYY")&amp;" Low Income Workpapers"</f>
        <v>2022 Low Income Workpapers</v>
      </c>
      <c r="B2" s="343"/>
      <c r="C2" s="343"/>
      <c r="D2" s="343"/>
      <c r="E2" s="343"/>
      <c r="F2" s="343"/>
      <c r="G2" s="343"/>
      <c r="H2" s="343"/>
      <c r="I2" s="343"/>
      <c r="J2" s="343"/>
      <c r="K2" s="107"/>
    </row>
    <row r="3" spans="1:13" s="108" customFormat="1" x14ac:dyDescent="0.2">
      <c r="A3" s="344" t="str">
        <f>"Test Year Ending "&amp;TEXT(Controls!B8,"mmmm d, yyyy")</f>
        <v>Test Year Ending September 30, 2023</v>
      </c>
      <c r="B3" s="343"/>
      <c r="C3" s="343"/>
      <c r="D3" s="343"/>
      <c r="E3" s="343"/>
      <c r="F3" s="343"/>
      <c r="G3" s="343"/>
      <c r="H3" s="343"/>
      <c r="I3" s="343"/>
      <c r="J3" s="343"/>
      <c r="K3" s="107"/>
    </row>
    <row r="4" spans="1:13" s="108" customFormat="1" x14ac:dyDescent="0.2">
      <c r="A4" s="109"/>
      <c r="B4" s="342"/>
      <c r="C4" s="342"/>
      <c r="D4" s="342"/>
      <c r="E4" s="342"/>
      <c r="F4" s="342"/>
      <c r="G4" s="110"/>
      <c r="H4" s="110"/>
      <c r="I4" s="110"/>
      <c r="K4" s="107"/>
    </row>
    <row r="5" spans="1:13" s="108" customFormat="1" ht="72" thickBot="1" x14ac:dyDescent="0.25">
      <c r="A5" s="119" t="s">
        <v>9</v>
      </c>
      <c r="B5" s="119" t="s">
        <v>0</v>
      </c>
      <c r="C5" s="119" t="s">
        <v>10</v>
      </c>
      <c r="D5" s="119" t="s">
        <v>179</v>
      </c>
      <c r="E5" s="120" t="s">
        <v>278</v>
      </c>
      <c r="F5" s="120" t="str">
        <f>"Proposed Schedule 129 Lamp Charge Effective "&amp;TEXT(Controls!B1,"mm/dd/YYYY")</f>
        <v>Proposed Schedule 129 Lamp Charge Effective 10/01/2022</v>
      </c>
      <c r="G5" s="120" t="s">
        <v>259</v>
      </c>
      <c r="H5" s="120" t="s">
        <v>279</v>
      </c>
      <c r="I5" s="120" t="str">
        <f>"Proposed Schedule 129 Lamp Revenue @ "&amp;TEXT(Controls!B1,"mm/dd/yyyy")</f>
        <v>Proposed Schedule 129 Lamp Revenue @ 10/01/2022</v>
      </c>
      <c r="J5" s="120" t="s">
        <v>200</v>
      </c>
      <c r="K5" s="121"/>
      <c r="L5" s="119" t="s">
        <v>198</v>
      </c>
      <c r="M5" s="119" t="s">
        <v>199</v>
      </c>
    </row>
    <row r="6" spans="1:13" x14ac:dyDescent="0.2">
      <c r="A6" s="77"/>
      <c r="B6" s="79"/>
      <c r="C6" s="79"/>
      <c r="D6" s="80"/>
      <c r="E6" s="79" t="s">
        <v>77</v>
      </c>
      <c r="F6" s="79" t="s">
        <v>78</v>
      </c>
      <c r="G6" s="81" t="s">
        <v>79</v>
      </c>
      <c r="H6" s="81" t="s">
        <v>105</v>
      </c>
      <c r="I6" s="81" t="s">
        <v>80</v>
      </c>
      <c r="J6" s="81"/>
    </row>
    <row r="7" spans="1:13" x14ac:dyDescent="0.2">
      <c r="A7" s="77"/>
      <c r="B7" s="79"/>
      <c r="C7" s="79"/>
      <c r="D7" s="80"/>
      <c r="E7" s="80"/>
      <c r="F7" s="82" t="s">
        <v>191</v>
      </c>
      <c r="G7" s="78"/>
      <c r="H7" s="82" t="s">
        <v>180</v>
      </c>
      <c r="I7" s="82" t="s">
        <v>181</v>
      </c>
    </row>
    <row r="8" spans="1:13" ht="10.8" thickBot="1" x14ac:dyDescent="0.25">
      <c r="A8" s="77"/>
      <c r="B8" s="83"/>
      <c r="C8" s="83"/>
      <c r="D8" s="83"/>
      <c r="E8" s="84"/>
      <c r="F8" s="84"/>
      <c r="G8" s="85"/>
      <c r="H8" s="85"/>
      <c r="I8" s="85"/>
    </row>
    <row r="9" spans="1:13" x14ac:dyDescent="0.2">
      <c r="A9" s="77"/>
      <c r="B9" s="83"/>
      <c r="C9" s="83"/>
      <c r="D9" s="83"/>
      <c r="E9" s="83"/>
      <c r="F9" s="83"/>
      <c r="G9" s="78"/>
      <c r="H9" s="78"/>
      <c r="I9" s="78"/>
      <c r="J9" s="86" t="s">
        <v>192</v>
      </c>
      <c r="K9" s="76"/>
    </row>
    <row r="10" spans="1:13" ht="10.8" thickBot="1" x14ac:dyDescent="0.25">
      <c r="A10" s="77">
        <v>1</v>
      </c>
      <c r="B10" s="87" t="s">
        <v>197</v>
      </c>
      <c r="C10" s="83"/>
      <c r="D10" s="83"/>
      <c r="E10" s="83"/>
      <c r="F10" s="83"/>
      <c r="G10" s="88"/>
      <c r="H10" s="89">
        <f>SUM(H25:H201)</f>
        <v>4032296</v>
      </c>
      <c r="I10" s="89">
        <f>SUM(I25:I201)</f>
        <v>372279</v>
      </c>
      <c r="J10" s="90">
        <f>+J12+J11</f>
        <v>9.2076846041722338E-2</v>
      </c>
      <c r="K10" s="76"/>
    </row>
    <row r="11" spans="1:13" x14ac:dyDescent="0.2">
      <c r="A11" s="77">
        <f>+A10+1</f>
        <v>2</v>
      </c>
      <c r="B11" s="87" t="s">
        <v>196</v>
      </c>
      <c r="C11" s="83"/>
      <c r="D11" s="83"/>
      <c r="E11" s="83"/>
      <c r="F11" s="83"/>
      <c r="G11" s="88"/>
      <c r="I11" s="228">
        <f>+'2022 Equal % Allocation'!H24</f>
        <v>372341.59183465282</v>
      </c>
      <c r="J11" s="91">
        <f>+I11/H10</f>
        <v>9.2339846041722337E-2</v>
      </c>
      <c r="K11" s="76"/>
    </row>
    <row r="12" spans="1:13" x14ac:dyDescent="0.2">
      <c r="A12" s="77">
        <f t="shared" ref="A12:A77" si="0">+A11+1</f>
        <v>3</v>
      </c>
      <c r="B12" s="92" t="s">
        <v>193</v>
      </c>
      <c r="C12" s="83"/>
      <c r="D12" s="83"/>
      <c r="E12" s="83"/>
      <c r="F12" s="83"/>
      <c r="G12" s="88"/>
      <c r="H12" s="89"/>
      <c r="I12" s="230">
        <f>+I10-I11</f>
        <v>-62.591834652819671</v>
      </c>
      <c r="J12" s="93">
        <v>-2.63E-4</v>
      </c>
      <c r="K12" s="76"/>
    </row>
    <row r="13" spans="1:13" x14ac:dyDescent="0.2">
      <c r="A13" s="77">
        <f t="shared" si="0"/>
        <v>4</v>
      </c>
      <c r="B13" s="83"/>
      <c r="C13" s="83"/>
      <c r="D13" s="83"/>
      <c r="E13" s="83"/>
      <c r="F13" s="83"/>
      <c r="G13" s="78"/>
      <c r="H13" s="78"/>
      <c r="I13" s="78"/>
      <c r="K13" s="76"/>
    </row>
    <row r="14" spans="1:13" x14ac:dyDescent="0.2">
      <c r="A14" s="77">
        <f t="shared" si="0"/>
        <v>5</v>
      </c>
      <c r="B14" s="83" t="s">
        <v>182</v>
      </c>
      <c r="C14" s="83"/>
      <c r="D14" s="83"/>
      <c r="E14" s="83"/>
      <c r="F14" s="83"/>
      <c r="G14" s="85">
        <f>SUM(G25:G34)</f>
        <v>1121</v>
      </c>
      <c r="H14" s="89">
        <f>SUM(H25:H34)</f>
        <v>3310</v>
      </c>
      <c r="I14" s="89">
        <f>SUM(I25:I34)</f>
        <v>306</v>
      </c>
      <c r="J14" s="89"/>
      <c r="K14" s="76"/>
    </row>
    <row r="15" spans="1:13" x14ac:dyDescent="0.2">
      <c r="A15" s="77">
        <f t="shared" si="0"/>
        <v>6</v>
      </c>
      <c r="B15" s="83" t="s">
        <v>183</v>
      </c>
      <c r="C15" s="83"/>
      <c r="D15" s="83"/>
      <c r="E15" s="83"/>
      <c r="F15" s="83"/>
      <c r="G15" s="85">
        <f>SUM(G37:G46)</f>
        <v>111577</v>
      </c>
      <c r="H15" s="89">
        <f>SUM(H37:H46)</f>
        <v>193685</v>
      </c>
      <c r="I15" s="89">
        <f>SUM(I37:I46)</f>
        <v>17788</v>
      </c>
      <c r="J15" s="89"/>
      <c r="K15" s="76"/>
    </row>
    <row r="16" spans="1:13" x14ac:dyDescent="0.2">
      <c r="A16" s="77">
        <f t="shared" si="0"/>
        <v>7</v>
      </c>
      <c r="B16" s="83" t="s">
        <v>184</v>
      </c>
      <c r="C16" s="83"/>
      <c r="D16" s="83"/>
      <c r="E16" s="83"/>
      <c r="F16" s="83"/>
      <c r="G16" s="85">
        <f>SUM(G49:G64)</f>
        <v>214600</v>
      </c>
      <c r="H16" s="89">
        <f>SUM(H49:H64)</f>
        <v>724850</v>
      </c>
      <c r="I16" s="89">
        <f>SUM(I49:I64)</f>
        <v>66958</v>
      </c>
      <c r="J16" s="89"/>
      <c r="K16" s="76"/>
    </row>
    <row r="17" spans="1:14" x14ac:dyDescent="0.2">
      <c r="A17" s="77">
        <f t="shared" si="0"/>
        <v>8</v>
      </c>
      <c r="B17" s="83" t="s">
        <v>185</v>
      </c>
      <c r="G17" s="85">
        <f>SUM(G67:G119)</f>
        <v>862429</v>
      </c>
      <c r="H17" s="94">
        <f>SUM(H67:H119)</f>
        <v>2091421</v>
      </c>
      <c r="I17" s="94">
        <f>SUM(I67:I119)</f>
        <v>193354</v>
      </c>
      <c r="J17" s="94"/>
      <c r="K17" s="76"/>
    </row>
    <row r="18" spans="1:14" x14ac:dyDescent="0.2">
      <c r="A18" s="77">
        <f t="shared" si="0"/>
        <v>9</v>
      </c>
      <c r="B18" s="92" t="s">
        <v>186</v>
      </c>
      <c r="G18" s="85">
        <f>SUM(G122:G140)</f>
        <v>113013</v>
      </c>
      <c r="H18" s="94">
        <f>SUM(H122:H140)</f>
        <v>324476</v>
      </c>
      <c r="I18" s="94">
        <f>SUM(I122:I140)</f>
        <v>30002</v>
      </c>
      <c r="J18" s="94"/>
      <c r="K18" s="76"/>
    </row>
    <row r="19" spans="1:14" x14ac:dyDescent="0.2">
      <c r="A19" s="77">
        <f t="shared" si="0"/>
        <v>10</v>
      </c>
      <c r="B19" s="92" t="s">
        <v>188</v>
      </c>
      <c r="G19" s="85">
        <f>SUM(G143:G160)</f>
        <v>69191</v>
      </c>
      <c r="H19" s="94">
        <f>SUM(H143:H160)</f>
        <v>197490</v>
      </c>
      <c r="I19" s="94">
        <f>SUM(I143:I160)</f>
        <v>18119</v>
      </c>
      <c r="J19" s="94"/>
      <c r="K19" s="76"/>
    </row>
    <row r="20" spans="1:14" x14ac:dyDescent="0.2">
      <c r="A20" s="77">
        <f t="shared" si="0"/>
        <v>11</v>
      </c>
      <c r="B20" s="83" t="s">
        <v>187</v>
      </c>
      <c r="G20" s="85">
        <f>SUM(G163)</f>
        <v>9196291</v>
      </c>
      <c r="H20" s="94">
        <f>SUM(H163)</f>
        <v>372478</v>
      </c>
      <c r="I20" s="94">
        <f>SUM(I163)</f>
        <v>34302</v>
      </c>
      <c r="J20" s="94"/>
      <c r="K20" s="76"/>
    </row>
    <row r="21" spans="1:14" x14ac:dyDescent="0.2">
      <c r="A21" s="77">
        <f t="shared" si="0"/>
        <v>12</v>
      </c>
      <c r="B21" s="92" t="s">
        <v>189</v>
      </c>
      <c r="G21" s="85">
        <f>SUM(G166:G201)</f>
        <v>16604</v>
      </c>
      <c r="H21" s="94">
        <f>SUM(H166:H201)</f>
        <v>124586</v>
      </c>
      <c r="I21" s="94">
        <f>SUM(I166:I201)</f>
        <v>11450</v>
      </c>
      <c r="J21" s="94"/>
      <c r="K21" s="76"/>
    </row>
    <row r="22" spans="1:14" x14ac:dyDescent="0.2">
      <c r="A22" s="77">
        <f t="shared" si="0"/>
        <v>13</v>
      </c>
      <c r="B22" s="83" t="s">
        <v>190</v>
      </c>
      <c r="G22" s="85">
        <f>SUM(G14:G21)</f>
        <v>10584826</v>
      </c>
      <c r="H22" s="94">
        <f>SUM(H14:H21)</f>
        <v>4032296</v>
      </c>
      <c r="I22" s="94">
        <f>SUM(I14:I21)</f>
        <v>372279</v>
      </c>
      <c r="J22" s="94"/>
      <c r="K22" s="76"/>
    </row>
    <row r="23" spans="1:14" x14ac:dyDescent="0.2">
      <c r="A23" s="77">
        <f t="shared" si="0"/>
        <v>14</v>
      </c>
      <c r="B23" s="83"/>
      <c r="C23" s="83"/>
      <c r="D23" s="83"/>
      <c r="E23" s="83"/>
      <c r="F23" s="83"/>
      <c r="G23" s="228"/>
      <c r="H23" s="74"/>
      <c r="I23" s="74"/>
      <c r="J23" s="5"/>
      <c r="K23" s="5"/>
      <c r="L23" s="5"/>
      <c r="M23" s="5"/>
      <c r="N23" s="5"/>
    </row>
    <row r="24" spans="1:14" x14ac:dyDescent="0.2">
      <c r="A24" s="77">
        <f t="shared" si="0"/>
        <v>15</v>
      </c>
      <c r="B24" s="83" t="s">
        <v>178</v>
      </c>
      <c r="C24" s="83"/>
      <c r="D24" s="83"/>
      <c r="E24" s="83"/>
      <c r="F24" s="83"/>
      <c r="G24" s="28"/>
      <c r="H24" s="28"/>
      <c r="I24" s="28"/>
      <c r="J24" s="5"/>
      <c r="K24" s="12"/>
      <c r="L24" s="5"/>
      <c r="M24" s="5"/>
      <c r="N24" s="5"/>
    </row>
    <row r="25" spans="1:14" x14ac:dyDescent="0.2">
      <c r="A25" s="77">
        <f t="shared" si="0"/>
        <v>16</v>
      </c>
      <c r="B25" s="95" t="s">
        <v>177</v>
      </c>
      <c r="C25" s="92" t="s">
        <v>176</v>
      </c>
      <c r="D25" s="96">
        <v>22</v>
      </c>
      <c r="E25" s="75">
        <f>SUM(L25:M25)</f>
        <v>0.53</v>
      </c>
      <c r="F25" s="240">
        <f>ROUND(+E25*$J$10,2)</f>
        <v>0.05</v>
      </c>
      <c r="G25" s="241">
        <v>650</v>
      </c>
      <c r="H25" s="74">
        <f>ROUND($G25*E25,0)</f>
        <v>345</v>
      </c>
      <c r="I25" s="74">
        <f>ROUND($G25*F25,0)</f>
        <v>33</v>
      </c>
      <c r="J25" s="5"/>
      <c r="K25" s="5"/>
      <c r="L25" s="242">
        <v>0.18</v>
      </c>
      <c r="M25" s="242">
        <v>0.35</v>
      </c>
      <c r="N25" s="5"/>
    </row>
    <row r="26" spans="1:14" x14ac:dyDescent="0.2">
      <c r="A26" s="77">
        <f t="shared" si="0"/>
        <v>17</v>
      </c>
      <c r="B26" s="50"/>
      <c r="C26" s="80"/>
      <c r="D26" s="51"/>
      <c r="E26" s="75"/>
      <c r="F26" s="83"/>
      <c r="G26" s="241"/>
      <c r="H26" s="241"/>
      <c r="I26" s="241"/>
      <c r="J26" s="5"/>
      <c r="K26" s="5"/>
      <c r="L26" s="242"/>
      <c r="M26" s="242"/>
      <c r="N26" s="5"/>
    </row>
    <row r="27" spans="1:14" x14ac:dyDescent="0.2">
      <c r="A27" s="77">
        <f t="shared" si="0"/>
        <v>18</v>
      </c>
      <c r="B27" s="95" t="s">
        <v>175</v>
      </c>
      <c r="C27" s="98" t="s">
        <v>12</v>
      </c>
      <c r="D27" s="99">
        <v>100</v>
      </c>
      <c r="E27" s="75">
        <f t="shared" ref="E27:E34" si="1">SUM(L27:M27)</f>
        <v>2.38</v>
      </c>
      <c r="F27" s="240">
        <f t="shared" ref="F27:F34" si="2">ROUND(+E27*$J$10,2)</f>
        <v>0.22</v>
      </c>
      <c r="G27" s="241">
        <v>33</v>
      </c>
      <c r="H27" s="74">
        <f t="shared" ref="H27:H34" si="3">ROUND($G27*E27,0)</f>
        <v>79</v>
      </c>
      <c r="I27" s="74">
        <f t="shared" ref="I27:I34" si="4">ROUND($G27*F27,0)</f>
        <v>7</v>
      </c>
      <c r="J27" s="5"/>
      <c r="K27" s="5"/>
      <c r="L27" s="242">
        <v>0.81</v>
      </c>
      <c r="M27" s="242">
        <v>1.57</v>
      </c>
      <c r="N27" s="5"/>
    </row>
    <row r="28" spans="1:14" x14ac:dyDescent="0.2">
      <c r="A28" s="77">
        <f t="shared" si="0"/>
        <v>19</v>
      </c>
      <c r="B28" s="95" t="str">
        <f>+B27</f>
        <v>50E-A</v>
      </c>
      <c r="C28" s="98" t="str">
        <f>+C27</f>
        <v>Mercury Vapor</v>
      </c>
      <c r="D28" s="99">
        <v>175</v>
      </c>
      <c r="E28" s="75">
        <f t="shared" si="1"/>
        <v>4.16</v>
      </c>
      <c r="F28" s="240">
        <f t="shared" si="2"/>
        <v>0.38</v>
      </c>
      <c r="G28" s="241">
        <v>228</v>
      </c>
      <c r="H28" s="74">
        <f t="shared" si="3"/>
        <v>948</v>
      </c>
      <c r="I28" s="74">
        <f>ROUND($G28*F28,0)</f>
        <v>87</v>
      </c>
      <c r="J28" s="5"/>
      <c r="K28" s="5"/>
      <c r="L28" s="242">
        <v>1.41</v>
      </c>
      <c r="M28" s="242">
        <v>2.75</v>
      </c>
      <c r="N28" s="5"/>
    </row>
    <row r="29" spans="1:14" x14ac:dyDescent="0.2">
      <c r="A29" s="77">
        <f t="shared" si="0"/>
        <v>20</v>
      </c>
      <c r="B29" s="95" t="str">
        <f>+B28</f>
        <v>50E-A</v>
      </c>
      <c r="C29" s="98" t="str">
        <f>+C28</f>
        <v>Mercury Vapor</v>
      </c>
      <c r="D29" s="99">
        <v>400</v>
      </c>
      <c r="E29" s="75">
        <f t="shared" si="1"/>
        <v>9.51</v>
      </c>
      <c r="F29" s="240">
        <f t="shared" si="2"/>
        <v>0.88</v>
      </c>
      <c r="G29" s="241">
        <v>199</v>
      </c>
      <c r="H29" s="74">
        <f t="shared" si="3"/>
        <v>1892</v>
      </c>
      <c r="I29" s="74">
        <f t="shared" si="4"/>
        <v>175</v>
      </c>
      <c r="J29" s="5"/>
      <c r="K29" s="5"/>
      <c r="L29" s="242">
        <v>3.23</v>
      </c>
      <c r="M29" s="242">
        <v>6.28</v>
      </c>
      <c r="N29" s="5"/>
    </row>
    <row r="30" spans="1:14" x14ac:dyDescent="0.2">
      <c r="A30" s="77">
        <f t="shared" si="0"/>
        <v>21</v>
      </c>
      <c r="B30" s="95"/>
      <c r="C30" s="98"/>
      <c r="D30" s="99"/>
      <c r="E30" s="75"/>
      <c r="F30" s="240"/>
      <c r="G30" s="241"/>
      <c r="H30" s="74"/>
      <c r="I30" s="74"/>
      <c r="J30" s="5"/>
      <c r="K30" s="5"/>
      <c r="L30" s="242"/>
      <c r="M30" s="242"/>
      <c r="N30" s="5"/>
    </row>
    <row r="31" spans="1:14" x14ac:dyDescent="0.2">
      <c r="A31" s="77">
        <f t="shared" si="0"/>
        <v>22</v>
      </c>
      <c r="B31" s="95" t="s">
        <v>174</v>
      </c>
      <c r="C31" s="98" t="str">
        <f>+C29</f>
        <v>Mercury Vapor</v>
      </c>
      <c r="D31" s="99">
        <v>100</v>
      </c>
      <c r="E31" s="75">
        <f t="shared" si="1"/>
        <v>2.38</v>
      </c>
      <c r="F31" s="240">
        <f t="shared" si="2"/>
        <v>0.22</v>
      </c>
      <c r="G31" s="241">
        <v>0</v>
      </c>
      <c r="H31" s="74">
        <f t="shared" si="3"/>
        <v>0</v>
      </c>
      <c r="I31" s="74">
        <f t="shared" si="4"/>
        <v>0</v>
      </c>
      <c r="J31" s="5"/>
      <c r="K31" s="5"/>
      <c r="L31" s="242">
        <v>0.81</v>
      </c>
      <c r="M31" s="242">
        <v>1.57</v>
      </c>
      <c r="N31" s="5"/>
    </row>
    <row r="32" spans="1:14" x14ac:dyDescent="0.2">
      <c r="A32" s="77">
        <f t="shared" si="0"/>
        <v>23</v>
      </c>
      <c r="B32" s="95" t="str">
        <f t="shared" ref="B32:C34" si="5">+B31</f>
        <v>50E-B</v>
      </c>
      <c r="C32" s="98" t="str">
        <f t="shared" si="5"/>
        <v>Mercury Vapor</v>
      </c>
      <c r="D32" s="99">
        <v>175</v>
      </c>
      <c r="E32" s="75">
        <f t="shared" si="1"/>
        <v>4.16</v>
      </c>
      <c r="F32" s="240">
        <f t="shared" si="2"/>
        <v>0.38</v>
      </c>
      <c r="G32" s="241">
        <v>11</v>
      </c>
      <c r="H32" s="74">
        <f t="shared" si="3"/>
        <v>46</v>
      </c>
      <c r="I32" s="74">
        <f t="shared" si="4"/>
        <v>4</v>
      </c>
      <c r="J32" s="5"/>
      <c r="K32" s="5"/>
      <c r="L32" s="242">
        <v>1.41</v>
      </c>
      <c r="M32" s="242">
        <v>2.75</v>
      </c>
      <c r="N32" s="5"/>
    </row>
    <row r="33" spans="1:14" x14ac:dyDescent="0.2">
      <c r="A33" s="77">
        <f t="shared" si="0"/>
        <v>24</v>
      </c>
      <c r="B33" s="95" t="str">
        <f t="shared" si="5"/>
        <v>50E-B</v>
      </c>
      <c r="C33" s="98" t="str">
        <f t="shared" si="5"/>
        <v>Mercury Vapor</v>
      </c>
      <c r="D33" s="99">
        <v>400</v>
      </c>
      <c r="E33" s="75">
        <f t="shared" si="1"/>
        <v>9.51</v>
      </c>
      <c r="F33" s="240">
        <f t="shared" si="2"/>
        <v>0.88</v>
      </c>
      <c r="G33" s="241">
        <v>0</v>
      </c>
      <c r="H33" s="74">
        <f t="shared" si="3"/>
        <v>0</v>
      </c>
      <c r="I33" s="74">
        <f t="shared" si="4"/>
        <v>0</v>
      </c>
      <c r="J33" s="5"/>
      <c r="K33" s="5"/>
      <c r="L33" s="242">
        <v>3.23</v>
      </c>
      <c r="M33" s="242">
        <v>6.28</v>
      </c>
      <c r="N33" s="5"/>
    </row>
    <row r="34" spans="1:14" x14ac:dyDescent="0.2">
      <c r="A34" s="77">
        <f t="shared" si="0"/>
        <v>25</v>
      </c>
      <c r="B34" s="95" t="str">
        <f t="shared" si="5"/>
        <v>50E-B</v>
      </c>
      <c r="C34" s="98" t="str">
        <f t="shared" si="5"/>
        <v>Mercury Vapor</v>
      </c>
      <c r="D34" s="99">
        <v>700</v>
      </c>
      <c r="E34" s="75">
        <f t="shared" si="1"/>
        <v>16.66</v>
      </c>
      <c r="F34" s="240">
        <f t="shared" si="2"/>
        <v>1.53</v>
      </c>
      <c r="G34" s="241">
        <v>0</v>
      </c>
      <c r="H34" s="74">
        <f t="shared" si="3"/>
        <v>0</v>
      </c>
      <c r="I34" s="74">
        <f t="shared" si="4"/>
        <v>0</v>
      </c>
      <c r="J34" s="5"/>
      <c r="K34" s="5"/>
      <c r="L34" s="242">
        <v>5.66</v>
      </c>
      <c r="M34" s="242">
        <v>11</v>
      </c>
      <c r="N34" s="5"/>
    </row>
    <row r="35" spans="1:14" x14ac:dyDescent="0.2">
      <c r="A35" s="77">
        <f t="shared" si="0"/>
        <v>26</v>
      </c>
      <c r="B35" s="100"/>
      <c r="C35" s="101"/>
      <c r="D35" s="83"/>
      <c r="E35" s="75"/>
      <c r="F35" s="83"/>
      <c r="G35" s="241"/>
      <c r="H35" s="241"/>
      <c r="I35" s="241"/>
      <c r="J35" s="5"/>
      <c r="K35" s="5"/>
      <c r="L35" s="242"/>
      <c r="M35" s="242"/>
      <c r="N35" s="5"/>
    </row>
    <row r="36" spans="1:14" x14ac:dyDescent="0.2">
      <c r="A36" s="77">
        <f t="shared" si="0"/>
        <v>27</v>
      </c>
      <c r="B36" s="100" t="s">
        <v>173</v>
      </c>
      <c r="C36" s="101"/>
      <c r="D36" s="83"/>
      <c r="E36" s="75"/>
      <c r="F36" s="83"/>
      <c r="G36" s="241"/>
      <c r="H36" s="241"/>
      <c r="I36" s="241"/>
      <c r="J36" s="5"/>
      <c r="K36" s="5"/>
      <c r="L36" s="242"/>
      <c r="M36" s="242"/>
      <c r="N36" s="5"/>
    </row>
    <row r="37" spans="1:14" x14ac:dyDescent="0.2">
      <c r="A37" s="77">
        <f t="shared" si="0"/>
        <v>28</v>
      </c>
      <c r="B37" s="95" t="s">
        <v>172</v>
      </c>
      <c r="C37" s="98" t="s">
        <v>143</v>
      </c>
      <c r="D37" s="99" t="s">
        <v>157</v>
      </c>
      <c r="E37" s="75">
        <f t="shared" ref="E37:E45" si="6">SUM(L37:M37)</f>
        <v>1.0699999999999998</v>
      </c>
      <c r="F37" s="240">
        <f t="shared" ref="F37:F45" si="7">ROUND(+E37*$J$10,2)</f>
        <v>0.1</v>
      </c>
      <c r="G37" s="241">
        <v>55681</v>
      </c>
      <c r="H37" s="74">
        <f t="shared" ref="H37:H44" si="8">ROUND($G37*E37,0)</f>
        <v>59579</v>
      </c>
      <c r="I37" s="74">
        <f t="shared" ref="I37:I46" si="9">ROUND($G37*F37,0)</f>
        <v>5568</v>
      </c>
      <c r="J37" s="5"/>
      <c r="K37" s="5"/>
      <c r="L37" s="242">
        <v>0.36</v>
      </c>
      <c r="M37" s="242">
        <v>0.71</v>
      </c>
      <c r="N37" s="5"/>
    </row>
    <row r="38" spans="1:14" x14ac:dyDescent="0.2">
      <c r="A38" s="77">
        <f t="shared" si="0"/>
        <v>29</v>
      </c>
      <c r="B38" s="95" t="s">
        <v>172</v>
      </c>
      <c r="C38" s="98" t="s">
        <v>143</v>
      </c>
      <c r="D38" s="99" t="s">
        <v>156</v>
      </c>
      <c r="E38" s="75">
        <f t="shared" si="6"/>
        <v>1.79</v>
      </c>
      <c r="F38" s="240">
        <f t="shared" si="7"/>
        <v>0.16</v>
      </c>
      <c r="G38" s="241">
        <v>31500</v>
      </c>
      <c r="H38" s="74">
        <f t="shared" si="8"/>
        <v>56385</v>
      </c>
      <c r="I38" s="74">
        <f t="shared" si="9"/>
        <v>5040</v>
      </c>
      <c r="J38" s="5"/>
      <c r="K38" s="5"/>
      <c r="L38" s="242">
        <v>0.61</v>
      </c>
      <c r="M38" s="242">
        <v>1.18</v>
      </c>
      <c r="N38" s="5"/>
    </row>
    <row r="39" spans="1:14" x14ac:dyDescent="0.2">
      <c r="A39" s="77">
        <f t="shared" si="0"/>
        <v>30</v>
      </c>
      <c r="B39" s="95" t="s">
        <v>172</v>
      </c>
      <c r="C39" s="98" t="s">
        <v>143</v>
      </c>
      <c r="D39" s="99" t="s">
        <v>155</v>
      </c>
      <c r="E39" s="75">
        <f t="shared" si="6"/>
        <v>2.5</v>
      </c>
      <c r="F39" s="240">
        <f t="shared" si="7"/>
        <v>0.23</v>
      </c>
      <c r="G39" s="241">
        <v>13494</v>
      </c>
      <c r="H39" s="74">
        <f t="shared" si="8"/>
        <v>33735</v>
      </c>
      <c r="I39" s="74">
        <f t="shared" si="9"/>
        <v>3104</v>
      </c>
      <c r="J39" s="5"/>
      <c r="K39" s="5"/>
      <c r="L39" s="242">
        <v>0.85</v>
      </c>
      <c r="M39" s="242">
        <v>1.65</v>
      </c>
      <c r="N39" s="5"/>
    </row>
    <row r="40" spans="1:14" x14ac:dyDescent="0.2">
      <c r="A40" s="77">
        <f t="shared" si="0"/>
        <v>31</v>
      </c>
      <c r="B40" s="95" t="s">
        <v>172</v>
      </c>
      <c r="C40" s="98" t="s">
        <v>143</v>
      </c>
      <c r="D40" s="99" t="s">
        <v>154</v>
      </c>
      <c r="E40" s="75">
        <f t="shared" si="6"/>
        <v>3.21</v>
      </c>
      <c r="F40" s="240">
        <f t="shared" si="7"/>
        <v>0.3</v>
      </c>
      <c r="G40" s="241">
        <v>6046</v>
      </c>
      <c r="H40" s="74">
        <f t="shared" si="8"/>
        <v>19408</v>
      </c>
      <c r="I40" s="74">
        <f t="shared" si="9"/>
        <v>1814</v>
      </c>
      <c r="J40" s="5"/>
      <c r="K40" s="5"/>
      <c r="L40" s="242">
        <v>1.0900000000000001</v>
      </c>
      <c r="M40" s="242">
        <v>2.12</v>
      </c>
      <c r="N40" s="5"/>
    </row>
    <row r="41" spans="1:14" x14ac:dyDescent="0.2">
      <c r="A41" s="77">
        <f t="shared" si="0"/>
        <v>32</v>
      </c>
      <c r="B41" s="95" t="s">
        <v>172</v>
      </c>
      <c r="C41" s="98" t="s">
        <v>143</v>
      </c>
      <c r="D41" s="99" t="s">
        <v>153</v>
      </c>
      <c r="E41" s="75">
        <f t="shared" si="6"/>
        <v>3.92</v>
      </c>
      <c r="F41" s="240">
        <f t="shared" si="7"/>
        <v>0.36</v>
      </c>
      <c r="G41" s="241">
        <v>820</v>
      </c>
      <c r="H41" s="74">
        <f t="shared" si="8"/>
        <v>3214</v>
      </c>
      <c r="I41" s="74">
        <f t="shared" si="9"/>
        <v>295</v>
      </c>
      <c r="J41" s="5"/>
      <c r="K41" s="5"/>
      <c r="L41" s="242">
        <v>1.33</v>
      </c>
      <c r="M41" s="242">
        <v>2.59</v>
      </c>
      <c r="N41" s="5"/>
    </row>
    <row r="42" spans="1:14" x14ac:dyDescent="0.2">
      <c r="A42" s="77">
        <f t="shared" si="0"/>
        <v>33</v>
      </c>
      <c r="B42" s="95" t="s">
        <v>172</v>
      </c>
      <c r="C42" s="98" t="s">
        <v>143</v>
      </c>
      <c r="D42" s="99" t="s">
        <v>152</v>
      </c>
      <c r="E42" s="75">
        <f t="shared" si="6"/>
        <v>4.6400000000000006</v>
      </c>
      <c r="F42" s="240">
        <f t="shared" si="7"/>
        <v>0.43</v>
      </c>
      <c r="G42" s="241">
        <v>2261</v>
      </c>
      <c r="H42" s="74">
        <f t="shared" si="8"/>
        <v>10491</v>
      </c>
      <c r="I42" s="74">
        <f t="shared" si="9"/>
        <v>972</v>
      </c>
      <c r="J42" s="5"/>
      <c r="K42" s="5"/>
      <c r="L42" s="242">
        <v>1.58</v>
      </c>
      <c r="M42" s="242">
        <v>3.06</v>
      </c>
      <c r="N42" s="5"/>
    </row>
    <row r="43" spans="1:14" x14ac:dyDescent="0.2">
      <c r="A43" s="77">
        <f t="shared" si="0"/>
        <v>34</v>
      </c>
      <c r="B43" s="95" t="s">
        <v>172</v>
      </c>
      <c r="C43" s="98" t="s">
        <v>143</v>
      </c>
      <c r="D43" s="99" t="s">
        <v>151</v>
      </c>
      <c r="E43" s="75">
        <f t="shared" si="6"/>
        <v>5.36</v>
      </c>
      <c r="F43" s="240">
        <f t="shared" si="7"/>
        <v>0.49</v>
      </c>
      <c r="G43" s="241">
        <v>773</v>
      </c>
      <c r="H43" s="74">
        <f t="shared" si="8"/>
        <v>4143</v>
      </c>
      <c r="I43" s="74">
        <f t="shared" si="9"/>
        <v>379</v>
      </c>
      <c r="J43" s="5"/>
      <c r="K43" s="5"/>
      <c r="L43" s="242">
        <v>1.82</v>
      </c>
      <c r="M43" s="242">
        <v>3.54</v>
      </c>
      <c r="N43" s="5"/>
    </row>
    <row r="44" spans="1:14" x14ac:dyDescent="0.2">
      <c r="A44" s="77">
        <f t="shared" si="0"/>
        <v>35</v>
      </c>
      <c r="B44" s="95" t="s">
        <v>172</v>
      </c>
      <c r="C44" s="98" t="s">
        <v>143</v>
      </c>
      <c r="D44" s="99" t="s">
        <v>150</v>
      </c>
      <c r="E44" s="75">
        <f t="shared" si="6"/>
        <v>6.07</v>
      </c>
      <c r="F44" s="240">
        <f t="shared" si="7"/>
        <v>0.56000000000000005</v>
      </c>
      <c r="G44" s="241">
        <v>89</v>
      </c>
      <c r="H44" s="74">
        <f t="shared" si="8"/>
        <v>540</v>
      </c>
      <c r="I44" s="74">
        <f t="shared" si="9"/>
        <v>50</v>
      </c>
      <c r="J44" s="5"/>
      <c r="K44" s="5"/>
      <c r="L44" s="242">
        <v>2.06</v>
      </c>
      <c r="M44" s="242">
        <v>4.01</v>
      </c>
      <c r="N44" s="5"/>
    </row>
    <row r="45" spans="1:14" x14ac:dyDescent="0.2">
      <c r="A45" s="77">
        <f t="shared" si="0"/>
        <v>36</v>
      </c>
      <c r="B45" s="95" t="s">
        <v>172</v>
      </c>
      <c r="C45" s="98" t="s">
        <v>143</v>
      </c>
      <c r="D45" s="99" t="s">
        <v>149</v>
      </c>
      <c r="E45" s="75">
        <f t="shared" si="6"/>
        <v>6.78</v>
      </c>
      <c r="F45" s="240">
        <f t="shared" si="7"/>
        <v>0.62</v>
      </c>
      <c r="G45" s="241">
        <v>913</v>
      </c>
      <c r="H45" s="74">
        <f>ROUND($G45*E45,0)</f>
        <v>6190</v>
      </c>
      <c r="I45" s="74">
        <f t="shared" si="9"/>
        <v>566</v>
      </c>
      <c r="J45" s="5"/>
      <c r="K45" s="5"/>
      <c r="L45" s="242">
        <v>2.2999999999999998</v>
      </c>
      <c r="M45" s="242">
        <v>4.4800000000000004</v>
      </c>
      <c r="N45" s="5"/>
    </row>
    <row r="46" spans="1:14" x14ac:dyDescent="0.2">
      <c r="A46" s="77">
        <f t="shared" si="0"/>
        <v>37</v>
      </c>
      <c r="B46" s="95" t="s">
        <v>172</v>
      </c>
      <c r="C46" s="98" t="s">
        <v>280</v>
      </c>
      <c r="D46" s="99" t="s">
        <v>281</v>
      </c>
      <c r="E46" s="75">
        <v>0</v>
      </c>
      <c r="F46" s="333">
        <f>'2022 Proposed Impacts'!$G$29</f>
        <v>5.9150000000000001E-3</v>
      </c>
      <c r="G46" s="241">
        <v>0</v>
      </c>
      <c r="H46" s="74">
        <f>ROUND($G46*E46,0)</f>
        <v>0</v>
      </c>
      <c r="I46" s="74">
        <f t="shared" si="9"/>
        <v>0</v>
      </c>
      <c r="J46" s="5"/>
      <c r="K46" s="5"/>
      <c r="L46" s="242"/>
      <c r="M46" s="242"/>
      <c r="N46" s="5"/>
    </row>
    <row r="47" spans="1:14" x14ac:dyDescent="0.2">
      <c r="A47" s="77">
        <f t="shared" si="0"/>
        <v>38</v>
      </c>
      <c r="B47" s="100"/>
      <c r="C47" s="83"/>
      <c r="D47" s="83"/>
      <c r="E47" s="75"/>
      <c r="F47" s="83"/>
      <c r="G47" s="241"/>
      <c r="H47" s="241"/>
      <c r="I47" s="241"/>
      <c r="J47" s="5"/>
      <c r="K47" s="5"/>
      <c r="L47" s="242"/>
      <c r="M47" s="242"/>
      <c r="N47" s="5"/>
    </row>
    <row r="48" spans="1:14" x14ac:dyDescent="0.2">
      <c r="A48" s="77">
        <f t="shared" si="0"/>
        <v>39</v>
      </c>
      <c r="B48" s="100" t="s">
        <v>171</v>
      </c>
      <c r="C48" s="83"/>
      <c r="D48" s="83"/>
      <c r="E48" s="75"/>
      <c r="F48" s="83"/>
      <c r="G48" s="241"/>
      <c r="H48" s="241"/>
      <c r="I48" s="241"/>
      <c r="J48" s="5"/>
      <c r="K48" s="5"/>
      <c r="L48" s="242"/>
      <c r="M48" s="242"/>
      <c r="N48" s="5"/>
    </row>
    <row r="49" spans="1:14" x14ac:dyDescent="0.2">
      <c r="A49" s="77">
        <f t="shared" si="0"/>
        <v>40</v>
      </c>
      <c r="B49" s="95" t="s">
        <v>170</v>
      </c>
      <c r="C49" s="102" t="s">
        <v>13</v>
      </c>
      <c r="D49" s="102">
        <v>50</v>
      </c>
      <c r="E49" s="75">
        <f t="shared" ref="E49:E56" si="10">SUM(L49:M49)</f>
        <v>1.19</v>
      </c>
      <c r="F49" s="240">
        <f t="shared" ref="F49:F56" si="11">ROUND(+E49*$J$10,2)</f>
        <v>0.11</v>
      </c>
      <c r="G49" s="241">
        <v>0</v>
      </c>
      <c r="H49" s="74">
        <f>ROUND($G49*E49,0)</f>
        <v>0</v>
      </c>
      <c r="I49" s="74">
        <f>ROUND($G49*F49,0)</f>
        <v>0</v>
      </c>
      <c r="J49" s="5"/>
      <c r="K49" s="243"/>
      <c r="L49" s="242">
        <v>0.4</v>
      </c>
      <c r="M49" s="242">
        <v>0.79</v>
      </c>
      <c r="N49" s="5"/>
    </row>
    <row r="50" spans="1:14" x14ac:dyDescent="0.2">
      <c r="A50" s="77">
        <f t="shared" si="0"/>
        <v>41</v>
      </c>
      <c r="B50" s="95" t="str">
        <f t="shared" ref="B50:B56" si="12">+B49</f>
        <v xml:space="preserve">52E </v>
      </c>
      <c r="C50" s="102" t="s">
        <v>13</v>
      </c>
      <c r="D50" s="102">
        <v>70</v>
      </c>
      <c r="E50" s="75">
        <f t="shared" si="10"/>
        <v>1.67</v>
      </c>
      <c r="F50" s="240">
        <f t="shared" si="11"/>
        <v>0.15</v>
      </c>
      <c r="G50" s="241">
        <v>7765</v>
      </c>
      <c r="H50" s="74">
        <f>ROUND($G50*E50,0)</f>
        <v>12968</v>
      </c>
      <c r="I50" s="74">
        <f>ROUND($G50*F50,0)</f>
        <v>1165</v>
      </c>
      <c r="J50" s="5"/>
      <c r="K50" s="243"/>
      <c r="L50" s="242">
        <v>0.56999999999999995</v>
      </c>
      <c r="M50" s="242">
        <v>1.1000000000000001</v>
      </c>
      <c r="N50" s="5"/>
    </row>
    <row r="51" spans="1:14" x14ac:dyDescent="0.2">
      <c r="A51" s="77">
        <f t="shared" si="0"/>
        <v>42</v>
      </c>
      <c r="B51" s="95" t="str">
        <f t="shared" si="12"/>
        <v xml:space="preserve">52E </v>
      </c>
      <c r="C51" s="102" t="s">
        <v>13</v>
      </c>
      <c r="D51" s="102">
        <v>100</v>
      </c>
      <c r="E51" s="75">
        <f t="shared" si="10"/>
        <v>2.38</v>
      </c>
      <c r="F51" s="240">
        <f t="shared" si="11"/>
        <v>0.22</v>
      </c>
      <c r="G51" s="241">
        <v>112281</v>
      </c>
      <c r="H51" s="74">
        <f t="shared" ref="H51:H56" si="13">ROUND($G51*E51,0)</f>
        <v>267229</v>
      </c>
      <c r="I51" s="74">
        <f t="shared" ref="I51:I56" si="14">ROUND($G51*F51,0)</f>
        <v>24702</v>
      </c>
      <c r="J51" s="5"/>
      <c r="K51" s="243"/>
      <c r="L51" s="242">
        <v>0.81</v>
      </c>
      <c r="M51" s="242">
        <v>1.57</v>
      </c>
      <c r="N51" s="5"/>
    </row>
    <row r="52" spans="1:14" x14ac:dyDescent="0.2">
      <c r="A52" s="77">
        <f t="shared" si="0"/>
        <v>43</v>
      </c>
      <c r="B52" s="95" t="str">
        <f t="shared" si="12"/>
        <v xml:space="preserve">52E </v>
      </c>
      <c r="C52" s="102" t="s">
        <v>13</v>
      </c>
      <c r="D52" s="102">
        <v>150</v>
      </c>
      <c r="E52" s="75">
        <f t="shared" si="10"/>
        <v>3.57</v>
      </c>
      <c r="F52" s="240">
        <f t="shared" si="11"/>
        <v>0.33</v>
      </c>
      <c r="G52" s="241">
        <v>51967</v>
      </c>
      <c r="H52" s="74">
        <f t="shared" si="13"/>
        <v>185522</v>
      </c>
      <c r="I52" s="74">
        <f t="shared" si="14"/>
        <v>17149</v>
      </c>
      <c r="J52" s="5"/>
      <c r="K52" s="243"/>
      <c r="L52" s="242">
        <v>1.21</v>
      </c>
      <c r="M52" s="242">
        <v>2.36</v>
      </c>
      <c r="N52" s="5"/>
    </row>
    <row r="53" spans="1:14" x14ac:dyDescent="0.2">
      <c r="A53" s="77">
        <f t="shared" si="0"/>
        <v>44</v>
      </c>
      <c r="B53" s="95" t="str">
        <f t="shared" si="12"/>
        <v xml:space="preserve">52E </v>
      </c>
      <c r="C53" s="102" t="s">
        <v>13</v>
      </c>
      <c r="D53" s="102">
        <v>200</v>
      </c>
      <c r="E53" s="75">
        <f t="shared" si="10"/>
        <v>4.76</v>
      </c>
      <c r="F53" s="240">
        <f t="shared" si="11"/>
        <v>0.44</v>
      </c>
      <c r="G53" s="241">
        <v>10973</v>
      </c>
      <c r="H53" s="74">
        <f t="shared" si="13"/>
        <v>52231</v>
      </c>
      <c r="I53" s="74">
        <f t="shared" si="14"/>
        <v>4828</v>
      </c>
      <c r="J53" s="5"/>
      <c r="K53" s="243"/>
      <c r="L53" s="242">
        <v>1.62</v>
      </c>
      <c r="M53" s="242">
        <v>3.14</v>
      </c>
      <c r="N53" s="5"/>
    </row>
    <row r="54" spans="1:14" x14ac:dyDescent="0.2">
      <c r="A54" s="77">
        <f t="shared" si="0"/>
        <v>45</v>
      </c>
      <c r="B54" s="95" t="str">
        <f t="shared" si="12"/>
        <v xml:space="preserve">52E </v>
      </c>
      <c r="C54" s="102" t="s">
        <v>13</v>
      </c>
      <c r="D54" s="102">
        <v>250</v>
      </c>
      <c r="E54" s="75">
        <f t="shared" si="10"/>
        <v>5.95</v>
      </c>
      <c r="F54" s="240">
        <f t="shared" si="11"/>
        <v>0.55000000000000004</v>
      </c>
      <c r="G54" s="241">
        <v>16211</v>
      </c>
      <c r="H54" s="74">
        <f t="shared" si="13"/>
        <v>96455</v>
      </c>
      <c r="I54" s="74">
        <f t="shared" si="14"/>
        <v>8916</v>
      </c>
      <c r="J54" s="5"/>
      <c r="K54" s="243"/>
      <c r="L54" s="242">
        <v>2.02</v>
      </c>
      <c r="M54" s="242">
        <v>3.93</v>
      </c>
      <c r="N54" s="5"/>
    </row>
    <row r="55" spans="1:14" x14ac:dyDescent="0.2">
      <c r="A55" s="77">
        <f t="shared" si="0"/>
        <v>46</v>
      </c>
      <c r="B55" s="95" t="str">
        <f t="shared" si="12"/>
        <v xml:space="preserve">52E </v>
      </c>
      <c r="C55" s="102" t="s">
        <v>13</v>
      </c>
      <c r="D55" s="102">
        <v>310</v>
      </c>
      <c r="E55" s="75">
        <f t="shared" si="10"/>
        <v>7.37</v>
      </c>
      <c r="F55" s="240">
        <f t="shared" si="11"/>
        <v>0.68</v>
      </c>
      <c r="G55" s="241">
        <v>1670</v>
      </c>
      <c r="H55" s="74">
        <f t="shared" si="13"/>
        <v>12308</v>
      </c>
      <c r="I55" s="74">
        <f t="shared" si="14"/>
        <v>1136</v>
      </c>
      <c r="J55" s="5"/>
      <c r="K55" s="243"/>
      <c r="L55" s="242">
        <v>2.5</v>
      </c>
      <c r="M55" s="242">
        <v>4.87</v>
      </c>
      <c r="N55" s="5"/>
    </row>
    <row r="56" spans="1:14" x14ac:dyDescent="0.2">
      <c r="A56" s="77">
        <f t="shared" si="0"/>
        <v>47</v>
      </c>
      <c r="B56" s="95" t="str">
        <f t="shared" si="12"/>
        <v xml:space="preserve">52E </v>
      </c>
      <c r="C56" s="102" t="s">
        <v>13</v>
      </c>
      <c r="D56" s="102">
        <v>400</v>
      </c>
      <c r="E56" s="75">
        <f t="shared" si="10"/>
        <v>9.51</v>
      </c>
      <c r="F56" s="240">
        <f t="shared" si="11"/>
        <v>0.88</v>
      </c>
      <c r="G56" s="241">
        <v>6740</v>
      </c>
      <c r="H56" s="74">
        <f t="shared" si="13"/>
        <v>64097</v>
      </c>
      <c r="I56" s="74">
        <f t="shared" si="14"/>
        <v>5931</v>
      </c>
      <c r="J56" s="5"/>
      <c r="K56" s="243"/>
      <c r="L56" s="242">
        <v>3.23</v>
      </c>
      <c r="M56" s="242">
        <v>6.28</v>
      </c>
      <c r="N56" s="5"/>
    </row>
    <row r="57" spans="1:14" x14ac:dyDescent="0.2">
      <c r="A57" s="77">
        <f t="shared" si="0"/>
        <v>48</v>
      </c>
      <c r="B57" s="104"/>
      <c r="C57" s="102"/>
      <c r="D57" s="102"/>
      <c r="E57" s="75"/>
      <c r="F57" s="83"/>
      <c r="G57" s="241"/>
      <c r="H57" s="241"/>
      <c r="I57" s="241"/>
      <c r="J57" s="5"/>
      <c r="K57" s="243"/>
      <c r="L57" s="242"/>
      <c r="M57" s="242"/>
      <c r="N57" s="5"/>
    </row>
    <row r="58" spans="1:14" x14ac:dyDescent="0.2">
      <c r="A58" s="77">
        <f t="shared" si="0"/>
        <v>49</v>
      </c>
      <c r="B58" s="95" t="str">
        <f>+B53</f>
        <v xml:space="preserve">52E </v>
      </c>
      <c r="C58" s="102" t="s">
        <v>159</v>
      </c>
      <c r="D58" s="102">
        <v>70</v>
      </c>
      <c r="E58" s="75">
        <f t="shared" ref="E58:E64" si="15">SUM(L58:M58)</f>
        <v>1.67</v>
      </c>
      <c r="F58" s="240">
        <f t="shared" ref="F58:F64" si="16">ROUND(+E58*$J$10,2)</f>
        <v>0.15</v>
      </c>
      <c r="G58" s="241">
        <v>825</v>
      </c>
      <c r="H58" s="74">
        <f t="shared" ref="H58:H64" si="17">ROUND($G58*E58,0)</f>
        <v>1378</v>
      </c>
      <c r="I58" s="74">
        <f t="shared" ref="I58:I64" si="18">ROUND($G58*F58,0)</f>
        <v>124</v>
      </c>
      <c r="J58" s="5"/>
      <c r="K58" s="243"/>
      <c r="L58" s="242">
        <v>0.56999999999999995</v>
      </c>
      <c r="M58" s="242">
        <v>1.1000000000000001</v>
      </c>
      <c r="N58" s="5"/>
    </row>
    <row r="59" spans="1:14" x14ac:dyDescent="0.2">
      <c r="A59" s="77">
        <f t="shared" si="0"/>
        <v>50</v>
      </c>
      <c r="B59" s="95" t="str">
        <f>+B54</f>
        <v xml:space="preserve">52E </v>
      </c>
      <c r="C59" s="102" t="s">
        <v>159</v>
      </c>
      <c r="D59" s="102">
        <v>100</v>
      </c>
      <c r="E59" s="75">
        <f t="shared" si="15"/>
        <v>2.38</v>
      </c>
      <c r="F59" s="240">
        <f t="shared" si="16"/>
        <v>0.22</v>
      </c>
      <c r="G59" s="241">
        <v>44</v>
      </c>
      <c r="H59" s="74">
        <f t="shared" si="17"/>
        <v>105</v>
      </c>
      <c r="I59" s="74">
        <f t="shared" si="18"/>
        <v>10</v>
      </c>
      <c r="J59" s="5"/>
      <c r="K59" s="243"/>
      <c r="L59" s="242">
        <v>0.81</v>
      </c>
      <c r="M59" s="242">
        <v>1.57</v>
      </c>
      <c r="N59" s="5"/>
    </row>
    <row r="60" spans="1:14" x14ac:dyDescent="0.2">
      <c r="A60" s="77">
        <f t="shared" si="0"/>
        <v>51</v>
      </c>
      <c r="B60" s="95" t="str">
        <f>+B55</f>
        <v xml:space="preserve">52E </v>
      </c>
      <c r="C60" s="102" t="s">
        <v>159</v>
      </c>
      <c r="D60" s="102">
        <v>150</v>
      </c>
      <c r="E60" s="75">
        <f t="shared" si="15"/>
        <v>3.57</v>
      </c>
      <c r="F60" s="240">
        <f t="shared" si="16"/>
        <v>0.33</v>
      </c>
      <c r="G60" s="241">
        <v>2366</v>
      </c>
      <c r="H60" s="74">
        <f t="shared" si="17"/>
        <v>8447</v>
      </c>
      <c r="I60" s="74">
        <f t="shared" si="18"/>
        <v>781</v>
      </c>
      <c r="J60" s="5"/>
      <c r="K60" s="243"/>
      <c r="L60" s="242">
        <v>1.21</v>
      </c>
      <c r="M60" s="242">
        <v>2.36</v>
      </c>
      <c r="N60" s="5"/>
    </row>
    <row r="61" spans="1:14" x14ac:dyDescent="0.2">
      <c r="A61" s="77">
        <f t="shared" si="0"/>
        <v>52</v>
      </c>
      <c r="B61" s="95" t="str">
        <f>+B56</f>
        <v xml:space="preserve">52E </v>
      </c>
      <c r="C61" s="102" t="s">
        <v>159</v>
      </c>
      <c r="D61" s="102">
        <v>175</v>
      </c>
      <c r="E61" s="75">
        <f t="shared" si="15"/>
        <v>4.16</v>
      </c>
      <c r="F61" s="240">
        <f t="shared" si="16"/>
        <v>0.38</v>
      </c>
      <c r="G61" s="241">
        <v>2482</v>
      </c>
      <c r="H61" s="74">
        <f t="shared" si="17"/>
        <v>10325</v>
      </c>
      <c r="I61" s="74">
        <f t="shared" si="18"/>
        <v>943</v>
      </c>
      <c r="J61" s="5"/>
      <c r="K61" s="243"/>
      <c r="L61" s="242">
        <v>1.41</v>
      </c>
      <c r="M61" s="242">
        <v>2.75</v>
      </c>
      <c r="N61" s="5"/>
    </row>
    <row r="62" spans="1:14" x14ac:dyDescent="0.2">
      <c r="A62" s="77">
        <f t="shared" si="0"/>
        <v>53</v>
      </c>
      <c r="B62" s="95" t="str">
        <f t="shared" ref="B62:C64" si="19">+B61</f>
        <v xml:space="preserve">52E </v>
      </c>
      <c r="C62" s="102" t="str">
        <f t="shared" si="19"/>
        <v>Metal Halide</v>
      </c>
      <c r="D62" s="102">
        <v>250</v>
      </c>
      <c r="E62" s="75">
        <f t="shared" si="15"/>
        <v>5.95</v>
      </c>
      <c r="F62" s="240">
        <f t="shared" si="16"/>
        <v>0.55000000000000004</v>
      </c>
      <c r="G62" s="241">
        <v>403</v>
      </c>
      <c r="H62" s="74">
        <f t="shared" si="17"/>
        <v>2398</v>
      </c>
      <c r="I62" s="74">
        <f t="shared" si="18"/>
        <v>222</v>
      </c>
      <c r="J62" s="5"/>
      <c r="K62" s="243"/>
      <c r="L62" s="242">
        <v>2.02</v>
      </c>
      <c r="M62" s="242">
        <v>3.93</v>
      </c>
      <c r="N62" s="5"/>
    </row>
    <row r="63" spans="1:14" x14ac:dyDescent="0.2">
      <c r="A63" s="77">
        <f t="shared" si="0"/>
        <v>54</v>
      </c>
      <c r="B63" s="95" t="str">
        <f t="shared" si="19"/>
        <v xml:space="preserve">52E </v>
      </c>
      <c r="C63" s="102" t="str">
        <f t="shared" si="19"/>
        <v>Metal Halide</v>
      </c>
      <c r="D63" s="102">
        <v>400</v>
      </c>
      <c r="E63" s="75">
        <f t="shared" si="15"/>
        <v>9.51</v>
      </c>
      <c r="F63" s="240">
        <f t="shared" si="16"/>
        <v>0.88</v>
      </c>
      <c r="G63" s="241">
        <v>657</v>
      </c>
      <c r="H63" s="74">
        <f t="shared" si="17"/>
        <v>6248</v>
      </c>
      <c r="I63" s="74">
        <f t="shared" si="18"/>
        <v>578</v>
      </c>
      <c r="J63" s="5"/>
      <c r="K63" s="243"/>
      <c r="L63" s="242">
        <v>3.23</v>
      </c>
      <c r="M63" s="242">
        <v>6.28</v>
      </c>
      <c r="N63" s="5"/>
    </row>
    <row r="64" spans="1:14" x14ac:dyDescent="0.2">
      <c r="A64" s="77">
        <f t="shared" si="0"/>
        <v>55</v>
      </c>
      <c r="B64" s="95" t="str">
        <f t="shared" si="19"/>
        <v xml:space="preserve">52E </v>
      </c>
      <c r="C64" s="102" t="str">
        <f t="shared" si="19"/>
        <v>Metal Halide</v>
      </c>
      <c r="D64" s="102">
        <v>1000</v>
      </c>
      <c r="E64" s="75">
        <f t="shared" si="15"/>
        <v>23.79</v>
      </c>
      <c r="F64" s="240">
        <f t="shared" si="16"/>
        <v>2.19</v>
      </c>
      <c r="G64" s="241">
        <v>216</v>
      </c>
      <c r="H64" s="74">
        <f t="shared" si="17"/>
        <v>5139</v>
      </c>
      <c r="I64" s="74">
        <f t="shared" si="18"/>
        <v>473</v>
      </c>
      <c r="J64" s="5"/>
      <c r="K64" s="243"/>
      <c r="L64" s="242">
        <v>8.08</v>
      </c>
      <c r="M64" s="242">
        <v>15.71</v>
      </c>
      <c r="N64" s="5"/>
    </row>
    <row r="65" spans="1:14" x14ac:dyDescent="0.2">
      <c r="A65" s="77">
        <f t="shared" si="0"/>
        <v>56</v>
      </c>
      <c r="B65" s="100"/>
      <c r="C65" s="83"/>
      <c r="D65" s="83"/>
      <c r="E65" s="75"/>
      <c r="F65" s="83"/>
      <c r="G65" s="241"/>
      <c r="H65" s="241"/>
      <c r="I65" s="241"/>
      <c r="J65" s="5"/>
      <c r="K65" s="243"/>
      <c r="L65" s="242"/>
      <c r="M65" s="242"/>
      <c r="N65" s="5"/>
    </row>
    <row r="66" spans="1:14" x14ac:dyDescent="0.2">
      <c r="A66" s="77">
        <f t="shared" si="0"/>
        <v>57</v>
      </c>
      <c r="B66" s="100" t="s">
        <v>169</v>
      </c>
      <c r="C66" s="83"/>
      <c r="D66" s="83"/>
      <c r="E66" s="75"/>
      <c r="F66" s="83"/>
      <c r="G66" s="241"/>
      <c r="H66" s="241"/>
      <c r="I66" s="241"/>
      <c r="J66" s="5"/>
      <c r="K66" s="243"/>
      <c r="L66" s="242"/>
      <c r="M66" s="242"/>
      <c r="N66" s="5"/>
    </row>
    <row r="67" spans="1:14" x14ac:dyDescent="0.2">
      <c r="A67" s="77">
        <f t="shared" si="0"/>
        <v>58</v>
      </c>
      <c r="B67" s="95" t="s">
        <v>168</v>
      </c>
      <c r="C67" s="102" t="s">
        <v>13</v>
      </c>
      <c r="D67" s="102">
        <v>50</v>
      </c>
      <c r="E67" s="75">
        <f t="shared" ref="E67:E75" si="20">SUM(L67:M67)</f>
        <v>1.19</v>
      </c>
      <c r="F67" s="240">
        <f t="shared" ref="F67:F75" si="21">ROUND(+E67*$J$10,2)</f>
        <v>0.11</v>
      </c>
      <c r="G67" s="241">
        <v>0</v>
      </c>
      <c r="H67" s="74">
        <f t="shared" ref="H67:H75" si="22">ROUND($G67*E67,0)</f>
        <v>0</v>
      </c>
      <c r="I67" s="74">
        <f t="shared" ref="I67:I75" si="23">ROUND($G67*F67,0)</f>
        <v>0</v>
      </c>
      <c r="J67" s="5"/>
      <c r="K67" s="243"/>
      <c r="L67" s="242">
        <v>0.4</v>
      </c>
      <c r="M67" s="242">
        <v>0.79</v>
      </c>
      <c r="N67" s="5"/>
    </row>
    <row r="68" spans="1:14" x14ac:dyDescent="0.2">
      <c r="A68" s="77">
        <f t="shared" si="0"/>
        <v>59</v>
      </c>
      <c r="B68" s="95" t="str">
        <f t="shared" ref="B68:B75" si="24">+B67</f>
        <v>53E - Company Owned</v>
      </c>
      <c r="C68" s="102" t="s">
        <v>13</v>
      </c>
      <c r="D68" s="102">
        <v>70</v>
      </c>
      <c r="E68" s="75">
        <f t="shared" si="20"/>
        <v>1.67</v>
      </c>
      <c r="F68" s="240">
        <f t="shared" si="21"/>
        <v>0.15</v>
      </c>
      <c r="G68" s="241">
        <v>43079</v>
      </c>
      <c r="H68" s="74">
        <f t="shared" si="22"/>
        <v>71942</v>
      </c>
      <c r="I68" s="74">
        <f t="shared" si="23"/>
        <v>6462</v>
      </c>
      <c r="J68" s="5"/>
      <c r="K68" s="243"/>
      <c r="L68" s="242">
        <v>0.56999999999999995</v>
      </c>
      <c r="M68" s="242">
        <v>1.1000000000000001</v>
      </c>
      <c r="N68" s="5"/>
    </row>
    <row r="69" spans="1:14" x14ac:dyDescent="0.2">
      <c r="A69" s="77">
        <f t="shared" si="0"/>
        <v>60</v>
      </c>
      <c r="B69" s="95" t="str">
        <f t="shared" si="24"/>
        <v>53E - Company Owned</v>
      </c>
      <c r="C69" s="102" t="s">
        <v>13</v>
      </c>
      <c r="D69" s="102">
        <v>100</v>
      </c>
      <c r="E69" s="75">
        <f t="shared" si="20"/>
        <v>2.38</v>
      </c>
      <c r="F69" s="240">
        <f t="shared" si="21"/>
        <v>0.22</v>
      </c>
      <c r="G69" s="241">
        <v>322394</v>
      </c>
      <c r="H69" s="74">
        <f t="shared" si="22"/>
        <v>767298</v>
      </c>
      <c r="I69" s="74">
        <f t="shared" si="23"/>
        <v>70927</v>
      </c>
      <c r="J69" s="5"/>
      <c r="K69" s="243"/>
      <c r="L69" s="242">
        <v>0.81</v>
      </c>
      <c r="M69" s="242">
        <v>1.57</v>
      </c>
      <c r="N69" s="5"/>
    </row>
    <row r="70" spans="1:14" x14ac:dyDescent="0.2">
      <c r="A70" s="77">
        <f t="shared" si="0"/>
        <v>61</v>
      </c>
      <c r="B70" s="95" t="str">
        <f t="shared" si="24"/>
        <v>53E - Company Owned</v>
      </c>
      <c r="C70" s="102" t="s">
        <v>13</v>
      </c>
      <c r="D70" s="102">
        <v>150</v>
      </c>
      <c r="E70" s="75">
        <f t="shared" si="20"/>
        <v>3.57</v>
      </c>
      <c r="F70" s="240">
        <f t="shared" si="21"/>
        <v>0.33</v>
      </c>
      <c r="G70" s="241">
        <v>39876</v>
      </c>
      <c r="H70" s="74">
        <f t="shared" si="22"/>
        <v>142357</v>
      </c>
      <c r="I70" s="74">
        <f t="shared" si="23"/>
        <v>13159</v>
      </c>
      <c r="J70" s="5"/>
      <c r="K70" s="243"/>
      <c r="L70" s="242">
        <v>1.21</v>
      </c>
      <c r="M70" s="242">
        <v>2.36</v>
      </c>
      <c r="N70" s="5"/>
    </row>
    <row r="71" spans="1:14" x14ac:dyDescent="0.2">
      <c r="A71" s="77">
        <f t="shared" si="0"/>
        <v>62</v>
      </c>
      <c r="B71" s="95" t="str">
        <f t="shared" si="24"/>
        <v>53E - Company Owned</v>
      </c>
      <c r="C71" s="102" t="s">
        <v>13</v>
      </c>
      <c r="D71" s="102">
        <v>200</v>
      </c>
      <c r="E71" s="75">
        <f t="shared" si="20"/>
        <v>4.76</v>
      </c>
      <c r="F71" s="240">
        <f t="shared" si="21"/>
        <v>0.44</v>
      </c>
      <c r="G71" s="241">
        <v>48955</v>
      </c>
      <c r="H71" s="74">
        <f t="shared" si="22"/>
        <v>233026</v>
      </c>
      <c r="I71" s="74">
        <f t="shared" si="23"/>
        <v>21540</v>
      </c>
      <c r="J71" s="5"/>
      <c r="K71" s="243"/>
      <c r="L71" s="242">
        <v>1.62</v>
      </c>
      <c r="M71" s="242">
        <v>3.14</v>
      </c>
      <c r="N71" s="5"/>
    </row>
    <row r="72" spans="1:14" x14ac:dyDescent="0.2">
      <c r="A72" s="77">
        <f t="shared" si="0"/>
        <v>63</v>
      </c>
      <c r="B72" s="95" t="str">
        <f t="shared" si="24"/>
        <v>53E - Company Owned</v>
      </c>
      <c r="C72" s="102" t="s">
        <v>13</v>
      </c>
      <c r="D72" s="102">
        <v>250</v>
      </c>
      <c r="E72" s="75">
        <f t="shared" si="20"/>
        <v>5.95</v>
      </c>
      <c r="F72" s="240">
        <f t="shared" si="21"/>
        <v>0.55000000000000004</v>
      </c>
      <c r="G72" s="241">
        <v>18425</v>
      </c>
      <c r="H72" s="74">
        <f t="shared" si="22"/>
        <v>109629</v>
      </c>
      <c r="I72" s="74">
        <f t="shared" si="23"/>
        <v>10134</v>
      </c>
      <c r="J72" s="5"/>
      <c r="K72" s="243"/>
      <c r="L72" s="242">
        <v>2.02</v>
      </c>
      <c r="M72" s="242">
        <v>3.93</v>
      </c>
      <c r="N72" s="5"/>
    </row>
    <row r="73" spans="1:14" x14ac:dyDescent="0.2">
      <c r="A73" s="77">
        <f t="shared" si="0"/>
        <v>64</v>
      </c>
      <c r="B73" s="95" t="str">
        <f t="shared" si="24"/>
        <v>53E - Company Owned</v>
      </c>
      <c r="C73" s="102" t="s">
        <v>13</v>
      </c>
      <c r="D73" s="102">
        <v>310</v>
      </c>
      <c r="E73" s="75">
        <f t="shared" si="20"/>
        <v>7.37</v>
      </c>
      <c r="F73" s="240">
        <f t="shared" si="21"/>
        <v>0.68</v>
      </c>
      <c r="G73" s="241">
        <v>183</v>
      </c>
      <c r="H73" s="74">
        <f t="shared" si="22"/>
        <v>1349</v>
      </c>
      <c r="I73" s="74">
        <f t="shared" si="23"/>
        <v>124</v>
      </c>
      <c r="J73" s="5"/>
      <c r="K73" s="243"/>
      <c r="L73" s="242">
        <v>2.5</v>
      </c>
      <c r="M73" s="242">
        <v>4.87</v>
      </c>
      <c r="N73" s="5"/>
    </row>
    <row r="74" spans="1:14" x14ac:dyDescent="0.2">
      <c r="A74" s="77">
        <f t="shared" si="0"/>
        <v>65</v>
      </c>
      <c r="B74" s="95" t="str">
        <f t="shared" si="24"/>
        <v>53E - Company Owned</v>
      </c>
      <c r="C74" s="102" t="s">
        <v>13</v>
      </c>
      <c r="D74" s="102">
        <v>400</v>
      </c>
      <c r="E74" s="75">
        <f t="shared" si="20"/>
        <v>9.51</v>
      </c>
      <c r="F74" s="240">
        <f t="shared" si="21"/>
        <v>0.88</v>
      </c>
      <c r="G74" s="241">
        <v>10113</v>
      </c>
      <c r="H74" s="74">
        <f t="shared" si="22"/>
        <v>96175</v>
      </c>
      <c r="I74" s="74">
        <f t="shared" si="23"/>
        <v>8899</v>
      </c>
      <c r="J74" s="5"/>
      <c r="K74" s="243"/>
      <c r="L74" s="242">
        <v>3.23</v>
      </c>
      <c r="M74" s="242">
        <v>6.28</v>
      </c>
      <c r="N74" s="5"/>
    </row>
    <row r="75" spans="1:14" x14ac:dyDescent="0.2">
      <c r="A75" s="77">
        <f t="shared" si="0"/>
        <v>66</v>
      </c>
      <c r="B75" s="95" t="str">
        <f t="shared" si="24"/>
        <v>53E - Company Owned</v>
      </c>
      <c r="C75" s="102" t="s">
        <v>13</v>
      </c>
      <c r="D75" s="102">
        <v>1000</v>
      </c>
      <c r="E75" s="75">
        <f t="shared" si="20"/>
        <v>23.79</v>
      </c>
      <c r="F75" s="240">
        <f t="shared" si="21"/>
        <v>2.19</v>
      </c>
      <c r="G75" s="241">
        <v>0</v>
      </c>
      <c r="H75" s="74">
        <f t="shared" si="22"/>
        <v>0</v>
      </c>
      <c r="I75" s="74">
        <f t="shared" si="23"/>
        <v>0</v>
      </c>
      <c r="J75" s="5"/>
      <c r="K75" s="243"/>
      <c r="L75" s="242">
        <v>8.08</v>
      </c>
      <c r="M75" s="242">
        <v>15.71</v>
      </c>
      <c r="N75" s="5"/>
    </row>
    <row r="76" spans="1:14" x14ac:dyDescent="0.2">
      <c r="A76" s="77">
        <f t="shared" si="0"/>
        <v>67</v>
      </c>
      <c r="B76" s="95"/>
      <c r="C76" s="102"/>
      <c r="D76" s="102"/>
      <c r="E76" s="75"/>
      <c r="F76" s="83"/>
      <c r="G76" s="241"/>
      <c r="H76" s="241"/>
      <c r="I76" s="241"/>
      <c r="J76" s="5"/>
      <c r="K76" s="243"/>
      <c r="L76" s="242"/>
      <c r="M76" s="242"/>
      <c r="N76" s="5"/>
    </row>
    <row r="77" spans="1:14" x14ac:dyDescent="0.2">
      <c r="A77" s="77">
        <f t="shared" si="0"/>
        <v>68</v>
      </c>
      <c r="B77" s="95" t="str">
        <f>+B75</f>
        <v>53E - Company Owned</v>
      </c>
      <c r="C77" s="102" t="s">
        <v>159</v>
      </c>
      <c r="D77" s="102">
        <v>70</v>
      </c>
      <c r="E77" s="75">
        <f t="shared" ref="E77:E81" si="25">SUM(L77:M77)</f>
        <v>1.67</v>
      </c>
      <c r="F77" s="240">
        <f>ROUND(+E77*$J$10,2)</f>
        <v>0.15</v>
      </c>
      <c r="G77" s="241">
        <v>0</v>
      </c>
      <c r="H77" s="74">
        <f t="shared" ref="H77:H81" si="26">ROUND($G77*E77,0)</f>
        <v>0</v>
      </c>
      <c r="I77" s="74">
        <f t="shared" ref="I77:I81" si="27">ROUND($G77*F77,0)</f>
        <v>0</v>
      </c>
      <c r="J77" s="5"/>
      <c r="K77" s="243"/>
      <c r="L77" s="242">
        <v>0.56999999999999995</v>
      </c>
      <c r="M77" s="242">
        <v>1.1000000000000001</v>
      </c>
      <c r="N77" s="5"/>
    </row>
    <row r="78" spans="1:14" x14ac:dyDescent="0.2">
      <c r="A78" s="77">
        <f t="shared" ref="A78:A141" si="28">+A77+1</f>
        <v>69</v>
      </c>
      <c r="B78" s="95" t="str">
        <f>+B77</f>
        <v>53E - Company Owned</v>
      </c>
      <c r="C78" s="102" t="s">
        <v>159</v>
      </c>
      <c r="D78" s="102">
        <v>100</v>
      </c>
      <c r="E78" s="75">
        <f t="shared" si="25"/>
        <v>2.38</v>
      </c>
      <c r="F78" s="240">
        <f>ROUND(+E78*$J$10,2)</f>
        <v>0.22</v>
      </c>
      <c r="G78" s="241">
        <v>0</v>
      </c>
      <c r="H78" s="74">
        <f t="shared" si="26"/>
        <v>0</v>
      </c>
      <c r="I78" s="74">
        <f t="shared" si="27"/>
        <v>0</v>
      </c>
      <c r="J78" s="5"/>
      <c r="K78" s="243"/>
      <c r="L78" s="242">
        <v>0.81</v>
      </c>
      <c r="M78" s="242">
        <v>1.57</v>
      </c>
      <c r="N78" s="5"/>
    </row>
    <row r="79" spans="1:14" x14ac:dyDescent="0.2">
      <c r="A79" s="77">
        <f t="shared" si="28"/>
        <v>70</v>
      </c>
      <c r="B79" s="95" t="str">
        <f>+B78</f>
        <v>53E - Company Owned</v>
      </c>
      <c r="C79" s="102" t="s">
        <v>159</v>
      </c>
      <c r="D79" s="102">
        <v>150</v>
      </c>
      <c r="E79" s="75">
        <f t="shared" si="25"/>
        <v>3.57</v>
      </c>
      <c r="F79" s="240">
        <f>ROUND(+E79*$J$10,2)</f>
        <v>0.33</v>
      </c>
      <c r="G79" s="241">
        <v>0</v>
      </c>
      <c r="H79" s="74">
        <f t="shared" si="26"/>
        <v>0</v>
      </c>
      <c r="I79" s="74">
        <f t="shared" si="27"/>
        <v>0</v>
      </c>
      <c r="J79" s="5"/>
      <c r="K79" s="243"/>
      <c r="L79" s="242">
        <v>1.21</v>
      </c>
      <c r="M79" s="242">
        <v>2.36</v>
      </c>
      <c r="N79" s="5"/>
    </row>
    <row r="80" spans="1:14" x14ac:dyDescent="0.2">
      <c r="A80" s="77">
        <f t="shared" si="28"/>
        <v>71</v>
      </c>
      <c r="B80" s="95" t="str">
        <f>B79</f>
        <v>53E - Company Owned</v>
      </c>
      <c r="C80" s="102" t="s">
        <v>159</v>
      </c>
      <c r="D80" s="102">
        <v>250</v>
      </c>
      <c r="E80" s="75">
        <f t="shared" si="25"/>
        <v>5.95</v>
      </c>
      <c r="F80" s="240">
        <f>ROUND(+E80*$J$10,2)</f>
        <v>0.55000000000000004</v>
      </c>
      <c r="G80" s="241">
        <v>0</v>
      </c>
      <c r="H80" s="74">
        <f t="shared" si="26"/>
        <v>0</v>
      </c>
      <c r="I80" s="74">
        <f t="shared" si="27"/>
        <v>0</v>
      </c>
      <c r="J80" s="5"/>
      <c r="K80" s="243"/>
      <c r="L80" s="242">
        <v>2.02</v>
      </c>
      <c r="M80" s="242">
        <v>3.93</v>
      </c>
      <c r="N80" s="5"/>
    </row>
    <row r="81" spans="1:14" x14ac:dyDescent="0.2">
      <c r="A81" s="77">
        <f t="shared" si="28"/>
        <v>72</v>
      </c>
      <c r="B81" s="95" t="str">
        <f>B80</f>
        <v>53E - Company Owned</v>
      </c>
      <c r="C81" s="102" t="s">
        <v>159</v>
      </c>
      <c r="D81" s="102">
        <v>400</v>
      </c>
      <c r="E81" s="75">
        <f t="shared" si="25"/>
        <v>9.51</v>
      </c>
      <c r="F81" s="240">
        <f>ROUND(+E81*$J$10,2)</f>
        <v>0.88</v>
      </c>
      <c r="G81" s="241">
        <v>0</v>
      </c>
      <c r="H81" s="74">
        <f t="shared" si="26"/>
        <v>0</v>
      </c>
      <c r="I81" s="74">
        <f t="shared" si="27"/>
        <v>0</v>
      </c>
      <c r="J81" s="5"/>
      <c r="K81" s="243"/>
      <c r="L81" s="242">
        <v>3.23</v>
      </c>
      <c r="M81" s="242">
        <v>6.28</v>
      </c>
      <c r="N81" s="5"/>
    </row>
    <row r="82" spans="1:14" x14ac:dyDescent="0.2">
      <c r="A82" s="77">
        <f t="shared" si="28"/>
        <v>73</v>
      </c>
      <c r="B82" s="95"/>
      <c r="C82" s="102"/>
      <c r="D82" s="102"/>
      <c r="E82" s="75"/>
      <c r="F82" s="83"/>
      <c r="G82" s="241"/>
      <c r="H82" s="241"/>
      <c r="I82" s="241"/>
      <c r="J82" s="5"/>
      <c r="K82" s="243"/>
      <c r="L82" s="242"/>
      <c r="M82" s="242"/>
      <c r="N82" s="5"/>
    </row>
    <row r="83" spans="1:14" x14ac:dyDescent="0.2">
      <c r="A83" s="77">
        <f t="shared" si="28"/>
        <v>74</v>
      </c>
      <c r="B83" s="95" t="str">
        <f>+B81</f>
        <v>53E - Company Owned</v>
      </c>
      <c r="C83" s="102" t="s">
        <v>143</v>
      </c>
      <c r="D83" s="99" t="s">
        <v>157</v>
      </c>
      <c r="E83" s="75">
        <f t="shared" ref="E83:E90" si="29">SUM(L83:M83)</f>
        <v>1.0699999999999998</v>
      </c>
      <c r="F83" s="240">
        <f t="shared" ref="F83:F91" si="30">ROUND(+E83*$J$10,2)</f>
        <v>0.1</v>
      </c>
      <c r="G83" s="241">
        <v>258614</v>
      </c>
      <c r="H83" s="74">
        <f t="shared" ref="H83:H92" si="31">ROUND($G83*E83,0)</f>
        <v>276717</v>
      </c>
      <c r="I83" s="74">
        <f t="shared" ref="I83:I92" si="32">ROUND($G83*F83,0)</f>
        <v>25861</v>
      </c>
      <c r="J83" s="5"/>
      <c r="K83" s="243"/>
      <c r="L83" s="242">
        <v>0.36</v>
      </c>
      <c r="M83" s="242">
        <v>0.71</v>
      </c>
      <c r="N83" s="5"/>
    </row>
    <row r="84" spans="1:14" x14ac:dyDescent="0.2">
      <c r="A84" s="77">
        <f t="shared" si="28"/>
        <v>75</v>
      </c>
      <c r="B84" s="95" t="str">
        <f t="shared" ref="B84:B92" si="33">B83</f>
        <v>53E - Company Owned</v>
      </c>
      <c r="C84" s="102" t="s">
        <v>143</v>
      </c>
      <c r="D84" s="99" t="s">
        <v>156</v>
      </c>
      <c r="E84" s="75">
        <f t="shared" si="29"/>
        <v>1.79</v>
      </c>
      <c r="F84" s="240">
        <f t="shared" si="30"/>
        <v>0.16</v>
      </c>
      <c r="G84" s="241">
        <v>6387</v>
      </c>
      <c r="H84" s="74">
        <f t="shared" si="31"/>
        <v>11433</v>
      </c>
      <c r="I84" s="74">
        <f t="shared" si="32"/>
        <v>1022</v>
      </c>
      <c r="J84" s="5"/>
      <c r="K84" s="243"/>
      <c r="L84" s="242">
        <v>0.61</v>
      </c>
      <c r="M84" s="242">
        <v>1.18</v>
      </c>
      <c r="N84" s="5"/>
    </row>
    <row r="85" spans="1:14" x14ac:dyDescent="0.2">
      <c r="A85" s="77">
        <f t="shared" si="28"/>
        <v>76</v>
      </c>
      <c r="B85" s="95" t="str">
        <f t="shared" si="33"/>
        <v>53E - Company Owned</v>
      </c>
      <c r="C85" s="102" t="s">
        <v>143</v>
      </c>
      <c r="D85" s="99" t="s">
        <v>155</v>
      </c>
      <c r="E85" s="75">
        <f t="shared" si="29"/>
        <v>2.5</v>
      </c>
      <c r="F85" s="240">
        <f t="shared" si="30"/>
        <v>0.23</v>
      </c>
      <c r="G85" s="241">
        <v>30709</v>
      </c>
      <c r="H85" s="74">
        <f t="shared" si="31"/>
        <v>76773</v>
      </c>
      <c r="I85" s="74">
        <f t="shared" si="32"/>
        <v>7063</v>
      </c>
      <c r="J85" s="5"/>
      <c r="K85" s="243"/>
      <c r="L85" s="242">
        <v>0.85</v>
      </c>
      <c r="M85" s="242">
        <v>1.65</v>
      </c>
      <c r="N85" s="5"/>
    </row>
    <row r="86" spans="1:14" x14ac:dyDescent="0.2">
      <c r="A86" s="77">
        <f t="shared" si="28"/>
        <v>77</v>
      </c>
      <c r="B86" s="95" t="str">
        <f t="shared" si="33"/>
        <v>53E - Company Owned</v>
      </c>
      <c r="C86" s="102" t="s">
        <v>143</v>
      </c>
      <c r="D86" s="99" t="s">
        <v>154</v>
      </c>
      <c r="E86" s="75">
        <f t="shared" si="29"/>
        <v>3.21</v>
      </c>
      <c r="F86" s="240">
        <f t="shared" si="30"/>
        <v>0.3</v>
      </c>
      <c r="G86" s="241">
        <v>20975</v>
      </c>
      <c r="H86" s="74">
        <f t="shared" si="31"/>
        <v>67330</v>
      </c>
      <c r="I86" s="74">
        <f t="shared" si="32"/>
        <v>6293</v>
      </c>
      <c r="J86" s="5"/>
      <c r="K86" s="243"/>
      <c r="L86" s="242">
        <v>1.0900000000000001</v>
      </c>
      <c r="M86" s="242">
        <v>2.12</v>
      </c>
      <c r="N86" s="5"/>
    </row>
    <row r="87" spans="1:14" x14ac:dyDescent="0.2">
      <c r="A87" s="77">
        <f t="shared" si="28"/>
        <v>78</v>
      </c>
      <c r="B87" s="95" t="str">
        <f t="shared" si="33"/>
        <v>53E - Company Owned</v>
      </c>
      <c r="C87" s="102" t="s">
        <v>143</v>
      </c>
      <c r="D87" s="99" t="s">
        <v>153</v>
      </c>
      <c r="E87" s="75">
        <f t="shared" si="29"/>
        <v>3.92</v>
      </c>
      <c r="F87" s="240">
        <f t="shared" si="30"/>
        <v>0.36</v>
      </c>
      <c r="G87" s="241">
        <v>1342</v>
      </c>
      <c r="H87" s="74">
        <f t="shared" si="31"/>
        <v>5261</v>
      </c>
      <c r="I87" s="74">
        <f t="shared" si="32"/>
        <v>483</v>
      </c>
      <c r="J87" s="5"/>
      <c r="K87" s="243"/>
      <c r="L87" s="242">
        <v>1.33</v>
      </c>
      <c r="M87" s="242">
        <v>2.59</v>
      </c>
      <c r="N87" s="5"/>
    </row>
    <row r="88" spans="1:14" x14ac:dyDescent="0.2">
      <c r="A88" s="77">
        <f t="shared" si="28"/>
        <v>79</v>
      </c>
      <c r="B88" s="95" t="str">
        <f t="shared" si="33"/>
        <v>53E - Company Owned</v>
      </c>
      <c r="C88" s="102" t="s">
        <v>143</v>
      </c>
      <c r="D88" s="99" t="s">
        <v>152</v>
      </c>
      <c r="E88" s="75">
        <f t="shared" si="29"/>
        <v>4.6400000000000006</v>
      </c>
      <c r="F88" s="240">
        <f t="shared" si="30"/>
        <v>0.43</v>
      </c>
      <c r="G88" s="241">
        <v>4860</v>
      </c>
      <c r="H88" s="74">
        <f t="shared" si="31"/>
        <v>22550</v>
      </c>
      <c r="I88" s="74">
        <f t="shared" si="32"/>
        <v>2090</v>
      </c>
      <c r="J88" s="5"/>
      <c r="K88" s="243"/>
      <c r="L88" s="242">
        <v>1.58</v>
      </c>
      <c r="M88" s="242">
        <v>3.06</v>
      </c>
      <c r="N88" s="5"/>
    </row>
    <row r="89" spans="1:14" x14ac:dyDescent="0.2">
      <c r="A89" s="77">
        <f t="shared" si="28"/>
        <v>80</v>
      </c>
      <c r="B89" s="95" t="str">
        <f t="shared" si="33"/>
        <v>53E - Company Owned</v>
      </c>
      <c r="C89" s="102" t="s">
        <v>143</v>
      </c>
      <c r="D89" s="99" t="s">
        <v>151</v>
      </c>
      <c r="E89" s="75">
        <f t="shared" si="29"/>
        <v>5.36</v>
      </c>
      <c r="F89" s="240">
        <f t="shared" si="30"/>
        <v>0.49</v>
      </c>
      <c r="G89" s="241">
        <v>674</v>
      </c>
      <c r="H89" s="74">
        <f t="shared" si="31"/>
        <v>3613</v>
      </c>
      <c r="I89" s="74">
        <f t="shared" si="32"/>
        <v>330</v>
      </c>
      <c r="J89" s="5"/>
      <c r="K89" s="243"/>
      <c r="L89" s="242">
        <v>1.82</v>
      </c>
      <c r="M89" s="242">
        <v>3.54</v>
      </c>
      <c r="N89" s="5"/>
    </row>
    <row r="90" spans="1:14" x14ac:dyDescent="0.2">
      <c r="A90" s="77">
        <f t="shared" si="28"/>
        <v>81</v>
      </c>
      <c r="B90" s="95" t="str">
        <f t="shared" si="33"/>
        <v>53E - Company Owned</v>
      </c>
      <c r="C90" s="102" t="s">
        <v>143</v>
      </c>
      <c r="D90" s="99" t="s">
        <v>150</v>
      </c>
      <c r="E90" s="75">
        <f t="shared" si="29"/>
        <v>6.07</v>
      </c>
      <c r="F90" s="240">
        <f t="shared" si="30"/>
        <v>0.56000000000000005</v>
      </c>
      <c r="G90" s="241">
        <v>274</v>
      </c>
      <c r="H90" s="74">
        <f t="shared" si="31"/>
        <v>1663</v>
      </c>
      <c r="I90" s="74">
        <f t="shared" si="32"/>
        <v>153</v>
      </c>
      <c r="J90" s="5"/>
      <c r="K90" s="243"/>
      <c r="L90" s="242">
        <v>2.06</v>
      </c>
      <c r="M90" s="242">
        <v>4.01</v>
      </c>
      <c r="N90" s="5"/>
    </row>
    <row r="91" spans="1:14" x14ac:dyDescent="0.2">
      <c r="A91" s="77">
        <f t="shared" si="28"/>
        <v>82</v>
      </c>
      <c r="B91" s="95" t="str">
        <f t="shared" si="33"/>
        <v>53E - Company Owned</v>
      </c>
      <c r="C91" s="102" t="s">
        <v>143</v>
      </c>
      <c r="D91" s="99" t="s">
        <v>149</v>
      </c>
      <c r="E91" s="75">
        <f>SUM(L91:M91)</f>
        <v>6.78</v>
      </c>
      <c r="F91" s="240">
        <f t="shared" si="30"/>
        <v>0.62</v>
      </c>
      <c r="G91" s="241">
        <v>1766</v>
      </c>
      <c r="H91" s="74">
        <f t="shared" si="31"/>
        <v>11973</v>
      </c>
      <c r="I91" s="74">
        <f t="shared" si="32"/>
        <v>1095</v>
      </c>
      <c r="J91" s="5"/>
      <c r="K91" s="243"/>
      <c r="L91" s="242">
        <v>2.2999999999999998</v>
      </c>
      <c r="M91" s="242">
        <v>4.4800000000000004</v>
      </c>
      <c r="N91" s="5"/>
    </row>
    <row r="92" spans="1:14" x14ac:dyDescent="0.2">
      <c r="A92" s="77">
        <f t="shared" si="28"/>
        <v>83</v>
      </c>
      <c r="B92" s="95" t="str">
        <f t="shared" si="33"/>
        <v>53E - Company Owned</v>
      </c>
      <c r="C92" s="102" t="s">
        <v>280</v>
      </c>
      <c r="D92" s="99" t="s">
        <v>281</v>
      </c>
      <c r="E92" s="75">
        <v>0</v>
      </c>
      <c r="F92" s="333">
        <f>'2022 Proposed Impacts'!$G$29</f>
        <v>5.9150000000000001E-3</v>
      </c>
      <c r="G92" s="241">
        <v>0</v>
      </c>
      <c r="H92" s="74">
        <f t="shared" si="31"/>
        <v>0</v>
      </c>
      <c r="I92" s="74">
        <f t="shared" si="32"/>
        <v>0</v>
      </c>
      <c r="J92" s="5"/>
      <c r="K92" s="243"/>
      <c r="L92" s="242"/>
      <c r="M92" s="242"/>
      <c r="N92" s="5"/>
    </row>
    <row r="93" spans="1:14" x14ac:dyDescent="0.2">
      <c r="A93" s="77">
        <f t="shared" si="28"/>
        <v>84</v>
      </c>
      <c r="B93" s="95"/>
      <c r="C93" s="102"/>
      <c r="D93" s="102"/>
      <c r="E93" s="75"/>
      <c r="F93" s="83"/>
      <c r="G93" s="241"/>
      <c r="H93" s="241"/>
      <c r="I93" s="241"/>
      <c r="J93" s="5"/>
      <c r="K93" s="243"/>
      <c r="L93" s="242"/>
      <c r="M93" s="242"/>
      <c r="N93" s="5"/>
    </row>
    <row r="94" spans="1:14" x14ac:dyDescent="0.2">
      <c r="A94" s="77">
        <f t="shared" si="28"/>
        <v>85</v>
      </c>
      <c r="B94" s="95" t="s">
        <v>167</v>
      </c>
      <c r="C94" s="102" t="s">
        <v>13</v>
      </c>
      <c r="D94" s="102">
        <v>50</v>
      </c>
      <c r="E94" s="75">
        <f t="shared" ref="E94:E102" si="34">SUM(L94:M94)</f>
        <v>1.19</v>
      </c>
      <c r="F94" s="240">
        <f>ROUND(+E94*$J$10,2)</f>
        <v>0.11</v>
      </c>
      <c r="G94" s="241">
        <v>0</v>
      </c>
      <c r="H94" s="74">
        <f t="shared" ref="H94:H102" si="35">ROUND($G94*E94,0)</f>
        <v>0</v>
      </c>
      <c r="I94" s="74">
        <f t="shared" ref="I94:I102" si="36">ROUND($G94*F94,0)</f>
        <v>0</v>
      </c>
      <c r="J94" s="5"/>
      <c r="K94" s="243"/>
      <c r="L94" s="242">
        <v>0.4</v>
      </c>
      <c r="M94" s="242">
        <v>0.79</v>
      </c>
      <c r="N94" s="5"/>
    </row>
    <row r="95" spans="1:14" x14ac:dyDescent="0.2">
      <c r="A95" s="77">
        <f t="shared" si="28"/>
        <v>86</v>
      </c>
      <c r="B95" s="95" t="str">
        <f t="shared" ref="B95:B102" si="37">+B94</f>
        <v>53E - Customer Owned</v>
      </c>
      <c r="C95" s="102" t="s">
        <v>13</v>
      </c>
      <c r="D95" s="102">
        <v>70</v>
      </c>
      <c r="E95" s="75">
        <f t="shared" si="34"/>
        <v>1.67</v>
      </c>
      <c r="F95" s="240">
        <f t="shared" ref="F95:F102" si="38">ROUND(+E95*$J$10,2)</f>
        <v>0.15</v>
      </c>
      <c r="G95" s="241">
        <v>616</v>
      </c>
      <c r="H95" s="74">
        <f t="shared" si="35"/>
        <v>1029</v>
      </c>
      <c r="I95" s="74">
        <f t="shared" si="36"/>
        <v>92</v>
      </c>
      <c r="J95" s="5"/>
      <c r="K95" s="243"/>
      <c r="L95" s="242">
        <v>0.56999999999999995</v>
      </c>
      <c r="M95" s="242">
        <v>1.1000000000000001</v>
      </c>
      <c r="N95" s="5"/>
    </row>
    <row r="96" spans="1:14" x14ac:dyDescent="0.2">
      <c r="A96" s="77">
        <f t="shared" si="28"/>
        <v>87</v>
      </c>
      <c r="B96" s="95" t="str">
        <f t="shared" si="37"/>
        <v>53E - Customer Owned</v>
      </c>
      <c r="C96" s="102" t="s">
        <v>13</v>
      </c>
      <c r="D96" s="102">
        <v>100</v>
      </c>
      <c r="E96" s="75">
        <f t="shared" si="34"/>
        <v>2.38</v>
      </c>
      <c r="F96" s="240">
        <f t="shared" si="38"/>
        <v>0.22</v>
      </c>
      <c r="G96" s="241">
        <v>2471</v>
      </c>
      <c r="H96" s="74">
        <f t="shared" si="35"/>
        <v>5881</v>
      </c>
      <c r="I96" s="74">
        <f t="shared" si="36"/>
        <v>544</v>
      </c>
      <c r="J96" s="5"/>
      <c r="K96" s="243"/>
      <c r="L96" s="242">
        <v>0.81</v>
      </c>
      <c r="M96" s="242">
        <v>1.57</v>
      </c>
      <c r="N96" s="5"/>
    </row>
    <row r="97" spans="1:14" x14ac:dyDescent="0.2">
      <c r="A97" s="77">
        <f t="shared" si="28"/>
        <v>88</v>
      </c>
      <c r="B97" s="95" t="str">
        <f t="shared" si="37"/>
        <v>53E - Customer Owned</v>
      </c>
      <c r="C97" s="102" t="s">
        <v>13</v>
      </c>
      <c r="D97" s="102">
        <v>150</v>
      </c>
      <c r="E97" s="75">
        <f t="shared" si="34"/>
        <v>3.57</v>
      </c>
      <c r="F97" s="240">
        <f t="shared" si="38"/>
        <v>0.33</v>
      </c>
      <c r="G97" s="241">
        <v>1104</v>
      </c>
      <c r="H97" s="74">
        <f t="shared" si="35"/>
        <v>3941</v>
      </c>
      <c r="I97" s="74">
        <f t="shared" si="36"/>
        <v>364</v>
      </c>
      <c r="J97" s="5"/>
      <c r="K97" s="243"/>
      <c r="L97" s="242">
        <v>1.21</v>
      </c>
      <c r="M97" s="242">
        <v>2.36</v>
      </c>
      <c r="N97" s="5"/>
    </row>
    <row r="98" spans="1:14" x14ac:dyDescent="0.2">
      <c r="A98" s="77">
        <f t="shared" si="28"/>
        <v>89</v>
      </c>
      <c r="B98" s="95" t="str">
        <f t="shared" si="37"/>
        <v>53E - Customer Owned</v>
      </c>
      <c r="C98" s="102" t="s">
        <v>13</v>
      </c>
      <c r="D98" s="102">
        <v>200</v>
      </c>
      <c r="E98" s="75">
        <f t="shared" si="34"/>
        <v>4.76</v>
      </c>
      <c r="F98" s="240">
        <f t="shared" si="38"/>
        <v>0.44</v>
      </c>
      <c r="G98" s="241">
        <v>4465</v>
      </c>
      <c r="H98" s="74">
        <f t="shared" si="35"/>
        <v>21253</v>
      </c>
      <c r="I98" s="74">
        <f t="shared" si="36"/>
        <v>1965</v>
      </c>
      <c r="J98" s="5"/>
      <c r="K98" s="243"/>
      <c r="L98" s="242">
        <v>1.62</v>
      </c>
      <c r="M98" s="242">
        <v>3.14</v>
      </c>
      <c r="N98" s="5"/>
    </row>
    <row r="99" spans="1:14" x14ac:dyDescent="0.2">
      <c r="A99" s="77">
        <f t="shared" si="28"/>
        <v>90</v>
      </c>
      <c r="B99" s="95" t="str">
        <f t="shared" si="37"/>
        <v>53E - Customer Owned</v>
      </c>
      <c r="C99" s="102" t="s">
        <v>13</v>
      </c>
      <c r="D99" s="102">
        <v>250</v>
      </c>
      <c r="E99" s="75">
        <f t="shared" si="34"/>
        <v>5.95</v>
      </c>
      <c r="F99" s="240">
        <f t="shared" si="38"/>
        <v>0.55000000000000004</v>
      </c>
      <c r="G99" s="241">
        <v>2781</v>
      </c>
      <c r="H99" s="74">
        <f t="shared" si="35"/>
        <v>16547</v>
      </c>
      <c r="I99" s="74">
        <f t="shared" si="36"/>
        <v>1530</v>
      </c>
      <c r="J99" s="5"/>
      <c r="K99" s="243"/>
      <c r="L99" s="242">
        <v>2.02</v>
      </c>
      <c r="M99" s="242">
        <v>3.93</v>
      </c>
      <c r="N99" s="5"/>
    </row>
    <row r="100" spans="1:14" x14ac:dyDescent="0.2">
      <c r="A100" s="77">
        <f t="shared" si="28"/>
        <v>91</v>
      </c>
      <c r="B100" s="95" t="str">
        <f t="shared" si="37"/>
        <v>53E - Customer Owned</v>
      </c>
      <c r="C100" s="102" t="s">
        <v>13</v>
      </c>
      <c r="D100" s="102">
        <v>310</v>
      </c>
      <c r="E100" s="75">
        <f t="shared" si="34"/>
        <v>7.37</v>
      </c>
      <c r="F100" s="240">
        <f t="shared" si="38"/>
        <v>0.68</v>
      </c>
      <c r="G100" s="241">
        <v>66</v>
      </c>
      <c r="H100" s="74">
        <f t="shared" si="35"/>
        <v>486</v>
      </c>
      <c r="I100" s="74">
        <f t="shared" si="36"/>
        <v>45</v>
      </c>
      <c r="J100" s="5"/>
      <c r="K100" s="243"/>
      <c r="L100" s="242">
        <v>2.5</v>
      </c>
      <c r="M100" s="242">
        <v>4.87</v>
      </c>
      <c r="N100" s="5"/>
    </row>
    <row r="101" spans="1:14" x14ac:dyDescent="0.2">
      <c r="A101" s="77">
        <f t="shared" si="28"/>
        <v>92</v>
      </c>
      <c r="B101" s="95" t="str">
        <f t="shared" si="37"/>
        <v>53E - Customer Owned</v>
      </c>
      <c r="C101" s="102" t="s">
        <v>13</v>
      </c>
      <c r="D101" s="102">
        <v>400</v>
      </c>
      <c r="E101" s="75">
        <f t="shared" si="34"/>
        <v>9.51</v>
      </c>
      <c r="F101" s="240">
        <f t="shared" si="38"/>
        <v>0.88</v>
      </c>
      <c r="G101" s="241">
        <v>4397</v>
      </c>
      <c r="H101" s="74">
        <f t="shared" si="35"/>
        <v>41815</v>
      </c>
      <c r="I101" s="74">
        <f t="shared" si="36"/>
        <v>3869</v>
      </c>
      <c r="J101" s="5"/>
      <c r="K101" s="243"/>
      <c r="L101" s="242">
        <v>3.23</v>
      </c>
      <c r="M101" s="242">
        <v>6.28</v>
      </c>
      <c r="N101" s="5"/>
    </row>
    <row r="102" spans="1:14" x14ac:dyDescent="0.2">
      <c r="A102" s="77">
        <f t="shared" si="28"/>
        <v>93</v>
      </c>
      <c r="B102" s="95" t="str">
        <f t="shared" si="37"/>
        <v>53E - Customer Owned</v>
      </c>
      <c r="C102" s="102" t="s">
        <v>13</v>
      </c>
      <c r="D102" s="102">
        <v>1000</v>
      </c>
      <c r="E102" s="75">
        <f t="shared" si="34"/>
        <v>23.79</v>
      </c>
      <c r="F102" s="240">
        <f t="shared" si="38"/>
        <v>2.19</v>
      </c>
      <c r="G102" s="241">
        <v>0</v>
      </c>
      <c r="H102" s="74">
        <f t="shared" si="35"/>
        <v>0</v>
      </c>
      <c r="I102" s="74">
        <f t="shared" si="36"/>
        <v>0</v>
      </c>
      <c r="J102" s="5"/>
      <c r="K102" s="243"/>
      <c r="L102" s="242">
        <v>8.08</v>
      </c>
      <c r="M102" s="242">
        <v>15.71</v>
      </c>
      <c r="N102" s="5"/>
    </row>
    <row r="103" spans="1:14" x14ac:dyDescent="0.2">
      <c r="A103" s="77">
        <f t="shared" si="28"/>
        <v>94</v>
      </c>
      <c r="B103" s="95"/>
      <c r="C103" s="102"/>
      <c r="D103" s="102"/>
      <c r="E103" s="75"/>
      <c r="F103" s="83"/>
      <c r="G103" s="241"/>
      <c r="H103" s="241"/>
      <c r="I103" s="241"/>
      <c r="J103" s="5"/>
      <c r="K103" s="243"/>
      <c r="L103" s="242"/>
      <c r="M103" s="242"/>
      <c r="N103" s="5"/>
    </row>
    <row r="104" spans="1:14" x14ac:dyDescent="0.2">
      <c r="A104" s="77">
        <f t="shared" si="28"/>
        <v>95</v>
      </c>
      <c r="B104" s="95" t="str">
        <f>+B102</f>
        <v>53E - Customer Owned</v>
      </c>
      <c r="C104" s="102" t="s">
        <v>159</v>
      </c>
      <c r="D104" s="102">
        <v>70</v>
      </c>
      <c r="E104" s="75">
        <f t="shared" ref="E104:E109" si="39">SUM(L104:M104)</f>
        <v>1.67</v>
      </c>
      <c r="F104" s="240">
        <f t="shared" ref="F104:F109" si="40">ROUND(+E104*$J$10,2)</f>
        <v>0.15</v>
      </c>
      <c r="G104" s="241">
        <v>0</v>
      </c>
      <c r="H104" s="74">
        <f t="shared" ref="H104:H109" si="41">ROUND($G104*E104,0)</f>
        <v>0</v>
      </c>
      <c r="I104" s="74">
        <f t="shared" ref="I104:I109" si="42">ROUND($G104*F104,0)</f>
        <v>0</v>
      </c>
      <c r="J104" s="5"/>
      <c r="K104" s="243"/>
      <c r="L104" s="242">
        <v>0.56999999999999995</v>
      </c>
      <c r="M104" s="242">
        <v>1.1000000000000001</v>
      </c>
      <c r="N104" s="5"/>
    </row>
    <row r="105" spans="1:14" x14ac:dyDescent="0.2">
      <c r="A105" s="77">
        <f t="shared" si="28"/>
        <v>96</v>
      </c>
      <c r="B105" s="95" t="str">
        <f>+B104</f>
        <v>53E - Customer Owned</v>
      </c>
      <c r="C105" s="102" t="s">
        <v>159</v>
      </c>
      <c r="D105" s="102">
        <v>100</v>
      </c>
      <c r="E105" s="75">
        <f t="shared" si="39"/>
        <v>2.38</v>
      </c>
      <c r="F105" s="240">
        <f t="shared" si="40"/>
        <v>0.22</v>
      </c>
      <c r="G105" s="241">
        <v>0</v>
      </c>
      <c r="H105" s="74">
        <f t="shared" si="41"/>
        <v>0</v>
      </c>
      <c r="I105" s="74">
        <f t="shared" si="42"/>
        <v>0</v>
      </c>
      <c r="J105" s="5"/>
      <c r="K105" s="243"/>
      <c r="L105" s="242">
        <v>0.81</v>
      </c>
      <c r="M105" s="242">
        <v>1.57</v>
      </c>
      <c r="N105" s="5"/>
    </row>
    <row r="106" spans="1:14" x14ac:dyDescent="0.2">
      <c r="A106" s="77">
        <f t="shared" si="28"/>
        <v>97</v>
      </c>
      <c r="B106" s="95" t="str">
        <f>+B105</f>
        <v>53E - Customer Owned</v>
      </c>
      <c r="C106" s="102" t="s">
        <v>159</v>
      </c>
      <c r="D106" s="102">
        <v>150</v>
      </c>
      <c r="E106" s="75">
        <f t="shared" si="39"/>
        <v>3.57</v>
      </c>
      <c r="F106" s="240">
        <f t="shared" si="40"/>
        <v>0.33</v>
      </c>
      <c r="G106" s="241">
        <v>0</v>
      </c>
      <c r="H106" s="74">
        <f t="shared" si="41"/>
        <v>0</v>
      </c>
      <c r="I106" s="74">
        <f t="shared" si="42"/>
        <v>0</v>
      </c>
      <c r="J106" s="5"/>
      <c r="K106" s="243"/>
      <c r="L106" s="242">
        <v>1.21</v>
      </c>
      <c r="M106" s="242">
        <v>2.36</v>
      </c>
      <c r="N106" s="5"/>
    </row>
    <row r="107" spans="1:14" x14ac:dyDescent="0.2">
      <c r="A107" s="77">
        <f t="shared" si="28"/>
        <v>98</v>
      </c>
      <c r="B107" s="95" t="str">
        <f>+B106</f>
        <v>53E - Customer Owned</v>
      </c>
      <c r="C107" s="102" t="s">
        <v>159</v>
      </c>
      <c r="D107" s="102">
        <v>175</v>
      </c>
      <c r="E107" s="75">
        <f t="shared" si="39"/>
        <v>4.16</v>
      </c>
      <c r="F107" s="240">
        <f t="shared" si="40"/>
        <v>0.38</v>
      </c>
      <c r="G107" s="241">
        <v>48</v>
      </c>
      <c r="H107" s="74">
        <f t="shared" si="41"/>
        <v>200</v>
      </c>
      <c r="I107" s="74">
        <f t="shared" si="42"/>
        <v>18</v>
      </c>
      <c r="J107" s="5"/>
      <c r="K107" s="243"/>
      <c r="L107" s="242">
        <v>1.41</v>
      </c>
      <c r="M107" s="242">
        <v>2.75</v>
      </c>
      <c r="N107" s="5"/>
    </row>
    <row r="108" spans="1:14" x14ac:dyDescent="0.2">
      <c r="A108" s="77">
        <f t="shared" si="28"/>
        <v>99</v>
      </c>
      <c r="B108" s="95" t="str">
        <f>+B107</f>
        <v>53E - Customer Owned</v>
      </c>
      <c r="C108" s="102" t="s">
        <v>159</v>
      </c>
      <c r="D108" s="102">
        <v>250</v>
      </c>
      <c r="E108" s="75">
        <f t="shared" si="39"/>
        <v>5.95</v>
      </c>
      <c r="F108" s="240">
        <f t="shared" si="40"/>
        <v>0.55000000000000004</v>
      </c>
      <c r="G108" s="241">
        <v>0</v>
      </c>
      <c r="H108" s="74">
        <f t="shared" si="41"/>
        <v>0</v>
      </c>
      <c r="I108" s="74">
        <f t="shared" si="42"/>
        <v>0</v>
      </c>
      <c r="J108" s="5"/>
      <c r="K108" s="243"/>
      <c r="L108" s="242">
        <v>2.02</v>
      </c>
      <c r="M108" s="242">
        <v>3.93</v>
      </c>
      <c r="N108" s="5"/>
    </row>
    <row r="109" spans="1:14" x14ac:dyDescent="0.2">
      <c r="A109" s="77">
        <f t="shared" si="28"/>
        <v>100</v>
      </c>
      <c r="B109" s="95" t="str">
        <f>+B108</f>
        <v>53E - Customer Owned</v>
      </c>
      <c r="C109" s="102" t="s">
        <v>159</v>
      </c>
      <c r="D109" s="102">
        <v>400</v>
      </c>
      <c r="E109" s="75">
        <f t="shared" si="39"/>
        <v>9.51</v>
      </c>
      <c r="F109" s="240">
        <f t="shared" si="40"/>
        <v>0.88</v>
      </c>
      <c r="G109" s="241">
        <v>0</v>
      </c>
      <c r="H109" s="74">
        <f t="shared" si="41"/>
        <v>0</v>
      </c>
      <c r="I109" s="74">
        <f t="shared" si="42"/>
        <v>0</v>
      </c>
      <c r="J109" s="5"/>
      <c r="K109" s="243"/>
      <c r="L109" s="242">
        <v>3.23</v>
      </c>
      <c r="M109" s="242">
        <v>6.28</v>
      </c>
      <c r="N109" s="5"/>
    </row>
    <row r="110" spans="1:14" x14ac:dyDescent="0.2">
      <c r="A110" s="77">
        <f t="shared" si="28"/>
        <v>101</v>
      </c>
      <c r="B110" s="95"/>
      <c r="C110" s="102"/>
      <c r="D110" s="102"/>
      <c r="E110" s="75"/>
      <c r="F110" s="83"/>
      <c r="G110" s="241"/>
      <c r="H110" s="241"/>
      <c r="I110" s="241"/>
      <c r="J110" s="5"/>
      <c r="K110" s="243"/>
      <c r="L110" s="242"/>
      <c r="M110" s="242"/>
      <c r="N110" s="5"/>
    </row>
    <row r="111" spans="1:14" x14ac:dyDescent="0.2">
      <c r="A111" s="77">
        <f t="shared" si="28"/>
        <v>102</v>
      </c>
      <c r="B111" s="95" t="str">
        <f>+B109</f>
        <v>53E - Customer Owned</v>
      </c>
      <c r="C111" s="102" t="s">
        <v>143</v>
      </c>
      <c r="D111" s="99" t="s">
        <v>157</v>
      </c>
      <c r="E111" s="75">
        <f t="shared" ref="E111:E119" si="43">SUM(L111:M111)</f>
        <v>1.0699999999999998</v>
      </c>
      <c r="F111" s="240">
        <f t="shared" ref="F111:F119" si="44">ROUND(+E111*$J$10,2)</f>
        <v>0.1</v>
      </c>
      <c r="G111" s="241">
        <v>7327</v>
      </c>
      <c r="H111" s="74">
        <f t="shared" ref="H111:H119" si="45">ROUND($G111*E111,0)</f>
        <v>7840</v>
      </c>
      <c r="I111" s="74">
        <f t="shared" ref="I111:I119" si="46">ROUND($G111*F111,0)</f>
        <v>733</v>
      </c>
      <c r="J111" s="5"/>
      <c r="K111" s="243"/>
      <c r="L111" s="242">
        <v>0.36</v>
      </c>
      <c r="M111" s="242">
        <v>0.71</v>
      </c>
      <c r="N111" s="5"/>
    </row>
    <row r="112" spans="1:14" x14ac:dyDescent="0.2">
      <c r="A112" s="77">
        <f t="shared" si="28"/>
        <v>103</v>
      </c>
      <c r="B112" s="95" t="str">
        <f t="shared" ref="B112:B119" si="47">B111</f>
        <v>53E - Customer Owned</v>
      </c>
      <c r="C112" s="102" t="s">
        <v>143</v>
      </c>
      <c r="D112" s="99" t="s">
        <v>156</v>
      </c>
      <c r="E112" s="75">
        <f t="shared" si="43"/>
        <v>1.79</v>
      </c>
      <c r="F112" s="240">
        <f t="shared" si="44"/>
        <v>0.16</v>
      </c>
      <c r="G112" s="241">
        <v>6247</v>
      </c>
      <c r="H112" s="74">
        <f t="shared" si="45"/>
        <v>11182</v>
      </c>
      <c r="I112" s="74">
        <f t="shared" si="46"/>
        <v>1000</v>
      </c>
      <c r="J112" s="5"/>
      <c r="K112" s="243"/>
      <c r="L112" s="242">
        <v>0.61</v>
      </c>
      <c r="M112" s="242">
        <v>1.18</v>
      </c>
      <c r="N112" s="5"/>
    </row>
    <row r="113" spans="1:14" x14ac:dyDescent="0.2">
      <c r="A113" s="77">
        <f t="shared" si="28"/>
        <v>104</v>
      </c>
      <c r="B113" s="95" t="str">
        <f t="shared" si="47"/>
        <v>53E - Customer Owned</v>
      </c>
      <c r="C113" s="102" t="s">
        <v>143</v>
      </c>
      <c r="D113" s="99" t="s">
        <v>155</v>
      </c>
      <c r="E113" s="75">
        <f t="shared" si="43"/>
        <v>2.5</v>
      </c>
      <c r="F113" s="240">
        <f t="shared" si="44"/>
        <v>0.23</v>
      </c>
      <c r="G113" s="241">
        <v>9242</v>
      </c>
      <c r="H113" s="74">
        <f t="shared" si="45"/>
        <v>23105</v>
      </c>
      <c r="I113" s="74">
        <f t="shared" si="46"/>
        <v>2126</v>
      </c>
      <c r="J113" s="5"/>
      <c r="K113" s="243"/>
      <c r="L113" s="242">
        <v>0.85</v>
      </c>
      <c r="M113" s="242">
        <v>1.65</v>
      </c>
      <c r="N113" s="5"/>
    </row>
    <row r="114" spans="1:14" x14ac:dyDescent="0.2">
      <c r="A114" s="77">
        <f t="shared" si="28"/>
        <v>105</v>
      </c>
      <c r="B114" s="95" t="str">
        <f t="shared" si="47"/>
        <v>53E - Customer Owned</v>
      </c>
      <c r="C114" s="102" t="s">
        <v>143</v>
      </c>
      <c r="D114" s="99" t="s">
        <v>154</v>
      </c>
      <c r="E114" s="75">
        <f t="shared" si="43"/>
        <v>3.21</v>
      </c>
      <c r="F114" s="240">
        <f t="shared" si="44"/>
        <v>0.3</v>
      </c>
      <c r="G114" s="241">
        <v>1094</v>
      </c>
      <c r="H114" s="74">
        <f t="shared" si="45"/>
        <v>3512</v>
      </c>
      <c r="I114" s="74">
        <f t="shared" si="46"/>
        <v>328</v>
      </c>
      <c r="J114" s="5"/>
      <c r="K114" s="243"/>
      <c r="L114" s="242">
        <v>1.0900000000000001</v>
      </c>
      <c r="M114" s="242">
        <v>2.12</v>
      </c>
      <c r="N114" s="5"/>
    </row>
    <row r="115" spans="1:14" x14ac:dyDescent="0.2">
      <c r="A115" s="77">
        <f t="shared" si="28"/>
        <v>106</v>
      </c>
      <c r="B115" s="95" t="str">
        <f t="shared" si="47"/>
        <v>53E - Customer Owned</v>
      </c>
      <c r="C115" s="102" t="s">
        <v>143</v>
      </c>
      <c r="D115" s="99" t="s">
        <v>153</v>
      </c>
      <c r="E115" s="75">
        <f t="shared" si="43"/>
        <v>3.92</v>
      </c>
      <c r="F115" s="240">
        <f t="shared" si="44"/>
        <v>0.36</v>
      </c>
      <c r="G115" s="241">
        <v>12775</v>
      </c>
      <c r="H115" s="74">
        <f t="shared" si="45"/>
        <v>50078</v>
      </c>
      <c r="I115" s="74">
        <f t="shared" si="46"/>
        <v>4599</v>
      </c>
      <c r="J115" s="5"/>
      <c r="K115" s="243"/>
      <c r="L115" s="242">
        <v>1.33</v>
      </c>
      <c r="M115" s="242">
        <v>2.59</v>
      </c>
      <c r="N115" s="5"/>
    </row>
    <row r="116" spans="1:14" x14ac:dyDescent="0.2">
      <c r="A116" s="77">
        <f t="shared" si="28"/>
        <v>107</v>
      </c>
      <c r="B116" s="95" t="str">
        <f t="shared" si="47"/>
        <v>53E - Customer Owned</v>
      </c>
      <c r="C116" s="102" t="s">
        <v>143</v>
      </c>
      <c r="D116" s="99" t="s">
        <v>152</v>
      </c>
      <c r="E116" s="75">
        <f t="shared" si="43"/>
        <v>4.6400000000000006</v>
      </c>
      <c r="F116" s="240">
        <f t="shared" si="44"/>
        <v>0.43</v>
      </c>
      <c r="G116" s="241">
        <v>1146</v>
      </c>
      <c r="H116" s="74">
        <f t="shared" si="45"/>
        <v>5317</v>
      </c>
      <c r="I116" s="74">
        <f t="shared" si="46"/>
        <v>493</v>
      </c>
      <c r="J116" s="5"/>
      <c r="K116" s="243"/>
      <c r="L116" s="242">
        <v>1.58</v>
      </c>
      <c r="M116" s="242">
        <v>3.06</v>
      </c>
      <c r="N116" s="5"/>
    </row>
    <row r="117" spans="1:14" x14ac:dyDescent="0.2">
      <c r="A117" s="77">
        <f t="shared" si="28"/>
        <v>108</v>
      </c>
      <c r="B117" s="95" t="str">
        <f t="shared" si="47"/>
        <v>53E - Customer Owned</v>
      </c>
      <c r="C117" s="102" t="s">
        <v>143</v>
      </c>
      <c r="D117" s="99" t="s">
        <v>151</v>
      </c>
      <c r="E117" s="75">
        <f t="shared" si="43"/>
        <v>5.36</v>
      </c>
      <c r="F117" s="240">
        <f t="shared" si="44"/>
        <v>0.49</v>
      </c>
      <c r="G117" s="241">
        <v>0</v>
      </c>
      <c r="H117" s="74">
        <f t="shared" si="45"/>
        <v>0</v>
      </c>
      <c r="I117" s="74">
        <f t="shared" si="46"/>
        <v>0</v>
      </c>
      <c r="J117" s="5"/>
      <c r="K117" s="243"/>
      <c r="L117" s="242">
        <v>1.82</v>
      </c>
      <c r="M117" s="242">
        <v>3.54</v>
      </c>
      <c r="N117" s="5"/>
    </row>
    <row r="118" spans="1:14" x14ac:dyDescent="0.2">
      <c r="A118" s="77">
        <f t="shared" si="28"/>
        <v>109</v>
      </c>
      <c r="B118" s="95" t="str">
        <f t="shared" si="47"/>
        <v>53E - Customer Owned</v>
      </c>
      <c r="C118" s="102" t="s">
        <v>143</v>
      </c>
      <c r="D118" s="99" t="s">
        <v>150</v>
      </c>
      <c r="E118" s="75">
        <f t="shared" si="43"/>
        <v>6.07</v>
      </c>
      <c r="F118" s="240">
        <f t="shared" si="44"/>
        <v>0.56000000000000005</v>
      </c>
      <c r="G118" s="241">
        <v>24</v>
      </c>
      <c r="H118" s="74">
        <f t="shared" si="45"/>
        <v>146</v>
      </c>
      <c r="I118" s="74">
        <f t="shared" si="46"/>
        <v>13</v>
      </c>
      <c r="J118" s="5"/>
      <c r="K118" s="243"/>
      <c r="L118" s="242">
        <v>2.06</v>
      </c>
      <c r="M118" s="242">
        <v>4.01</v>
      </c>
      <c r="N118" s="5"/>
    </row>
    <row r="119" spans="1:14" x14ac:dyDescent="0.2">
      <c r="A119" s="77">
        <f t="shared" si="28"/>
        <v>110</v>
      </c>
      <c r="B119" s="95" t="str">
        <f t="shared" si="47"/>
        <v>53E - Customer Owned</v>
      </c>
      <c r="C119" s="102" t="s">
        <v>143</v>
      </c>
      <c r="D119" s="99" t="s">
        <v>149</v>
      </c>
      <c r="E119" s="75">
        <f t="shared" si="43"/>
        <v>6.78</v>
      </c>
      <c r="F119" s="240">
        <f t="shared" si="44"/>
        <v>0.62</v>
      </c>
      <c r="G119" s="241">
        <v>0</v>
      </c>
      <c r="H119" s="74">
        <f t="shared" si="45"/>
        <v>0</v>
      </c>
      <c r="I119" s="74">
        <f t="shared" si="46"/>
        <v>0</v>
      </c>
      <c r="J119" s="5"/>
      <c r="K119" s="243"/>
      <c r="L119" s="242">
        <v>2.2999999999999998</v>
      </c>
      <c r="M119" s="242">
        <v>4.4800000000000004</v>
      </c>
      <c r="N119" s="5"/>
    </row>
    <row r="120" spans="1:14" x14ac:dyDescent="0.2">
      <c r="A120" s="77">
        <f t="shared" si="28"/>
        <v>111</v>
      </c>
      <c r="B120" s="105"/>
      <c r="C120" s="102"/>
      <c r="D120" s="102"/>
      <c r="E120" s="75"/>
      <c r="F120" s="83"/>
      <c r="G120" s="241"/>
      <c r="H120" s="241"/>
      <c r="I120" s="241"/>
      <c r="J120" s="5"/>
      <c r="K120" s="243"/>
      <c r="L120" s="242"/>
      <c r="M120" s="242"/>
      <c r="N120" s="5"/>
    </row>
    <row r="121" spans="1:14" x14ac:dyDescent="0.2">
      <c r="A121" s="77">
        <f t="shared" si="28"/>
        <v>112</v>
      </c>
      <c r="B121" s="83" t="s">
        <v>166</v>
      </c>
      <c r="C121" s="83"/>
      <c r="D121" s="83"/>
      <c r="E121" s="75"/>
      <c r="F121" s="83"/>
      <c r="G121" s="241"/>
      <c r="H121" s="241"/>
      <c r="I121" s="241"/>
      <c r="J121" s="5"/>
      <c r="K121" s="243"/>
      <c r="L121" s="242"/>
      <c r="M121" s="242"/>
      <c r="N121" s="5"/>
    </row>
    <row r="122" spans="1:14" x14ac:dyDescent="0.2">
      <c r="A122" s="77">
        <f t="shared" si="28"/>
        <v>113</v>
      </c>
      <c r="B122" s="95" t="s">
        <v>165</v>
      </c>
      <c r="C122" s="102" t="s">
        <v>13</v>
      </c>
      <c r="D122" s="102">
        <v>50</v>
      </c>
      <c r="E122" s="75">
        <f t="shared" ref="E122:E130" si="48">SUM(L122:M122)</f>
        <v>1.19</v>
      </c>
      <c r="F122" s="240">
        <f t="shared" ref="F122:F130" si="49">ROUND(+E122*$J$10,2)</f>
        <v>0.11</v>
      </c>
      <c r="G122" s="241">
        <v>422</v>
      </c>
      <c r="H122" s="74">
        <f t="shared" ref="H122:H130" si="50">ROUND($G122*E122,0)</f>
        <v>502</v>
      </c>
      <c r="I122" s="74">
        <f t="shared" ref="I122:I130" si="51">ROUND($G122*F122,0)</f>
        <v>46</v>
      </c>
      <c r="J122" s="5"/>
      <c r="K122" s="243"/>
      <c r="L122" s="242">
        <v>0.4</v>
      </c>
      <c r="M122" s="242">
        <v>0.79</v>
      </c>
      <c r="N122" s="5"/>
    </row>
    <row r="123" spans="1:14" x14ac:dyDescent="0.2">
      <c r="A123" s="77">
        <f t="shared" si="28"/>
        <v>114</v>
      </c>
      <c r="B123" s="95" t="str">
        <f t="shared" ref="B123:B130" si="52">+B122</f>
        <v>54E</v>
      </c>
      <c r="C123" s="102" t="s">
        <v>13</v>
      </c>
      <c r="D123" s="102">
        <v>70</v>
      </c>
      <c r="E123" s="75">
        <f t="shared" si="48"/>
        <v>1.67</v>
      </c>
      <c r="F123" s="240">
        <f t="shared" si="49"/>
        <v>0.15</v>
      </c>
      <c r="G123" s="241">
        <v>1701</v>
      </c>
      <c r="H123" s="74">
        <f t="shared" si="50"/>
        <v>2841</v>
      </c>
      <c r="I123" s="74">
        <f t="shared" si="51"/>
        <v>255</v>
      </c>
      <c r="J123" s="5"/>
      <c r="K123" s="243"/>
      <c r="L123" s="242">
        <v>0.56999999999999995</v>
      </c>
      <c r="M123" s="242">
        <v>1.1000000000000001</v>
      </c>
      <c r="N123" s="5"/>
    </row>
    <row r="124" spans="1:14" x14ac:dyDescent="0.2">
      <c r="A124" s="77">
        <f t="shared" si="28"/>
        <v>115</v>
      </c>
      <c r="B124" s="95" t="str">
        <f t="shared" si="52"/>
        <v>54E</v>
      </c>
      <c r="C124" s="102" t="s">
        <v>13</v>
      </c>
      <c r="D124" s="102">
        <v>100</v>
      </c>
      <c r="E124" s="75">
        <f t="shared" si="48"/>
        <v>2.38</v>
      </c>
      <c r="F124" s="240">
        <f t="shared" si="49"/>
        <v>0.22</v>
      </c>
      <c r="G124" s="241">
        <v>9855</v>
      </c>
      <c r="H124" s="74">
        <f t="shared" si="50"/>
        <v>23455</v>
      </c>
      <c r="I124" s="74">
        <f t="shared" si="51"/>
        <v>2168</v>
      </c>
      <c r="J124" s="5"/>
      <c r="K124" s="243"/>
      <c r="L124" s="242">
        <v>0.81</v>
      </c>
      <c r="M124" s="242">
        <v>1.57</v>
      </c>
      <c r="N124" s="5"/>
    </row>
    <row r="125" spans="1:14" x14ac:dyDescent="0.2">
      <c r="A125" s="77">
        <f t="shared" si="28"/>
        <v>116</v>
      </c>
      <c r="B125" s="95" t="str">
        <f t="shared" si="52"/>
        <v>54E</v>
      </c>
      <c r="C125" s="102" t="s">
        <v>13</v>
      </c>
      <c r="D125" s="102">
        <v>150</v>
      </c>
      <c r="E125" s="75">
        <f t="shared" si="48"/>
        <v>3.57</v>
      </c>
      <c r="F125" s="240">
        <f t="shared" si="49"/>
        <v>0.33</v>
      </c>
      <c r="G125" s="241">
        <v>3246</v>
      </c>
      <c r="H125" s="74">
        <f t="shared" si="50"/>
        <v>11588</v>
      </c>
      <c r="I125" s="74">
        <f t="shared" si="51"/>
        <v>1071</v>
      </c>
      <c r="J125" s="5"/>
      <c r="K125" s="243"/>
      <c r="L125" s="242">
        <v>1.21</v>
      </c>
      <c r="M125" s="242">
        <v>2.36</v>
      </c>
      <c r="N125" s="5"/>
    </row>
    <row r="126" spans="1:14" x14ac:dyDescent="0.2">
      <c r="A126" s="77">
        <f t="shared" si="28"/>
        <v>117</v>
      </c>
      <c r="B126" s="95" t="str">
        <f t="shared" si="52"/>
        <v>54E</v>
      </c>
      <c r="C126" s="102" t="s">
        <v>13</v>
      </c>
      <c r="D126" s="102">
        <v>200</v>
      </c>
      <c r="E126" s="75">
        <f t="shared" si="48"/>
        <v>4.76</v>
      </c>
      <c r="F126" s="240">
        <f t="shared" si="49"/>
        <v>0.44</v>
      </c>
      <c r="G126" s="241">
        <v>3232</v>
      </c>
      <c r="H126" s="74">
        <f t="shared" si="50"/>
        <v>15384</v>
      </c>
      <c r="I126" s="74">
        <f t="shared" si="51"/>
        <v>1422</v>
      </c>
      <c r="J126" s="5"/>
      <c r="K126" s="243"/>
      <c r="L126" s="242">
        <v>1.62</v>
      </c>
      <c r="M126" s="242">
        <v>3.14</v>
      </c>
      <c r="N126" s="5"/>
    </row>
    <row r="127" spans="1:14" x14ac:dyDescent="0.2">
      <c r="A127" s="77">
        <f t="shared" si="28"/>
        <v>118</v>
      </c>
      <c r="B127" s="95" t="str">
        <f t="shared" si="52"/>
        <v>54E</v>
      </c>
      <c r="C127" s="102" t="s">
        <v>13</v>
      </c>
      <c r="D127" s="102">
        <v>250</v>
      </c>
      <c r="E127" s="75">
        <f t="shared" si="48"/>
        <v>5.95</v>
      </c>
      <c r="F127" s="240">
        <f t="shared" si="49"/>
        <v>0.55000000000000004</v>
      </c>
      <c r="G127" s="241">
        <v>3447</v>
      </c>
      <c r="H127" s="74">
        <f t="shared" si="50"/>
        <v>20510</v>
      </c>
      <c r="I127" s="74">
        <f t="shared" si="51"/>
        <v>1896</v>
      </c>
      <c r="J127" s="5"/>
      <c r="K127" s="243"/>
      <c r="L127" s="242">
        <v>2.02</v>
      </c>
      <c r="M127" s="242">
        <v>3.93</v>
      </c>
      <c r="N127" s="5"/>
    </row>
    <row r="128" spans="1:14" x14ac:dyDescent="0.2">
      <c r="A128" s="77">
        <f t="shared" si="28"/>
        <v>119</v>
      </c>
      <c r="B128" s="95" t="str">
        <f t="shared" si="52"/>
        <v>54E</v>
      </c>
      <c r="C128" s="102" t="s">
        <v>13</v>
      </c>
      <c r="D128" s="102">
        <v>310</v>
      </c>
      <c r="E128" s="75">
        <f t="shared" si="48"/>
        <v>7.37</v>
      </c>
      <c r="F128" s="240">
        <f t="shared" si="49"/>
        <v>0.68</v>
      </c>
      <c r="G128" s="241">
        <v>652</v>
      </c>
      <c r="H128" s="74">
        <f t="shared" si="50"/>
        <v>4805</v>
      </c>
      <c r="I128" s="74">
        <f t="shared" si="51"/>
        <v>443</v>
      </c>
      <c r="J128" s="5"/>
      <c r="K128" s="243"/>
      <c r="L128" s="242">
        <v>2.5</v>
      </c>
      <c r="M128" s="242">
        <v>4.87</v>
      </c>
      <c r="N128" s="5"/>
    </row>
    <row r="129" spans="1:14" x14ac:dyDescent="0.2">
      <c r="A129" s="77">
        <f t="shared" si="28"/>
        <v>120</v>
      </c>
      <c r="B129" s="95" t="str">
        <f t="shared" si="52"/>
        <v>54E</v>
      </c>
      <c r="C129" s="102" t="s">
        <v>13</v>
      </c>
      <c r="D129" s="102">
        <v>400</v>
      </c>
      <c r="E129" s="75">
        <f t="shared" si="48"/>
        <v>9.51</v>
      </c>
      <c r="F129" s="240">
        <f t="shared" si="49"/>
        <v>0.88</v>
      </c>
      <c r="G129" s="241">
        <v>6348</v>
      </c>
      <c r="H129" s="74">
        <f t="shared" si="50"/>
        <v>60369</v>
      </c>
      <c r="I129" s="74">
        <f t="shared" si="51"/>
        <v>5586</v>
      </c>
      <c r="J129" s="5"/>
      <c r="K129" s="243"/>
      <c r="L129" s="242">
        <v>3.23</v>
      </c>
      <c r="M129" s="242">
        <v>6.28</v>
      </c>
      <c r="N129" s="5"/>
    </row>
    <row r="130" spans="1:14" x14ac:dyDescent="0.2">
      <c r="A130" s="77">
        <f t="shared" si="28"/>
        <v>121</v>
      </c>
      <c r="B130" s="95" t="str">
        <f t="shared" si="52"/>
        <v>54E</v>
      </c>
      <c r="C130" s="102" t="s">
        <v>13</v>
      </c>
      <c r="D130" s="102">
        <v>1000</v>
      </c>
      <c r="E130" s="75">
        <f t="shared" si="48"/>
        <v>23.79</v>
      </c>
      <c r="F130" s="240">
        <f t="shared" si="49"/>
        <v>2.19</v>
      </c>
      <c r="G130" s="241">
        <v>0</v>
      </c>
      <c r="H130" s="74">
        <f t="shared" si="50"/>
        <v>0</v>
      </c>
      <c r="I130" s="74">
        <f t="shared" si="51"/>
        <v>0</v>
      </c>
      <c r="J130" s="5"/>
      <c r="K130" s="243"/>
      <c r="L130" s="242">
        <v>8.08</v>
      </c>
      <c r="M130" s="242">
        <v>15.71</v>
      </c>
      <c r="N130" s="5"/>
    </row>
    <row r="131" spans="1:14" x14ac:dyDescent="0.2">
      <c r="A131" s="77">
        <f t="shared" si="28"/>
        <v>122</v>
      </c>
      <c r="B131" s="105"/>
      <c r="C131" s="102"/>
      <c r="D131" s="102"/>
      <c r="E131" s="75"/>
      <c r="F131" s="83"/>
      <c r="G131" s="241"/>
      <c r="H131" s="241"/>
      <c r="I131" s="241"/>
      <c r="J131" s="5"/>
      <c r="K131" s="243"/>
      <c r="L131" s="242"/>
      <c r="M131" s="242"/>
      <c r="N131" s="5"/>
    </row>
    <row r="132" spans="1:14" x14ac:dyDescent="0.2">
      <c r="A132" s="77">
        <f t="shared" si="28"/>
        <v>123</v>
      </c>
      <c r="B132" s="95" t="str">
        <f>+B130</f>
        <v>54E</v>
      </c>
      <c r="C132" s="102" t="s">
        <v>143</v>
      </c>
      <c r="D132" s="99" t="s">
        <v>157</v>
      </c>
      <c r="E132" s="75">
        <f t="shared" ref="E132:E140" si="53">SUM(L132:M132)</f>
        <v>1.0699999999999998</v>
      </c>
      <c r="F132" s="240">
        <f t="shared" ref="F132:F140" si="54">ROUND(+E132*$J$10,2)</f>
        <v>0.1</v>
      </c>
      <c r="G132" s="241">
        <v>30636</v>
      </c>
      <c r="H132" s="74">
        <f t="shared" ref="H132:H140" si="55">ROUND($G132*E132,0)</f>
        <v>32781</v>
      </c>
      <c r="I132" s="74">
        <f t="shared" ref="I132:I140" si="56">ROUND($G132*F132,0)</f>
        <v>3064</v>
      </c>
      <c r="J132" s="5"/>
      <c r="K132" s="243"/>
      <c r="L132" s="242">
        <v>0.36</v>
      </c>
      <c r="M132" s="242">
        <v>0.71</v>
      </c>
      <c r="N132" s="5"/>
    </row>
    <row r="133" spans="1:14" x14ac:dyDescent="0.2">
      <c r="A133" s="77">
        <f t="shared" si="28"/>
        <v>124</v>
      </c>
      <c r="B133" s="95" t="str">
        <f t="shared" ref="B133:B140" si="57">+B132</f>
        <v>54E</v>
      </c>
      <c r="C133" s="102" t="s">
        <v>143</v>
      </c>
      <c r="D133" s="99" t="s">
        <v>156</v>
      </c>
      <c r="E133" s="75">
        <f t="shared" si="53"/>
        <v>1.79</v>
      </c>
      <c r="F133" s="240">
        <f t="shared" si="54"/>
        <v>0.16</v>
      </c>
      <c r="G133" s="241">
        <v>2071</v>
      </c>
      <c r="H133" s="74">
        <f t="shared" si="55"/>
        <v>3707</v>
      </c>
      <c r="I133" s="74">
        <f t="shared" si="56"/>
        <v>331</v>
      </c>
      <c r="J133" s="5"/>
      <c r="K133" s="243"/>
      <c r="L133" s="242">
        <v>0.61</v>
      </c>
      <c r="M133" s="242">
        <v>1.18</v>
      </c>
      <c r="N133" s="5"/>
    </row>
    <row r="134" spans="1:14" x14ac:dyDescent="0.2">
      <c r="A134" s="77">
        <f t="shared" si="28"/>
        <v>125</v>
      </c>
      <c r="B134" s="95" t="str">
        <f t="shared" si="57"/>
        <v>54E</v>
      </c>
      <c r="C134" s="102" t="s">
        <v>143</v>
      </c>
      <c r="D134" s="99" t="s">
        <v>155</v>
      </c>
      <c r="E134" s="75">
        <f t="shared" si="53"/>
        <v>2.5</v>
      </c>
      <c r="F134" s="240">
        <f t="shared" si="54"/>
        <v>0.23</v>
      </c>
      <c r="G134" s="241">
        <v>32659</v>
      </c>
      <c r="H134" s="74">
        <f t="shared" si="55"/>
        <v>81648</v>
      </c>
      <c r="I134" s="74">
        <f t="shared" si="56"/>
        <v>7512</v>
      </c>
      <c r="J134" s="5"/>
      <c r="K134" s="243"/>
      <c r="L134" s="242">
        <v>0.85</v>
      </c>
      <c r="M134" s="242">
        <v>1.65</v>
      </c>
      <c r="N134" s="5"/>
    </row>
    <row r="135" spans="1:14" x14ac:dyDescent="0.2">
      <c r="A135" s="77">
        <f t="shared" si="28"/>
        <v>126</v>
      </c>
      <c r="B135" s="95" t="str">
        <f t="shared" si="57"/>
        <v>54E</v>
      </c>
      <c r="C135" s="102" t="s">
        <v>143</v>
      </c>
      <c r="D135" s="99" t="s">
        <v>154</v>
      </c>
      <c r="E135" s="75">
        <f t="shared" si="53"/>
        <v>3.21</v>
      </c>
      <c r="F135" s="240">
        <f t="shared" si="54"/>
        <v>0.3</v>
      </c>
      <c r="G135" s="241">
        <v>11690</v>
      </c>
      <c r="H135" s="74">
        <f t="shared" si="55"/>
        <v>37525</v>
      </c>
      <c r="I135" s="74">
        <f t="shared" si="56"/>
        <v>3507</v>
      </c>
      <c r="J135" s="5"/>
      <c r="K135" s="243"/>
      <c r="L135" s="242">
        <v>1.0900000000000001</v>
      </c>
      <c r="M135" s="242">
        <v>2.12</v>
      </c>
      <c r="N135" s="5"/>
    </row>
    <row r="136" spans="1:14" x14ac:dyDescent="0.2">
      <c r="A136" s="77">
        <f t="shared" si="28"/>
        <v>127</v>
      </c>
      <c r="B136" s="95" t="str">
        <f t="shared" si="57"/>
        <v>54E</v>
      </c>
      <c r="C136" s="102" t="s">
        <v>143</v>
      </c>
      <c r="D136" s="99" t="s">
        <v>153</v>
      </c>
      <c r="E136" s="75">
        <f t="shared" si="53"/>
        <v>3.92</v>
      </c>
      <c r="F136" s="240">
        <f t="shared" si="54"/>
        <v>0.36</v>
      </c>
      <c r="G136" s="241">
        <v>5231</v>
      </c>
      <c r="H136" s="74">
        <f t="shared" si="55"/>
        <v>20506</v>
      </c>
      <c r="I136" s="74">
        <f t="shared" si="56"/>
        <v>1883</v>
      </c>
      <c r="J136" s="5"/>
      <c r="K136" s="243"/>
      <c r="L136" s="242">
        <v>1.33</v>
      </c>
      <c r="M136" s="242">
        <v>2.59</v>
      </c>
      <c r="N136" s="5"/>
    </row>
    <row r="137" spans="1:14" x14ac:dyDescent="0.2">
      <c r="A137" s="77">
        <f t="shared" si="28"/>
        <v>128</v>
      </c>
      <c r="B137" s="95" t="str">
        <f t="shared" si="57"/>
        <v>54E</v>
      </c>
      <c r="C137" s="102" t="s">
        <v>143</v>
      </c>
      <c r="D137" s="99" t="s">
        <v>152</v>
      </c>
      <c r="E137" s="75">
        <f t="shared" si="53"/>
        <v>4.6400000000000006</v>
      </c>
      <c r="F137" s="240">
        <f t="shared" si="54"/>
        <v>0.43</v>
      </c>
      <c r="G137" s="241">
        <v>1313</v>
      </c>
      <c r="H137" s="74">
        <f t="shared" si="55"/>
        <v>6092</v>
      </c>
      <c r="I137" s="74">
        <f t="shared" si="56"/>
        <v>565</v>
      </c>
      <c r="J137" s="5"/>
      <c r="K137" s="243"/>
      <c r="L137" s="242">
        <v>1.58</v>
      </c>
      <c r="M137" s="242">
        <v>3.06</v>
      </c>
      <c r="N137" s="5"/>
    </row>
    <row r="138" spans="1:14" x14ac:dyDescent="0.2">
      <c r="A138" s="77">
        <f t="shared" si="28"/>
        <v>129</v>
      </c>
      <c r="B138" s="95" t="str">
        <f t="shared" si="57"/>
        <v>54E</v>
      </c>
      <c r="C138" s="102" t="s">
        <v>143</v>
      </c>
      <c r="D138" s="99" t="s">
        <v>151</v>
      </c>
      <c r="E138" s="75">
        <f t="shared" si="53"/>
        <v>5.36</v>
      </c>
      <c r="F138" s="240">
        <f t="shared" si="54"/>
        <v>0.49</v>
      </c>
      <c r="G138" s="241">
        <v>468</v>
      </c>
      <c r="H138" s="74">
        <f t="shared" si="55"/>
        <v>2508</v>
      </c>
      <c r="I138" s="74">
        <f t="shared" si="56"/>
        <v>229</v>
      </c>
      <c r="J138" s="5"/>
      <c r="K138" s="243"/>
      <c r="L138" s="242">
        <v>1.82</v>
      </c>
      <c r="M138" s="242">
        <v>3.54</v>
      </c>
      <c r="N138" s="5"/>
    </row>
    <row r="139" spans="1:14" x14ac:dyDescent="0.2">
      <c r="A139" s="77">
        <f t="shared" si="28"/>
        <v>130</v>
      </c>
      <c r="B139" s="95" t="str">
        <f t="shared" si="57"/>
        <v>54E</v>
      </c>
      <c r="C139" s="102" t="s">
        <v>143</v>
      </c>
      <c r="D139" s="99" t="s">
        <v>150</v>
      </c>
      <c r="E139" s="75">
        <f t="shared" si="53"/>
        <v>6.07</v>
      </c>
      <c r="F139" s="240">
        <f t="shared" si="54"/>
        <v>0.56000000000000005</v>
      </c>
      <c r="G139" s="241">
        <v>42</v>
      </c>
      <c r="H139" s="74">
        <f t="shared" si="55"/>
        <v>255</v>
      </c>
      <c r="I139" s="74">
        <f t="shared" si="56"/>
        <v>24</v>
      </c>
      <c r="J139" s="5"/>
      <c r="K139" s="243"/>
      <c r="L139" s="242">
        <v>2.06</v>
      </c>
      <c r="M139" s="242">
        <v>4.01</v>
      </c>
      <c r="N139" s="5"/>
    </row>
    <row r="140" spans="1:14" x14ac:dyDescent="0.2">
      <c r="A140" s="77">
        <f t="shared" si="28"/>
        <v>131</v>
      </c>
      <c r="B140" s="95" t="str">
        <f t="shared" si="57"/>
        <v>54E</v>
      </c>
      <c r="C140" s="102" t="s">
        <v>143</v>
      </c>
      <c r="D140" s="99" t="s">
        <v>149</v>
      </c>
      <c r="E140" s="75">
        <f t="shared" si="53"/>
        <v>6.78</v>
      </c>
      <c r="F140" s="240">
        <f t="shared" si="54"/>
        <v>0.62</v>
      </c>
      <c r="G140" s="241">
        <v>0</v>
      </c>
      <c r="H140" s="74">
        <f t="shared" si="55"/>
        <v>0</v>
      </c>
      <c r="I140" s="74">
        <f t="shared" si="56"/>
        <v>0</v>
      </c>
      <c r="J140" s="5"/>
      <c r="K140" s="243"/>
      <c r="L140" s="242">
        <v>2.2999999999999998</v>
      </c>
      <c r="M140" s="242">
        <v>4.4800000000000004</v>
      </c>
      <c r="N140" s="5"/>
    </row>
    <row r="141" spans="1:14" x14ac:dyDescent="0.2">
      <c r="A141" s="77">
        <f t="shared" si="28"/>
        <v>132</v>
      </c>
      <c r="B141" s="105"/>
      <c r="C141" s="102"/>
      <c r="D141" s="102"/>
      <c r="E141" s="75"/>
      <c r="F141" s="83"/>
      <c r="G141" s="241"/>
      <c r="H141" s="241"/>
      <c r="I141" s="241"/>
      <c r="J141" s="5"/>
      <c r="K141" s="243"/>
      <c r="L141" s="242"/>
      <c r="M141" s="242"/>
      <c r="N141" s="5"/>
    </row>
    <row r="142" spans="1:14" x14ac:dyDescent="0.2">
      <c r="A142" s="77">
        <f t="shared" ref="A142:A201" si="58">+A141+1</f>
        <v>133</v>
      </c>
      <c r="B142" s="83" t="s">
        <v>164</v>
      </c>
      <c r="C142" s="102"/>
      <c r="D142" s="102"/>
      <c r="E142" s="75"/>
      <c r="F142" s="83"/>
      <c r="G142" s="241"/>
      <c r="H142" s="241"/>
      <c r="I142" s="241"/>
      <c r="J142" s="5"/>
      <c r="K142" s="243"/>
      <c r="L142" s="242"/>
      <c r="M142" s="242"/>
      <c r="N142" s="5"/>
    </row>
    <row r="143" spans="1:14" x14ac:dyDescent="0.2">
      <c r="A143" s="77">
        <f t="shared" si="58"/>
        <v>134</v>
      </c>
      <c r="B143" s="95" t="s">
        <v>163</v>
      </c>
      <c r="C143" s="102" t="s">
        <v>13</v>
      </c>
      <c r="D143" s="102">
        <v>70</v>
      </c>
      <c r="E143" s="75">
        <f t="shared" ref="E143:E148" si="59">SUM(L143:M143)</f>
        <v>1.6800000000000002</v>
      </c>
      <c r="F143" s="240">
        <f t="shared" ref="F143:F148" si="60">ROUND(+E143*$J$10,2)</f>
        <v>0.15</v>
      </c>
      <c r="G143" s="241">
        <v>176</v>
      </c>
      <c r="H143" s="74">
        <f t="shared" ref="H143:H148" si="61">ROUND($G143*E143,0)</f>
        <v>296</v>
      </c>
      <c r="I143" s="74">
        <f t="shared" ref="I143:I148" si="62">ROUND($G143*F143,0)</f>
        <v>26</v>
      </c>
      <c r="J143" s="5"/>
      <c r="K143" s="243"/>
      <c r="L143" s="242">
        <v>0.57999999999999996</v>
      </c>
      <c r="M143" s="242">
        <v>1.1000000000000001</v>
      </c>
      <c r="N143" s="5"/>
    </row>
    <row r="144" spans="1:14" x14ac:dyDescent="0.2">
      <c r="A144" s="77">
        <f t="shared" si="58"/>
        <v>135</v>
      </c>
      <c r="B144" s="105" t="str">
        <f>+B143</f>
        <v>55E &amp; 56E</v>
      </c>
      <c r="C144" s="102" t="s">
        <v>13</v>
      </c>
      <c r="D144" s="102">
        <v>100</v>
      </c>
      <c r="E144" s="75">
        <f t="shared" si="59"/>
        <v>2.4</v>
      </c>
      <c r="F144" s="240">
        <f t="shared" si="60"/>
        <v>0.22</v>
      </c>
      <c r="G144" s="241">
        <v>40200</v>
      </c>
      <c r="H144" s="74">
        <f t="shared" si="61"/>
        <v>96480</v>
      </c>
      <c r="I144" s="74">
        <f t="shared" si="62"/>
        <v>8844</v>
      </c>
      <c r="J144" s="5"/>
      <c r="K144" s="243"/>
      <c r="L144" s="242">
        <v>0.83</v>
      </c>
      <c r="M144" s="242">
        <v>1.57</v>
      </c>
      <c r="N144" s="5"/>
    </row>
    <row r="145" spans="1:14" x14ac:dyDescent="0.2">
      <c r="A145" s="77">
        <f t="shared" si="58"/>
        <v>136</v>
      </c>
      <c r="B145" s="105" t="str">
        <f>+B144</f>
        <v>55E &amp; 56E</v>
      </c>
      <c r="C145" s="102" t="s">
        <v>13</v>
      </c>
      <c r="D145" s="102">
        <v>150</v>
      </c>
      <c r="E145" s="75">
        <f t="shared" si="59"/>
        <v>3.5999999999999996</v>
      </c>
      <c r="F145" s="240">
        <f t="shared" si="60"/>
        <v>0.33</v>
      </c>
      <c r="G145" s="241">
        <v>5419</v>
      </c>
      <c r="H145" s="74">
        <f t="shared" si="61"/>
        <v>19508</v>
      </c>
      <c r="I145" s="74">
        <f t="shared" si="62"/>
        <v>1788</v>
      </c>
      <c r="J145" s="5"/>
      <c r="K145" s="243"/>
      <c r="L145" s="242">
        <v>1.24</v>
      </c>
      <c r="M145" s="242">
        <v>2.36</v>
      </c>
      <c r="N145" s="5"/>
    </row>
    <row r="146" spans="1:14" x14ac:dyDescent="0.2">
      <c r="A146" s="77">
        <f t="shared" si="58"/>
        <v>137</v>
      </c>
      <c r="B146" s="105" t="str">
        <f>+B145</f>
        <v>55E &amp; 56E</v>
      </c>
      <c r="C146" s="102" t="s">
        <v>13</v>
      </c>
      <c r="D146" s="102">
        <v>200</v>
      </c>
      <c r="E146" s="75">
        <f t="shared" si="59"/>
        <v>4.79</v>
      </c>
      <c r="F146" s="240">
        <f t="shared" si="60"/>
        <v>0.44</v>
      </c>
      <c r="G146" s="241">
        <v>11437</v>
      </c>
      <c r="H146" s="74">
        <f t="shared" si="61"/>
        <v>54783</v>
      </c>
      <c r="I146" s="74">
        <f t="shared" si="62"/>
        <v>5032</v>
      </c>
      <c r="J146" s="5"/>
      <c r="K146" s="243"/>
      <c r="L146" s="242">
        <v>1.65</v>
      </c>
      <c r="M146" s="242">
        <v>3.14</v>
      </c>
      <c r="N146" s="5"/>
    </row>
    <row r="147" spans="1:14" x14ac:dyDescent="0.2">
      <c r="A147" s="77">
        <f t="shared" si="58"/>
        <v>138</v>
      </c>
      <c r="B147" s="105" t="str">
        <f>+B146</f>
        <v>55E &amp; 56E</v>
      </c>
      <c r="C147" s="102" t="s">
        <v>13</v>
      </c>
      <c r="D147" s="102">
        <v>250</v>
      </c>
      <c r="E147" s="75">
        <f t="shared" si="59"/>
        <v>6</v>
      </c>
      <c r="F147" s="240">
        <f t="shared" si="60"/>
        <v>0.55000000000000004</v>
      </c>
      <c r="G147" s="241">
        <v>1266</v>
      </c>
      <c r="H147" s="74">
        <f t="shared" si="61"/>
        <v>7596</v>
      </c>
      <c r="I147" s="74">
        <f t="shared" si="62"/>
        <v>696</v>
      </c>
      <c r="J147" s="5"/>
      <c r="K147" s="243"/>
      <c r="L147" s="242">
        <v>2.0699999999999998</v>
      </c>
      <c r="M147" s="242">
        <v>3.93</v>
      </c>
      <c r="N147" s="5"/>
    </row>
    <row r="148" spans="1:14" x14ac:dyDescent="0.2">
      <c r="A148" s="77">
        <f t="shared" si="58"/>
        <v>139</v>
      </c>
      <c r="B148" s="105" t="str">
        <f>+B147</f>
        <v>55E &amp; 56E</v>
      </c>
      <c r="C148" s="102" t="s">
        <v>13</v>
      </c>
      <c r="D148" s="102">
        <v>400</v>
      </c>
      <c r="E148" s="75">
        <f t="shared" si="59"/>
        <v>9.59</v>
      </c>
      <c r="F148" s="240">
        <f t="shared" si="60"/>
        <v>0.88</v>
      </c>
      <c r="G148" s="241">
        <v>508</v>
      </c>
      <c r="H148" s="74">
        <f t="shared" si="61"/>
        <v>4872</v>
      </c>
      <c r="I148" s="74">
        <f t="shared" si="62"/>
        <v>447</v>
      </c>
      <c r="J148" s="5"/>
      <c r="K148" s="243"/>
      <c r="L148" s="242">
        <v>3.31</v>
      </c>
      <c r="M148" s="242">
        <v>6.28</v>
      </c>
      <c r="N148" s="5"/>
    </row>
    <row r="149" spans="1:14" x14ac:dyDescent="0.2">
      <c r="A149" s="77">
        <f t="shared" si="58"/>
        <v>140</v>
      </c>
      <c r="B149" s="105"/>
      <c r="C149" s="102"/>
      <c r="D149" s="102"/>
      <c r="E149" s="75"/>
      <c r="F149" s="83"/>
      <c r="G149" s="241"/>
      <c r="H149" s="241"/>
      <c r="I149" s="241"/>
      <c r="J149" s="5"/>
      <c r="K149" s="243"/>
      <c r="L149" s="242"/>
      <c r="M149" s="242"/>
      <c r="N149" s="5"/>
    </row>
    <row r="150" spans="1:14" x14ac:dyDescent="0.2">
      <c r="A150" s="77">
        <f t="shared" si="58"/>
        <v>141</v>
      </c>
      <c r="B150" s="105" t="str">
        <f>+B148</f>
        <v>55E &amp; 56E</v>
      </c>
      <c r="C150" s="102" t="s">
        <v>159</v>
      </c>
      <c r="D150" s="102">
        <v>250</v>
      </c>
      <c r="E150" s="75">
        <f>SUM(L150:M150)</f>
        <v>6</v>
      </c>
      <c r="F150" s="240">
        <f>ROUND(+E150*$J$10,2)</f>
        <v>0.55000000000000004</v>
      </c>
      <c r="G150" s="241">
        <v>69</v>
      </c>
      <c r="H150" s="74">
        <f>ROUND($G150*E150,0)</f>
        <v>414</v>
      </c>
      <c r="I150" s="74">
        <f>ROUND($G150*F150,0)</f>
        <v>38</v>
      </c>
      <c r="J150" s="5"/>
      <c r="K150" s="243"/>
      <c r="L150" s="242">
        <v>2.0699999999999998</v>
      </c>
      <c r="M150" s="242">
        <v>3.93</v>
      </c>
      <c r="N150" s="5"/>
    </row>
    <row r="151" spans="1:14" x14ac:dyDescent="0.2">
      <c r="A151" s="77">
        <f t="shared" si="58"/>
        <v>142</v>
      </c>
      <c r="B151" s="105"/>
      <c r="C151" s="102"/>
      <c r="D151" s="102"/>
      <c r="E151" s="75"/>
      <c r="F151" s="83"/>
      <c r="G151" s="241"/>
      <c r="H151" s="241"/>
      <c r="I151" s="241"/>
      <c r="J151" s="5"/>
      <c r="K151" s="243"/>
      <c r="L151" s="242"/>
      <c r="M151" s="242"/>
      <c r="N151" s="5"/>
    </row>
    <row r="152" spans="1:14" x14ac:dyDescent="0.2">
      <c r="A152" s="77">
        <f t="shared" si="58"/>
        <v>143</v>
      </c>
      <c r="B152" s="105" t="s">
        <v>163</v>
      </c>
      <c r="C152" s="102" t="s">
        <v>143</v>
      </c>
      <c r="D152" s="99" t="s">
        <v>157</v>
      </c>
      <c r="E152" s="75">
        <f t="shared" ref="E152:E160" si="63">SUM(L152:M152)</f>
        <v>1.08</v>
      </c>
      <c r="F152" s="240">
        <f t="shared" ref="F152:F160" si="64">ROUND(+E152*$J$10,2)</f>
        <v>0.1</v>
      </c>
      <c r="G152" s="241">
        <v>8202</v>
      </c>
      <c r="H152" s="74">
        <f t="shared" ref="H152:H160" si="65">ROUND($G152*E152,0)</f>
        <v>8858</v>
      </c>
      <c r="I152" s="74">
        <f t="shared" ref="I152:I160" si="66">ROUND($G152*F152,0)</f>
        <v>820</v>
      </c>
      <c r="J152" s="5"/>
      <c r="K152" s="243"/>
      <c r="L152" s="242">
        <v>0.37</v>
      </c>
      <c r="M152" s="242">
        <v>0.71</v>
      </c>
      <c r="N152" s="5"/>
    </row>
    <row r="153" spans="1:14" x14ac:dyDescent="0.2">
      <c r="A153" s="77">
        <f t="shared" si="58"/>
        <v>144</v>
      </c>
      <c r="B153" s="105" t="s">
        <v>163</v>
      </c>
      <c r="C153" s="102" t="s">
        <v>143</v>
      </c>
      <c r="D153" s="99" t="s">
        <v>156</v>
      </c>
      <c r="E153" s="75">
        <f t="shared" si="63"/>
        <v>1.7999999999999998</v>
      </c>
      <c r="F153" s="240">
        <f t="shared" si="64"/>
        <v>0.17</v>
      </c>
      <c r="G153" s="241">
        <v>195</v>
      </c>
      <c r="H153" s="74">
        <f t="shared" si="65"/>
        <v>351</v>
      </c>
      <c r="I153" s="74">
        <f t="shared" si="66"/>
        <v>33</v>
      </c>
      <c r="J153" s="5"/>
      <c r="K153" s="243"/>
      <c r="L153" s="242">
        <v>0.62</v>
      </c>
      <c r="M153" s="242">
        <v>1.18</v>
      </c>
      <c r="N153" s="5"/>
    </row>
    <row r="154" spans="1:14" x14ac:dyDescent="0.2">
      <c r="A154" s="77">
        <f t="shared" si="58"/>
        <v>145</v>
      </c>
      <c r="B154" s="105" t="s">
        <v>163</v>
      </c>
      <c r="C154" s="102" t="s">
        <v>143</v>
      </c>
      <c r="D154" s="99" t="s">
        <v>155</v>
      </c>
      <c r="E154" s="75">
        <f t="shared" si="63"/>
        <v>2.52</v>
      </c>
      <c r="F154" s="240">
        <f t="shared" si="64"/>
        <v>0.23</v>
      </c>
      <c r="G154" s="241">
        <v>1719</v>
      </c>
      <c r="H154" s="74">
        <f t="shared" si="65"/>
        <v>4332</v>
      </c>
      <c r="I154" s="74">
        <f t="shared" si="66"/>
        <v>395</v>
      </c>
      <c r="J154" s="5"/>
      <c r="K154" s="243"/>
      <c r="L154" s="242">
        <v>0.87</v>
      </c>
      <c r="M154" s="242">
        <v>1.65</v>
      </c>
      <c r="N154" s="5"/>
    </row>
    <row r="155" spans="1:14" x14ac:dyDescent="0.2">
      <c r="A155" s="77">
        <f t="shared" si="58"/>
        <v>146</v>
      </c>
      <c r="B155" s="105" t="s">
        <v>163</v>
      </c>
      <c r="C155" s="102" t="s">
        <v>143</v>
      </c>
      <c r="D155" s="99" t="s">
        <v>154</v>
      </c>
      <c r="E155" s="75">
        <f t="shared" si="63"/>
        <v>3.24</v>
      </c>
      <c r="F155" s="240">
        <f t="shared" si="64"/>
        <v>0.3</v>
      </c>
      <c r="G155" s="241">
        <v>0</v>
      </c>
      <c r="H155" s="74">
        <f t="shared" si="65"/>
        <v>0</v>
      </c>
      <c r="I155" s="74">
        <f t="shared" si="66"/>
        <v>0</v>
      </c>
      <c r="J155" s="5"/>
      <c r="K155" s="243"/>
      <c r="L155" s="242">
        <v>1.1200000000000001</v>
      </c>
      <c r="M155" s="242">
        <v>2.12</v>
      </c>
      <c r="N155" s="5"/>
    </row>
    <row r="156" spans="1:14" x14ac:dyDescent="0.2">
      <c r="A156" s="77">
        <f t="shared" si="58"/>
        <v>147</v>
      </c>
      <c r="B156" s="105" t="s">
        <v>163</v>
      </c>
      <c r="C156" s="102" t="s">
        <v>143</v>
      </c>
      <c r="D156" s="99" t="s">
        <v>153</v>
      </c>
      <c r="E156" s="75">
        <f t="shared" si="63"/>
        <v>3.95</v>
      </c>
      <c r="F156" s="240">
        <f t="shared" si="64"/>
        <v>0.36</v>
      </c>
      <c r="G156" s="241">
        <v>0</v>
      </c>
      <c r="H156" s="74">
        <f t="shared" si="65"/>
        <v>0</v>
      </c>
      <c r="I156" s="74">
        <f t="shared" si="66"/>
        <v>0</v>
      </c>
      <c r="J156" s="5"/>
      <c r="K156" s="243"/>
      <c r="L156" s="242">
        <v>1.36</v>
      </c>
      <c r="M156" s="242">
        <v>2.59</v>
      </c>
      <c r="N156" s="5"/>
    </row>
    <row r="157" spans="1:14" x14ac:dyDescent="0.2">
      <c r="A157" s="77">
        <f t="shared" si="58"/>
        <v>148</v>
      </c>
      <c r="B157" s="105" t="s">
        <v>163</v>
      </c>
      <c r="C157" s="102" t="s">
        <v>143</v>
      </c>
      <c r="D157" s="99" t="s">
        <v>152</v>
      </c>
      <c r="E157" s="75">
        <f t="shared" si="63"/>
        <v>4.67</v>
      </c>
      <c r="F157" s="240">
        <f t="shared" si="64"/>
        <v>0.43</v>
      </c>
      <c r="G157" s="241">
        <v>0</v>
      </c>
      <c r="H157" s="74">
        <f t="shared" si="65"/>
        <v>0</v>
      </c>
      <c r="I157" s="74">
        <f t="shared" si="66"/>
        <v>0</v>
      </c>
      <c r="J157" s="5"/>
      <c r="K157" s="243"/>
      <c r="L157" s="242">
        <v>1.61</v>
      </c>
      <c r="M157" s="242">
        <v>3.06</v>
      </c>
      <c r="N157" s="5"/>
    </row>
    <row r="158" spans="1:14" x14ac:dyDescent="0.2">
      <c r="A158" s="77">
        <f t="shared" si="58"/>
        <v>149</v>
      </c>
      <c r="B158" s="105" t="s">
        <v>163</v>
      </c>
      <c r="C158" s="102" t="s">
        <v>143</v>
      </c>
      <c r="D158" s="99" t="s">
        <v>151</v>
      </c>
      <c r="E158" s="75">
        <f t="shared" si="63"/>
        <v>5.4</v>
      </c>
      <c r="F158" s="240">
        <f t="shared" si="64"/>
        <v>0.5</v>
      </c>
      <c r="G158" s="241">
        <v>0</v>
      </c>
      <c r="H158" s="74">
        <f t="shared" si="65"/>
        <v>0</v>
      </c>
      <c r="I158" s="74">
        <f t="shared" si="66"/>
        <v>0</v>
      </c>
      <c r="J158" s="5"/>
      <c r="K158" s="243"/>
      <c r="L158" s="242">
        <v>1.86</v>
      </c>
      <c r="M158" s="242">
        <v>3.54</v>
      </c>
      <c r="N158" s="5"/>
    </row>
    <row r="159" spans="1:14" x14ac:dyDescent="0.2">
      <c r="A159" s="77">
        <f t="shared" si="58"/>
        <v>150</v>
      </c>
      <c r="B159" s="105" t="s">
        <v>163</v>
      </c>
      <c r="C159" s="102" t="s">
        <v>143</v>
      </c>
      <c r="D159" s="99" t="s">
        <v>150</v>
      </c>
      <c r="E159" s="75">
        <f t="shared" si="63"/>
        <v>6.1199999999999992</v>
      </c>
      <c r="F159" s="240">
        <f t="shared" si="64"/>
        <v>0.56000000000000005</v>
      </c>
      <c r="G159" s="241">
        <v>0</v>
      </c>
      <c r="H159" s="74">
        <f t="shared" si="65"/>
        <v>0</v>
      </c>
      <c r="I159" s="74">
        <f t="shared" si="66"/>
        <v>0</v>
      </c>
      <c r="J159" s="5"/>
      <c r="K159" s="243"/>
      <c r="L159" s="242">
        <v>2.11</v>
      </c>
      <c r="M159" s="242">
        <v>4.01</v>
      </c>
      <c r="N159" s="5"/>
    </row>
    <row r="160" spans="1:14" x14ac:dyDescent="0.2">
      <c r="A160" s="77">
        <f t="shared" si="58"/>
        <v>151</v>
      </c>
      <c r="B160" s="105" t="s">
        <v>163</v>
      </c>
      <c r="C160" s="102" t="s">
        <v>143</v>
      </c>
      <c r="D160" s="99" t="s">
        <v>149</v>
      </c>
      <c r="E160" s="75">
        <f t="shared" si="63"/>
        <v>6.84</v>
      </c>
      <c r="F160" s="240">
        <f t="shared" si="64"/>
        <v>0.63</v>
      </c>
      <c r="G160" s="241">
        <v>0</v>
      </c>
      <c r="H160" s="74">
        <f t="shared" si="65"/>
        <v>0</v>
      </c>
      <c r="I160" s="74">
        <f t="shared" si="66"/>
        <v>0</v>
      </c>
      <c r="J160" s="5"/>
      <c r="K160" s="243"/>
      <c r="L160" s="242">
        <v>2.36</v>
      </c>
      <c r="M160" s="242">
        <v>4.4800000000000004</v>
      </c>
      <c r="N160" s="5"/>
    </row>
    <row r="161" spans="1:14" x14ac:dyDescent="0.2">
      <c r="A161" s="77">
        <f t="shared" si="58"/>
        <v>152</v>
      </c>
      <c r="B161" s="105"/>
      <c r="C161" s="102"/>
      <c r="D161" s="102"/>
      <c r="E161" s="75"/>
      <c r="F161" s="83"/>
      <c r="G161" s="241"/>
      <c r="H161" s="241"/>
      <c r="I161" s="241"/>
      <c r="J161" s="5"/>
      <c r="K161" s="243"/>
      <c r="L161" s="242"/>
      <c r="M161" s="242"/>
      <c r="N161" s="5"/>
    </row>
    <row r="162" spans="1:14" x14ac:dyDescent="0.2">
      <c r="A162" s="77">
        <f t="shared" si="58"/>
        <v>153</v>
      </c>
      <c r="B162" s="83" t="s">
        <v>141</v>
      </c>
      <c r="C162" s="102"/>
      <c r="D162" s="102"/>
      <c r="E162" s="75"/>
      <c r="F162" s="83"/>
      <c r="G162" s="241"/>
      <c r="H162" s="241"/>
      <c r="I162" s="241"/>
      <c r="J162" s="5"/>
      <c r="K162" s="243"/>
      <c r="L162" s="242"/>
      <c r="M162" s="242"/>
      <c r="N162" s="5"/>
    </row>
    <row r="163" spans="1:14" x14ac:dyDescent="0.2">
      <c r="A163" s="77">
        <f t="shared" si="58"/>
        <v>154</v>
      </c>
      <c r="B163" s="105" t="s">
        <v>140</v>
      </c>
      <c r="C163" s="102" t="s">
        <v>139</v>
      </c>
      <c r="D163" s="102">
        <v>0</v>
      </c>
      <c r="E163" s="106">
        <f>SUM(L163:M163)</f>
        <v>4.0503031935840726E-2</v>
      </c>
      <c r="F163" s="244">
        <f>ROUND(+E163*$J$10,5)</f>
        <v>3.7299999999999998E-3</v>
      </c>
      <c r="G163" s="241">
        <v>9196291</v>
      </c>
      <c r="H163" s="74">
        <f>ROUND($G163*E163,0)</f>
        <v>372478</v>
      </c>
      <c r="I163" s="74">
        <f>ROUND($G163*F163,0)</f>
        <v>34302</v>
      </c>
      <c r="J163" s="5"/>
      <c r="K163" s="243"/>
      <c r="L163" s="245">
        <v>7.7314432705327864E-3</v>
      </c>
      <c r="M163" s="245">
        <v>3.2771588665307938E-2</v>
      </c>
      <c r="N163" s="5"/>
    </row>
    <row r="164" spans="1:14" x14ac:dyDescent="0.2">
      <c r="A164" s="77">
        <f t="shared" si="58"/>
        <v>155</v>
      </c>
      <c r="B164" s="105"/>
      <c r="C164" s="102"/>
      <c r="D164" s="102"/>
      <c r="E164" s="75"/>
      <c r="F164" s="83"/>
      <c r="G164" s="241"/>
      <c r="H164" s="241"/>
      <c r="I164" s="241"/>
      <c r="J164" s="5"/>
      <c r="K164" s="243"/>
      <c r="L164" s="242"/>
      <c r="M164" s="242"/>
      <c r="N164" s="5"/>
    </row>
    <row r="165" spans="1:14" x14ac:dyDescent="0.2">
      <c r="A165" s="77">
        <f t="shared" si="58"/>
        <v>156</v>
      </c>
      <c r="B165" s="83" t="s">
        <v>162</v>
      </c>
      <c r="C165" s="102"/>
      <c r="D165" s="102"/>
      <c r="E165" s="75"/>
      <c r="F165" s="83"/>
      <c r="G165" s="241"/>
      <c r="H165" s="241"/>
      <c r="I165" s="241"/>
      <c r="J165" s="5"/>
      <c r="K165" s="243"/>
      <c r="L165" s="242"/>
      <c r="M165" s="242"/>
      <c r="N165" s="5"/>
    </row>
    <row r="166" spans="1:14" x14ac:dyDescent="0.2">
      <c r="A166" s="77">
        <f t="shared" si="58"/>
        <v>157</v>
      </c>
      <c r="B166" s="95" t="s">
        <v>161</v>
      </c>
      <c r="C166" s="102" t="s">
        <v>13</v>
      </c>
      <c r="D166" s="102">
        <v>70</v>
      </c>
      <c r="E166" s="75">
        <f t="shared" ref="E166:E185" si="67">SUM(L166:M166)</f>
        <v>1.6800000000000002</v>
      </c>
      <c r="F166" s="240">
        <f t="shared" ref="F166:F171" si="68">ROUND(+E166*$J$10,2)</f>
        <v>0.15</v>
      </c>
      <c r="G166" s="241">
        <v>597</v>
      </c>
      <c r="H166" s="74">
        <f t="shared" ref="H166:H171" si="69">ROUND($G166*E166,0)</f>
        <v>1003</v>
      </c>
      <c r="I166" s="74">
        <f t="shared" ref="I166:I171" si="70">ROUND($G166*F166,0)</f>
        <v>90</v>
      </c>
      <c r="J166" s="5"/>
      <c r="K166" s="243"/>
      <c r="L166" s="242">
        <v>0.57999999999999996</v>
      </c>
      <c r="M166" s="242">
        <v>1.1000000000000001</v>
      </c>
      <c r="N166" s="5"/>
    </row>
    <row r="167" spans="1:14" x14ac:dyDescent="0.2">
      <c r="A167" s="77">
        <f t="shared" si="58"/>
        <v>158</v>
      </c>
      <c r="B167" s="105" t="str">
        <f>+B166</f>
        <v>58E &amp; 59E - Directional</v>
      </c>
      <c r="C167" s="102" t="s">
        <v>13</v>
      </c>
      <c r="D167" s="102">
        <v>100</v>
      </c>
      <c r="E167" s="75">
        <f t="shared" si="67"/>
        <v>2.4</v>
      </c>
      <c r="F167" s="240">
        <f t="shared" si="68"/>
        <v>0.22</v>
      </c>
      <c r="G167" s="241">
        <v>117</v>
      </c>
      <c r="H167" s="74">
        <f t="shared" si="69"/>
        <v>281</v>
      </c>
      <c r="I167" s="74">
        <f t="shared" si="70"/>
        <v>26</v>
      </c>
      <c r="J167" s="5"/>
      <c r="K167" s="243"/>
      <c r="L167" s="242">
        <v>0.83</v>
      </c>
      <c r="M167" s="242">
        <v>1.57</v>
      </c>
      <c r="N167" s="5"/>
    </row>
    <row r="168" spans="1:14" x14ac:dyDescent="0.2">
      <c r="A168" s="77">
        <f t="shared" si="58"/>
        <v>159</v>
      </c>
      <c r="B168" s="105" t="str">
        <f>+B167</f>
        <v>58E &amp; 59E - Directional</v>
      </c>
      <c r="C168" s="102" t="s">
        <v>13</v>
      </c>
      <c r="D168" s="102">
        <v>150</v>
      </c>
      <c r="E168" s="75">
        <f t="shared" si="67"/>
        <v>3.5999999999999996</v>
      </c>
      <c r="F168" s="240">
        <f t="shared" si="68"/>
        <v>0.33</v>
      </c>
      <c r="G168" s="241">
        <v>1606</v>
      </c>
      <c r="H168" s="74">
        <f t="shared" si="69"/>
        <v>5782</v>
      </c>
      <c r="I168" s="74">
        <f t="shared" si="70"/>
        <v>530</v>
      </c>
      <c r="J168" s="5"/>
      <c r="K168" s="243"/>
      <c r="L168" s="242">
        <v>1.24</v>
      </c>
      <c r="M168" s="242">
        <v>2.36</v>
      </c>
      <c r="N168" s="5"/>
    </row>
    <row r="169" spans="1:14" x14ac:dyDescent="0.2">
      <c r="A169" s="77">
        <f t="shared" si="58"/>
        <v>160</v>
      </c>
      <c r="B169" s="105" t="str">
        <f>+B168</f>
        <v>58E &amp; 59E - Directional</v>
      </c>
      <c r="C169" s="102" t="s">
        <v>13</v>
      </c>
      <c r="D169" s="102">
        <v>200</v>
      </c>
      <c r="E169" s="75">
        <f t="shared" si="67"/>
        <v>4.79</v>
      </c>
      <c r="F169" s="240">
        <f t="shared" si="68"/>
        <v>0.44</v>
      </c>
      <c r="G169" s="241">
        <v>2884</v>
      </c>
      <c r="H169" s="74">
        <f t="shared" si="69"/>
        <v>13814</v>
      </c>
      <c r="I169" s="74">
        <f t="shared" si="70"/>
        <v>1269</v>
      </c>
      <c r="J169" s="5"/>
      <c r="K169" s="243"/>
      <c r="L169" s="242">
        <v>1.65</v>
      </c>
      <c r="M169" s="242">
        <v>3.14</v>
      </c>
      <c r="N169" s="5"/>
    </row>
    <row r="170" spans="1:14" x14ac:dyDescent="0.2">
      <c r="A170" s="77">
        <f t="shared" si="58"/>
        <v>161</v>
      </c>
      <c r="B170" s="105" t="str">
        <f>+B169</f>
        <v>58E &amp; 59E - Directional</v>
      </c>
      <c r="C170" s="102" t="s">
        <v>13</v>
      </c>
      <c r="D170" s="102">
        <v>250</v>
      </c>
      <c r="E170" s="75">
        <f t="shared" si="67"/>
        <v>6</v>
      </c>
      <c r="F170" s="240">
        <f t="shared" si="68"/>
        <v>0.55000000000000004</v>
      </c>
      <c r="G170" s="241">
        <v>447</v>
      </c>
      <c r="H170" s="74">
        <f t="shared" si="69"/>
        <v>2682</v>
      </c>
      <c r="I170" s="74">
        <f t="shared" si="70"/>
        <v>246</v>
      </c>
      <c r="J170" s="5"/>
      <c r="K170" s="243"/>
      <c r="L170" s="242">
        <v>2.0699999999999998</v>
      </c>
      <c r="M170" s="242">
        <v>3.93</v>
      </c>
      <c r="N170" s="5"/>
    </row>
    <row r="171" spans="1:14" x14ac:dyDescent="0.2">
      <c r="A171" s="77">
        <f t="shared" si="58"/>
        <v>162</v>
      </c>
      <c r="B171" s="105" t="str">
        <f>+B170</f>
        <v>58E &amp; 59E - Directional</v>
      </c>
      <c r="C171" s="102" t="s">
        <v>13</v>
      </c>
      <c r="D171" s="102">
        <v>400</v>
      </c>
      <c r="E171" s="75">
        <f t="shared" si="67"/>
        <v>9.59</v>
      </c>
      <c r="F171" s="240">
        <f t="shared" si="68"/>
        <v>0.88</v>
      </c>
      <c r="G171" s="241">
        <v>3832</v>
      </c>
      <c r="H171" s="74">
        <f t="shared" si="69"/>
        <v>36749</v>
      </c>
      <c r="I171" s="74">
        <f t="shared" si="70"/>
        <v>3372</v>
      </c>
      <c r="J171" s="5"/>
      <c r="K171" s="243"/>
      <c r="L171" s="242">
        <v>3.31</v>
      </c>
      <c r="M171" s="242">
        <v>6.28</v>
      </c>
      <c r="N171" s="5"/>
    </row>
    <row r="172" spans="1:14" x14ac:dyDescent="0.2">
      <c r="A172" s="77">
        <f t="shared" si="58"/>
        <v>163</v>
      </c>
      <c r="B172" s="105"/>
      <c r="C172" s="102"/>
      <c r="D172" s="102"/>
      <c r="E172" s="75"/>
      <c r="F172" s="240"/>
      <c r="G172" s="241"/>
      <c r="H172" s="74"/>
      <c r="I172" s="74"/>
      <c r="J172" s="5"/>
      <c r="K172" s="243"/>
      <c r="L172" s="242"/>
      <c r="M172" s="242"/>
      <c r="N172" s="5"/>
    </row>
    <row r="173" spans="1:14" x14ac:dyDescent="0.2">
      <c r="A173" s="77">
        <f t="shared" si="58"/>
        <v>164</v>
      </c>
      <c r="B173" s="95" t="s">
        <v>160</v>
      </c>
      <c r="C173" s="102" t="s">
        <v>13</v>
      </c>
      <c r="D173" s="102">
        <v>100</v>
      </c>
      <c r="E173" s="75">
        <f t="shared" si="67"/>
        <v>2.4</v>
      </c>
      <c r="F173" s="240">
        <f>ROUND(+E173*$J$10,2)</f>
        <v>0.22</v>
      </c>
      <c r="G173" s="241">
        <v>0</v>
      </c>
      <c r="H173" s="74">
        <f t="shared" ref="H173:H177" si="71">ROUND($G173*E173,0)</f>
        <v>0</v>
      </c>
      <c r="I173" s="74">
        <f t="shared" ref="I173:I177" si="72">ROUND($G173*F173,0)</f>
        <v>0</v>
      </c>
      <c r="J173" s="5"/>
      <c r="K173" s="243"/>
      <c r="L173" s="242">
        <v>0.83</v>
      </c>
      <c r="M173" s="242">
        <v>1.57</v>
      </c>
      <c r="N173" s="5"/>
    </row>
    <row r="174" spans="1:14" x14ac:dyDescent="0.2">
      <c r="A174" s="77">
        <f t="shared" si="58"/>
        <v>165</v>
      </c>
      <c r="B174" s="105" t="str">
        <f>B173</f>
        <v>58E &amp; 59E - Horizontal</v>
      </c>
      <c r="C174" s="102" t="s">
        <v>13</v>
      </c>
      <c r="D174" s="102">
        <v>150</v>
      </c>
      <c r="E174" s="75">
        <f t="shared" si="67"/>
        <v>3.5999999999999996</v>
      </c>
      <c r="F174" s="240">
        <f>ROUND(+E174*$J$10,2)</f>
        <v>0.33</v>
      </c>
      <c r="G174" s="241">
        <v>156</v>
      </c>
      <c r="H174" s="74">
        <f t="shared" si="71"/>
        <v>562</v>
      </c>
      <c r="I174" s="74">
        <f t="shared" si="72"/>
        <v>51</v>
      </c>
      <c r="J174" s="5"/>
      <c r="K174" s="243"/>
      <c r="L174" s="242">
        <v>1.24</v>
      </c>
      <c r="M174" s="242">
        <v>2.36</v>
      </c>
      <c r="N174" s="5"/>
    </row>
    <row r="175" spans="1:14" x14ac:dyDescent="0.2">
      <c r="A175" s="77">
        <f t="shared" si="58"/>
        <v>166</v>
      </c>
      <c r="B175" s="105" t="str">
        <f>B174</f>
        <v>58E &amp; 59E - Horizontal</v>
      </c>
      <c r="C175" s="102" t="s">
        <v>13</v>
      </c>
      <c r="D175" s="102">
        <v>200</v>
      </c>
      <c r="E175" s="75">
        <f t="shared" si="67"/>
        <v>4.79</v>
      </c>
      <c r="F175" s="240">
        <f>ROUND(+E175*$J$10,2)</f>
        <v>0.44</v>
      </c>
      <c r="G175" s="241">
        <v>106</v>
      </c>
      <c r="H175" s="74">
        <f t="shared" si="71"/>
        <v>508</v>
      </c>
      <c r="I175" s="74">
        <f t="shared" si="72"/>
        <v>47</v>
      </c>
      <c r="J175" s="5"/>
      <c r="K175" s="243"/>
      <c r="L175" s="242">
        <v>1.65</v>
      </c>
      <c r="M175" s="242">
        <v>3.14</v>
      </c>
      <c r="N175" s="5"/>
    </row>
    <row r="176" spans="1:14" x14ac:dyDescent="0.2">
      <c r="A176" s="77">
        <f t="shared" si="58"/>
        <v>167</v>
      </c>
      <c r="B176" s="105" t="str">
        <f>B175</f>
        <v>58E &amp; 59E - Horizontal</v>
      </c>
      <c r="C176" s="102" t="s">
        <v>13</v>
      </c>
      <c r="D176" s="102">
        <v>250</v>
      </c>
      <c r="E176" s="75">
        <f t="shared" si="67"/>
        <v>6</v>
      </c>
      <c r="F176" s="240">
        <f>ROUND(+E176*$J$10,2)</f>
        <v>0.55000000000000004</v>
      </c>
      <c r="G176" s="241">
        <v>381</v>
      </c>
      <c r="H176" s="74">
        <f t="shared" si="71"/>
        <v>2286</v>
      </c>
      <c r="I176" s="74">
        <f t="shared" si="72"/>
        <v>210</v>
      </c>
      <c r="J176" s="5"/>
      <c r="K176" s="243"/>
      <c r="L176" s="242">
        <v>2.0699999999999998</v>
      </c>
      <c r="M176" s="242">
        <v>3.93</v>
      </c>
      <c r="N176" s="5"/>
    </row>
    <row r="177" spans="1:14" x14ac:dyDescent="0.2">
      <c r="A177" s="77">
        <f t="shared" si="58"/>
        <v>168</v>
      </c>
      <c r="B177" s="105" t="str">
        <f>B176</f>
        <v>58E &amp; 59E - Horizontal</v>
      </c>
      <c r="C177" s="102" t="s">
        <v>13</v>
      </c>
      <c r="D177" s="102">
        <v>400</v>
      </c>
      <c r="E177" s="75">
        <f t="shared" si="67"/>
        <v>9.59</v>
      </c>
      <c r="F177" s="240">
        <f>ROUND(+E177*$J$10,2)</f>
        <v>0.88</v>
      </c>
      <c r="G177" s="241">
        <v>546</v>
      </c>
      <c r="H177" s="74">
        <f t="shared" si="71"/>
        <v>5236</v>
      </c>
      <c r="I177" s="74">
        <f t="shared" si="72"/>
        <v>480</v>
      </c>
      <c r="J177" s="5"/>
      <c r="K177" s="243"/>
      <c r="L177" s="242">
        <v>3.31</v>
      </c>
      <c r="M177" s="242">
        <v>6.28</v>
      </c>
      <c r="N177" s="5"/>
    </row>
    <row r="178" spans="1:14" x14ac:dyDescent="0.2">
      <c r="A178" s="77">
        <f t="shared" si="58"/>
        <v>169</v>
      </c>
      <c r="B178" s="105"/>
      <c r="C178" s="102"/>
      <c r="D178" s="102"/>
      <c r="E178" s="75"/>
      <c r="F178" s="240"/>
      <c r="G178" s="241"/>
      <c r="H178" s="74"/>
      <c r="I178" s="74"/>
      <c r="J178" s="5"/>
      <c r="K178" s="243"/>
      <c r="L178" s="242"/>
      <c r="M178" s="242"/>
      <c r="N178" s="5"/>
    </row>
    <row r="179" spans="1:14" x14ac:dyDescent="0.2">
      <c r="A179" s="77">
        <f t="shared" si="58"/>
        <v>170</v>
      </c>
      <c r="B179" s="105" t="str">
        <f>B167</f>
        <v>58E &amp; 59E - Directional</v>
      </c>
      <c r="C179" s="102" t="s">
        <v>159</v>
      </c>
      <c r="D179" s="102">
        <v>175</v>
      </c>
      <c r="E179" s="75">
        <f t="shared" si="67"/>
        <v>4.2</v>
      </c>
      <c r="F179" s="240">
        <f>ROUND(+E179*$J$10,2)</f>
        <v>0.39</v>
      </c>
      <c r="G179" s="241">
        <v>36</v>
      </c>
      <c r="H179" s="74">
        <f t="shared" ref="H179:H182" si="73">ROUND($G179*E179,0)</f>
        <v>151</v>
      </c>
      <c r="I179" s="74">
        <f t="shared" ref="I179:I182" si="74">ROUND($G179*F179,0)</f>
        <v>14</v>
      </c>
      <c r="J179" s="5"/>
      <c r="K179" s="243"/>
      <c r="L179" s="242">
        <v>1.45</v>
      </c>
      <c r="M179" s="242">
        <v>2.75</v>
      </c>
      <c r="N179" s="5"/>
    </row>
    <row r="180" spans="1:14" x14ac:dyDescent="0.2">
      <c r="A180" s="77">
        <f t="shared" si="58"/>
        <v>171</v>
      </c>
      <c r="B180" s="105" t="str">
        <f>B179</f>
        <v>58E &amp; 59E - Directional</v>
      </c>
      <c r="C180" s="102" t="s">
        <v>159</v>
      </c>
      <c r="D180" s="102">
        <v>250</v>
      </c>
      <c r="E180" s="75">
        <f t="shared" si="67"/>
        <v>6</v>
      </c>
      <c r="F180" s="240">
        <f>ROUND(+E180*$J$10,2)</f>
        <v>0.55000000000000004</v>
      </c>
      <c r="G180" s="241">
        <v>187</v>
      </c>
      <c r="H180" s="74">
        <f t="shared" si="73"/>
        <v>1122</v>
      </c>
      <c r="I180" s="74">
        <f t="shared" si="74"/>
        <v>103</v>
      </c>
      <c r="J180" s="5"/>
      <c r="K180" s="243"/>
      <c r="L180" s="242">
        <v>2.0699999999999998</v>
      </c>
      <c r="M180" s="242">
        <v>3.93</v>
      </c>
      <c r="N180" s="5"/>
    </row>
    <row r="181" spans="1:14" x14ac:dyDescent="0.2">
      <c r="A181" s="77">
        <f t="shared" si="58"/>
        <v>172</v>
      </c>
      <c r="B181" s="105" t="str">
        <f>B180</f>
        <v>58E &amp; 59E - Directional</v>
      </c>
      <c r="C181" s="102" t="s">
        <v>159</v>
      </c>
      <c r="D181" s="102">
        <v>400</v>
      </c>
      <c r="E181" s="75">
        <f t="shared" si="67"/>
        <v>9.59</v>
      </c>
      <c r="F181" s="240">
        <f>ROUND(+E181*$J$10,2)</f>
        <v>0.88</v>
      </c>
      <c r="G181" s="241">
        <v>925</v>
      </c>
      <c r="H181" s="74">
        <f t="shared" si="73"/>
        <v>8871</v>
      </c>
      <c r="I181" s="74">
        <f t="shared" si="74"/>
        <v>814</v>
      </c>
      <c r="J181" s="5"/>
      <c r="K181" s="243"/>
      <c r="L181" s="242">
        <v>3.31</v>
      </c>
      <c r="M181" s="242">
        <v>6.28</v>
      </c>
      <c r="N181" s="5"/>
    </row>
    <row r="182" spans="1:14" x14ac:dyDescent="0.2">
      <c r="A182" s="77">
        <f t="shared" si="58"/>
        <v>173</v>
      </c>
      <c r="B182" s="105" t="str">
        <f>B181</f>
        <v>58E &amp; 59E - Directional</v>
      </c>
      <c r="C182" s="102" t="s">
        <v>159</v>
      </c>
      <c r="D182" s="102">
        <v>1000</v>
      </c>
      <c r="E182" s="75">
        <f t="shared" si="67"/>
        <v>23.98</v>
      </c>
      <c r="F182" s="240">
        <f>ROUND(+E182*$J$10,2)</f>
        <v>2.21</v>
      </c>
      <c r="G182" s="241">
        <v>1301</v>
      </c>
      <c r="H182" s="74">
        <f t="shared" si="73"/>
        <v>31198</v>
      </c>
      <c r="I182" s="74">
        <f t="shared" si="74"/>
        <v>2875</v>
      </c>
      <c r="J182" s="5"/>
      <c r="K182" s="243"/>
      <c r="L182" s="242">
        <v>8.27</v>
      </c>
      <c r="M182" s="242">
        <v>15.71</v>
      </c>
      <c r="N182" s="5"/>
    </row>
    <row r="183" spans="1:14" x14ac:dyDescent="0.2">
      <c r="A183" s="77">
        <f t="shared" si="58"/>
        <v>174</v>
      </c>
      <c r="B183" s="105"/>
      <c r="C183" s="102"/>
      <c r="D183" s="102"/>
      <c r="E183" s="75"/>
      <c r="F183" s="240"/>
      <c r="G183" s="241"/>
      <c r="H183" s="74"/>
      <c r="I183" s="74"/>
      <c r="J183" s="5"/>
      <c r="K183" s="243"/>
      <c r="L183" s="242"/>
      <c r="M183" s="242"/>
      <c r="N183" s="5"/>
    </row>
    <row r="184" spans="1:14" x14ac:dyDescent="0.2">
      <c r="A184" s="77">
        <f t="shared" si="58"/>
        <v>175</v>
      </c>
      <c r="B184" s="105" t="str">
        <f>B173</f>
        <v>58E &amp; 59E - Horizontal</v>
      </c>
      <c r="C184" s="102" t="s">
        <v>159</v>
      </c>
      <c r="D184" s="102">
        <v>250</v>
      </c>
      <c r="E184" s="75">
        <f t="shared" si="67"/>
        <v>6</v>
      </c>
      <c r="F184" s="240">
        <f>ROUND(+E184*$J$10,2)</f>
        <v>0.55000000000000004</v>
      </c>
      <c r="G184" s="241">
        <v>111</v>
      </c>
      <c r="H184" s="74">
        <f t="shared" ref="H184:H185" si="75">ROUND($G184*E184,0)</f>
        <v>666</v>
      </c>
      <c r="I184" s="74">
        <f t="shared" ref="I184:I185" si="76">ROUND($G184*F184,0)</f>
        <v>61</v>
      </c>
      <c r="J184" s="5"/>
      <c r="K184" s="243"/>
      <c r="L184" s="242">
        <v>2.0699999999999998</v>
      </c>
      <c r="M184" s="242">
        <v>3.93</v>
      </c>
      <c r="N184" s="5"/>
    </row>
    <row r="185" spans="1:14" x14ac:dyDescent="0.2">
      <c r="A185" s="77">
        <f t="shared" si="58"/>
        <v>176</v>
      </c>
      <c r="B185" s="105" t="str">
        <f>B184</f>
        <v>58E &amp; 59E - Horizontal</v>
      </c>
      <c r="C185" s="102" t="s">
        <v>159</v>
      </c>
      <c r="D185" s="102">
        <v>400</v>
      </c>
      <c r="E185" s="75">
        <f t="shared" si="67"/>
        <v>9.59</v>
      </c>
      <c r="F185" s="240">
        <f>ROUND(+E185*$J$10,2)</f>
        <v>0.88</v>
      </c>
      <c r="G185" s="241">
        <v>446</v>
      </c>
      <c r="H185" s="74">
        <f t="shared" si="75"/>
        <v>4277</v>
      </c>
      <c r="I185" s="74">
        <f t="shared" si="76"/>
        <v>392</v>
      </c>
      <c r="J185" s="5"/>
      <c r="K185" s="243"/>
      <c r="L185" s="242">
        <v>3.31</v>
      </c>
      <c r="M185" s="242">
        <v>6.28</v>
      </c>
      <c r="N185" s="5"/>
    </row>
    <row r="186" spans="1:14" x14ac:dyDescent="0.2">
      <c r="A186" s="77">
        <f t="shared" si="58"/>
        <v>177</v>
      </c>
      <c r="B186" s="105"/>
      <c r="C186" s="102"/>
      <c r="D186" s="102"/>
      <c r="E186" s="75"/>
      <c r="F186" s="240"/>
      <c r="G186" s="241"/>
      <c r="H186" s="74"/>
      <c r="I186" s="74"/>
      <c r="J186" s="5"/>
      <c r="K186" s="243"/>
      <c r="L186" s="242"/>
      <c r="M186" s="242"/>
      <c r="N186" s="5"/>
    </row>
    <row r="187" spans="1:14" x14ac:dyDescent="0.2">
      <c r="A187" s="77">
        <f t="shared" si="58"/>
        <v>178</v>
      </c>
      <c r="B187" s="105" t="s">
        <v>158</v>
      </c>
      <c r="C187" s="102" t="s">
        <v>143</v>
      </c>
      <c r="D187" s="99" t="s">
        <v>157</v>
      </c>
      <c r="E187" s="75">
        <f t="shared" ref="E187:E201" si="77">SUM(L187:M187)</f>
        <v>1.08</v>
      </c>
      <c r="F187" s="240">
        <f t="shared" ref="F187:F201" si="78">ROUND(+E187*$J$10,2)</f>
        <v>0.1</v>
      </c>
      <c r="G187" s="241">
        <v>34</v>
      </c>
      <c r="H187" s="74">
        <f t="shared" ref="H187:H201" si="79">ROUND($G187*E187,0)</f>
        <v>37</v>
      </c>
      <c r="I187" s="74">
        <f t="shared" ref="I187:I201" si="80">ROUND($G187*F187,0)</f>
        <v>3</v>
      </c>
      <c r="J187" s="5"/>
      <c r="K187" s="243"/>
      <c r="L187" s="242">
        <v>0.37</v>
      </c>
      <c r="M187" s="242">
        <v>0.71</v>
      </c>
      <c r="N187" s="5"/>
    </row>
    <row r="188" spans="1:14" x14ac:dyDescent="0.2">
      <c r="A188" s="77">
        <f t="shared" si="58"/>
        <v>179</v>
      </c>
      <c r="B188" s="105" t="str">
        <f t="shared" ref="B188:B201" si="81">B187</f>
        <v>58E &amp; 59E</v>
      </c>
      <c r="C188" s="102" t="s">
        <v>143</v>
      </c>
      <c r="D188" s="99" t="s">
        <v>156</v>
      </c>
      <c r="E188" s="75">
        <f t="shared" si="77"/>
        <v>1.7999999999999998</v>
      </c>
      <c r="F188" s="240">
        <f t="shared" si="78"/>
        <v>0.17</v>
      </c>
      <c r="G188" s="241">
        <v>751</v>
      </c>
      <c r="H188" s="74">
        <f t="shared" si="79"/>
        <v>1352</v>
      </c>
      <c r="I188" s="74">
        <f t="shared" si="80"/>
        <v>128</v>
      </c>
      <c r="J188" s="5"/>
      <c r="K188" s="243"/>
      <c r="L188" s="242">
        <v>0.62</v>
      </c>
      <c r="M188" s="242">
        <v>1.18</v>
      </c>
      <c r="N188" s="5"/>
    </row>
    <row r="189" spans="1:14" x14ac:dyDescent="0.2">
      <c r="A189" s="77">
        <f t="shared" si="58"/>
        <v>180</v>
      </c>
      <c r="B189" s="105" t="str">
        <f t="shared" si="81"/>
        <v>58E &amp; 59E</v>
      </c>
      <c r="C189" s="102" t="s">
        <v>143</v>
      </c>
      <c r="D189" s="99" t="s">
        <v>155</v>
      </c>
      <c r="E189" s="75">
        <f t="shared" si="77"/>
        <v>2.52</v>
      </c>
      <c r="F189" s="240">
        <f t="shared" si="78"/>
        <v>0.23</v>
      </c>
      <c r="G189" s="241">
        <v>177</v>
      </c>
      <c r="H189" s="74">
        <f t="shared" si="79"/>
        <v>446</v>
      </c>
      <c r="I189" s="74">
        <f t="shared" si="80"/>
        <v>41</v>
      </c>
      <c r="J189" s="5"/>
      <c r="K189" s="243"/>
      <c r="L189" s="242">
        <v>0.87</v>
      </c>
      <c r="M189" s="242">
        <v>1.65</v>
      </c>
      <c r="N189" s="5"/>
    </row>
    <row r="190" spans="1:14" x14ac:dyDescent="0.2">
      <c r="A190" s="77">
        <f t="shared" si="58"/>
        <v>181</v>
      </c>
      <c r="B190" s="105" t="str">
        <f t="shared" si="81"/>
        <v>58E &amp; 59E</v>
      </c>
      <c r="C190" s="102" t="s">
        <v>143</v>
      </c>
      <c r="D190" s="99" t="s">
        <v>154</v>
      </c>
      <c r="E190" s="75">
        <f t="shared" si="77"/>
        <v>3.24</v>
      </c>
      <c r="F190" s="240">
        <f t="shared" si="78"/>
        <v>0.3</v>
      </c>
      <c r="G190" s="241">
        <v>1363</v>
      </c>
      <c r="H190" s="74">
        <f t="shared" si="79"/>
        <v>4416</v>
      </c>
      <c r="I190" s="74">
        <f t="shared" si="80"/>
        <v>409</v>
      </c>
      <c r="J190" s="5"/>
      <c r="K190" s="243"/>
      <c r="L190" s="242">
        <v>1.1200000000000001</v>
      </c>
      <c r="M190" s="242">
        <v>2.12</v>
      </c>
      <c r="N190" s="5"/>
    </row>
    <row r="191" spans="1:14" x14ac:dyDescent="0.2">
      <c r="A191" s="77">
        <f t="shared" si="58"/>
        <v>182</v>
      </c>
      <c r="B191" s="105" t="str">
        <f t="shared" si="81"/>
        <v>58E &amp; 59E</v>
      </c>
      <c r="C191" s="102" t="s">
        <v>143</v>
      </c>
      <c r="D191" s="99" t="s">
        <v>153</v>
      </c>
      <c r="E191" s="75">
        <f t="shared" si="77"/>
        <v>3.95</v>
      </c>
      <c r="F191" s="240">
        <f t="shared" si="78"/>
        <v>0.36</v>
      </c>
      <c r="G191" s="241">
        <v>191</v>
      </c>
      <c r="H191" s="74">
        <f t="shared" si="79"/>
        <v>754</v>
      </c>
      <c r="I191" s="74">
        <f t="shared" si="80"/>
        <v>69</v>
      </c>
      <c r="J191" s="5"/>
      <c r="K191" s="243"/>
      <c r="L191" s="242">
        <v>1.36</v>
      </c>
      <c r="M191" s="242">
        <v>2.59</v>
      </c>
      <c r="N191" s="5"/>
    </row>
    <row r="192" spans="1:14" x14ac:dyDescent="0.2">
      <c r="A192" s="77">
        <f t="shared" si="58"/>
        <v>183</v>
      </c>
      <c r="B192" s="105" t="str">
        <f t="shared" si="81"/>
        <v>58E &amp; 59E</v>
      </c>
      <c r="C192" s="102" t="s">
        <v>143</v>
      </c>
      <c r="D192" s="99" t="s">
        <v>152</v>
      </c>
      <c r="E192" s="75">
        <f t="shared" si="77"/>
        <v>4.67</v>
      </c>
      <c r="F192" s="240">
        <f t="shared" si="78"/>
        <v>0.43</v>
      </c>
      <c r="G192" s="241">
        <v>0</v>
      </c>
      <c r="H192" s="74">
        <f t="shared" si="79"/>
        <v>0</v>
      </c>
      <c r="I192" s="74">
        <f t="shared" si="80"/>
        <v>0</v>
      </c>
      <c r="J192" s="5"/>
      <c r="K192" s="243"/>
      <c r="L192" s="242">
        <v>1.61</v>
      </c>
      <c r="M192" s="242">
        <v>3.06</v>
      </c>
      <c r="N192" s="5"/>
    </row>
    <row r="193" spans="1:14" x14ac:dyDescent="0.2">
      <c r="A193" s="77">
        <f t="shared" si="58"/>
        <v>184</v>
      </c>
      <c r="B193" s="105" t="str">
        <f t="shared" si="81"/>
        <v>58E &amp; 59E</v>
      </c>
      <c r="C193" s="102" t="s">
        <v>143</v>
      </c>
      <c r="D193" s="99" t="s">
        <v>151</v>
      </c>
      <c r="E193" s="75">
        <f t="shared" si="77"/>
        <v>5.4</v>
      </c>
      <c r="F193" s="240">
        <f t="shared" si="78"/>
        <v>0.5</v>
      </c>
      <c r="G193" s="241">
        <v>162</v>
      </c>
      <c r="H193" s="74">
        <f t="shared" si="79"/>
        <v>875</v>
      </c>
      <c r="I193" s="74">
        <f t="shared" si="80"/>
        <v>81</v>
      </c>
      <c r="J193" s="5"/>
      <c r="K193" s="243"/>
      <c r="L193" s="242">
        <v>1.86</v>
      </c>
      <c r="M193" s="242">
        <v>3.54</v>
      </c>
      <c r="N193" s="5"/>
    </row>
    <row r="194" spans="1:14" x14ac:dyDescent="0.2">
      <c r="A194" s="77">
        <f t="shared" si="58"/>
        <v>185</v>
      </c>
      <c r="B194" s="105" t="str">
        <f t="shared" si="81"/>
        <v>58E &amp; 59E</v>
      </c>
      <c r="C194" s="102" t="s">
        <v>143</v>
      </c>
      <c r="D194" s="99" t="s">
        <v>150</v>
      </c>
      <c r="E194" s="75">
        <f t="shared" si="77"/>
        <v>6.1199999999999992</v>
      </c>
      <c r="F194" s="240">
        <f t="shared" si="78"/>
        <v>0.56000000000000005</v>
      </c>
      <c r="G194" s="241">
        <v>248</v>
      </c>
      <c r="H194" s="74">
        <f t="shared" si="79"/>
        <v>1518</v>
      </c>
      <c r="I194" s="74">
        <f t="shared" si="80"/>
        <v>139</v>
      </c>
      <c r="J194" s="5"/>
      <c r="K194" s="243"/>
      <c r="L194" s="242">
        <v>2.11</v>
      </c>
      <c r="M194" s="242">
        <v>4.01</v>
      </c>
      <c r="N194" s="5"/>
    </row>
    <row r="195" spans="1:14" x14ac:dyDescent="0.2">
      <c r="A195" s="77">
        <f t="shared" si="58"/>
        <v>186</v>
      </c>
      <c r="B195" s="105" t="str">
        <f t="shared" si="81"/>
        <v>58E &amp; 59E</v>
      </c>
      <c r="C195" s="102" t="s">
        <v>143</v>
      </c>
      <c r="D195" s="99" t="s">
        <v>149</v>
      </c>
      <c r="E195" s="75">
        <f t="shared" si="77"/>
        <v>6.84</v>
      </c>
      <c r="F195" s="240">
        <f t="shared" si="78"/>
        <v>0.63</v>
      </c>
      <c r="G195" s="241">
        <v>0</v>
      </c>
      <c r="H195" s="74">
        <f t="shared" si="79"/>
        <v>0</v>
      </c>
      <c r="I195" s="74">
        <f t="shared" si="80"/>
        <v>0</v>
      </c>
      <c r="J195" s="5"/>
      <c r="K195" s="243"/>
      <c r="L195" s="242">
        <v>2.36</v>
      </c>
      <c r="M195" s="242">
        <v>4.4800000000000004</v>
      </c>
      <c r="N195" s="5"/>
    </row>
    <row r="196" spans="1:14" x14ac:dyDescent="0.2">
      <c r="A196" s="77">
        <f t="shared" si="58"/>
        <v>187</v>
      </c>
      <c r="B196" s="105" t="str">
        <f t="shared" si="81"/>
        <v>58E &amp; 59E</v>
      </c>
      <c r="C196" s="102" t="s">
        <v>143</v>
      </c>
      <c r="D196" s="99" t="s">
        <v>148</v>
      </c>
      <c r="E196" s="75">
        <f t="shared" si="77"/>
        <v>8.39</v>
      </c>
      <c r="F196" s="240">
        <f t="shared" si="78"/>
        <v>0.77</v>
      </c>
      <c r="G196" s="241">
        <v>0</v>
      </c>
      <c r="H196" s="74">
        <f t="shared" si="79"/>
        <v>0</v>
      </c>
      <c r="I196" s="74">
        <f t="shared" si="80"/>
        <v>0</v>
      </c>
      <c r="J196" s="5"/>
      <c r="K196" s="243"/>
      <c r="L196" s="242">
        <v>2.89</v>
      </c>
      <c r="M196" s="242">
        <v>5.5</v>
      </c>
      <c r="N196" s="5"/>
    </row>
    <row r="197" spans="1:14" x14ac:dyDescent="0.2">
      <c r="A197" s="77">
        <f t="shared" si="58"/>
        <v>188</v>
      </c>
      <c r="B197" s="105" t="str">
        <f t="shared" si="81"/>
        <v>58E &amp; 59E</v>
      </c>
      <c r="C197" s="102" t="s">
        <v>143</v>
      </c>
      <c r="D197" s="99" t="s">
        <v>147</v>
      </c>
      <c r="E197" s="75">
        <f t="shared" si="77"/>
        <v>10.790000000000001</v>
      </c>
      <c r="F197" s="240">
        <f t="shared" si="78"/>
        <v>0.99</v>
      </c>
      <c r="G197" s="241">
        <v>0</v>
      </c>
      <c r="H197" s="74">
        <f t="shared" si="79"/>
        <v>0</v>
      </c>
      <c r="I197" s="74">
        <f t="shared" si="80"/>
        <v>0</v>
      </c>
      <c r="J197" s="5"/>
      <c r="K197" s="243"/>
      <c r="L197" s="242">
        <v>3.72</v>
      </c>
      <c r="M197" s="242">
        <v>7.07</v>
      </c>
      <c r="N197" s="5"/>
    </row>
    <row r="198" spans="1:14" x14ac:dyDescent="0.2">
      <c r="A198" s="77">
        <f t="shared" si="58"/>
        <v>189</v>
      </c>
      <c r="B198" s="105" t="str">
        <f t="shared" si="81"/>
        <v>58E &amp; 59E</v>
      </c>
      <c r="C198" s="102" t="s">
        <v>143</v>
      </c>
      <c r="D198" s="99" t="s">
        <v>146</v>
      </c>
      <c r="E198" s="75">
        <f t="shared" si="77"/>
        <v>13.190000000000001</v>
      </c>
      <c r="F198" s="240">
        <f t="shared" si="78"/>
        <v>1.21</v>
      </c>
      <c r="G198" s="241">
        <v>0</v>
      </c>
      <c r="H198" s="74">
        <f t="shared" si="79"/>
        <v>0</v>
      </c>
      <c r="I198" s="74">
        <f t="shared" si="80"/>
        <v>0</v>
      </c>
      <c r="J198" s="5"/>
      <c r="K198" s="243"/>
      <c r="L198" s="242">
        <v>4.55</v>
      </c>
      <c r="M198" s="242">
        <v>8.64</v>
      </c>
      <c r="N198" s="5"/>
    </row>
    <row r="199" spans="1:14" x14ac:dyDescent="0.2">
      <c r="A199" s="77">
        <f t="shared" si="58"/>
        <v>190</v>
      </c>
      <c r="B199" s="105" t="str">
        <f t="shared" si="81"/>
        <v>58E &amp; 59E</v>
      </c>
      <c r="C199" s="102" t="s">
        <v>143</v>
      </c>
      <c r="D199" s="99" t="s">
        <v>145</v>
      </c>
      <c r="E199" s="75">
        <f t="shared" si="77"/>
        <v>15.59</v>
      </c>
      <c r="F199" s="240">
        <f t="shared" si="78"/>
        <v>1.44</v>
      </c>
      <c r="G199" s="241">
        <v>0</v>
      </c>
      <c r="H199" s="74">
        <f t="shared" si="79"/>
        <v>0</v>
      </c>
      <c r="I199" s="74">
        <f t="shared" si="80"/>
        <v>0</v>
      </c>
      <c r="J199" s="5"/>
      <c r="K199" s="243"/>
      <c r="L199" s="242">
        <v>5.38</v>
      </c>
      <c r="M199" s="242">
        <v>10.210000000000001</v>
      </c>
      <c r="N199" s="5"/>
    </row>
    <row r="200" spans="1:14" x14ac:dyDescent="0.2">
      <c r="A200" s="77">
        <f t="shared" si="58"/>
        <v>191</v>
      </c>
      <c r="B200" s="105" t="str">
        <f t="shared" si="81"/>
        <v>58E &amp; 59E</v>
      </c>
      <c r="C200" s="102" t="s">
        <v>143</v>
      </c>
      <c r="D200" s="99" t="s">
        <v>144</v>
      </c>
      <c r="E200" s="75">
        <f t="shared" si="77"/>
        <v>17.98</v>
      </c>
      <c r="F200" s="240">
        <f t="shared" si="78"/>
        <v>1.66</v>
      </c>
      <c r="G200" s="241">
        <v>0</v>
      </c>
      <c r="H200" s="74">
        <f t="shared" si="79"/>
        <v>0</v>
      </c>
      <c r="I200" s="74">
        <f t="shared" si="80"/>
        <v>0</v>
      </c>
      <c r="J200" s="5"/>
      <c r="K200" s="243"/>
      <c r="L200" s="242">
        <v>6.2</v>
      </c>
      <c r="M200" s="242">
        <v>11.78</v>
      </c>
      <c r="N200" s="5"/>
    </row>
    <row r="201" spans="1:14" x14ac:dyDescent="0.2">
      <c r="A201" s="77">
        <f t="shared" si="58"/>
        <v>192</v>
      </c>
      <c r="B201" s="105" t="str">
        <f t="shared" si="81"/>
        <v>58E &amp; 59E</v>
      </c>
      <c r="C201" s="102" t="s">
        <v>143</v>
      </c>
      <c r="D201" s="99" t="s">
        <v>142</v>
      </c>
      <c r="E201" s="75">
        <f t="shared" si="77"/>
        <v>20.39</v>
      </c>
      <c r="F201" s="240">
        <f t="shared" si="78"/>
        <v>1.88</v>
      </c>
      <c r="G201" s="241">
        <v>0</v>
      </c>
      <c r="H201" s="74">
        <f t="shared" si="79"/>
        <v>0</v>
      </c>
      <c r="I201" s="74">
        <f t="shared" si="80"/>
        <v>0</v>
      </c>
      <c r="J201" s="5"/>
      <c r="K201" s="243"/>
      <c r="L201" s="242">
        <v>7.03</v>
      </c>
      <c r="M201" s="242">
        <v>13.36</v>
      </c>
      <c r="N201" s="5"/>
    </row>
    <row r="202" spans="1:14" x14ac:dyDescent="0.2">
      <c r="B202" s="83"/>
      <c r="F202" s="5"/>
      <c r="G202" s="28"/>
      <c r="H202" s="5"/>
      <c r="I202" s="5"/>
      <c r="J202" s="5"/>
      <c r="K202" s="243"/>
      <c r="L202" s="242"/>
      <c r="M202" s="242"/>
      <c r="N202" s="5"/>
    </row>
    <row r="203" spans="1:14" x14ac:dyDescent="0.2">
      <c r="B203" s="83"/>
      <c r="F203" s="5"/>
      <c r="G203" s="5"/>
      <c r="H203" s="5"/>
      <c r="I203" s="5"/>
      <c r="J203" s="5"/>
      <c r="K203" s="243"/>
      <c r="L203" s="242"/>
      <c r="M203" s="242"/>
      <c r="N203" s="5"/>
    </row>
    <row r="205" spans="1:14" x14ac:dyDescent="0.2">
      <c r="K205" s="103"/>
      <c r="L205" s="97"/>
      <c r="M205" s="97"/>
    </row>
    <row r="206" spans="1:14" x14ac:dyDescent="0.2">
      <c r="K206" s="103"/>
      <c r="L206" s="97"/>
      <c r="M206" s="97"/>
    </row>
    <row r="207" spans="1:14" x14ac:dyDescent="0.2">
      <c r="K207" s="103"/>
      <c r="L207" s="97"/>
      <c r="M207" s="97"/>
    </row>
    <row r="208" spans="1:14" x14ac:dyDescent="0.2">
      <c r="K208" s="103"/>
      <c r="L208" s="97"/>
      <c r="M208" s="97"/>
    </row>
    <row r="209" spans="11:13" x14ac:dyDescent="0.2">
      <c r="K209" s="103"/>
      <c r="L209" s="97"/>
      <c r="M209" s="97"/>
    </row>
  </sheetData>
  <mergeCells count="4">
    <mergeCell ref="B4:F4"/>
    <mergeCell ref="A1:J1"/>
    <mergeCell ref="A2:J2"/>
    <mergeCell ref="A3:J3"/>
  </mergeCells>
  <printOptions horizontalCentered="1"/>
  <pageMargins left="0.7" right="0.7" top="0.75" bottom="0.75" header="0.3" footer="0.3"/>
  <pageSetup scale="61" fitToHeight="0" orientation="portrait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3"/>
  <sheetViews>
    <sheetView zoomScaleNormal="100" workbookViewId="0">
      <selection activeCell="O11" sqref="O11"/>
    </sheetView>
  </sheetViews>
  <sheetFormatPr defaultColWidth="8.6640625" defaultRowHeight="10.199999999999999" x14ac:dyDescent="0.2"/>
  <cols>
    <col min="1" max="1" width="21.5546875" style="5" customWidth="1"/>
    <col min="2" max="2" width="7.6640625" style="5" bestFit="1" customWidth="1"/>
    <col min="3" max="3" width="12.6640625" style="5" bestFit="1" customWidth="1"/>
    <col min="4" max="4" width="9.6640625" style="5" bestFit="1" customWidth="1"/>
    <col min="5" max="6" width="10" style="5" bestFit="1" customWidth="1"/>
    <col min="7" max="7" width="2" style="5" customWidth="1"/>
    <col min="8" max="8" width="7.109375" style="5" customWidth="1"/>
    <col min="9" max="9" width="9.109375" style="5" bestFit="1" customWidth="1"/>
    <col min="10" max="10" width="7.6640625" style="5" bestFit="1" customWidth="1"/>
    <col min="11" max="11" width="9" style="5" bestFit="1" customWidth="1"/>
    <col min="12" max="12" width="9" style="5" customWidth="1"/>
    <col min="13" max="13" width="8.33203125" style="5" bestFit="1" customWidth="1"/>
    <col min="14" max="16384" width="8.6640625" style="5"/>
  </cols>
  <sheetData>
    <row r="1" spans="1:13" s="3" customFormat="1" x14ac:dyDescent="0.2">
      <c r="A1" s="1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3" customFormat="1" x14ac:dyDescent="0.2">
      <c r="A2" s="1" t="s">
        <v>17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1" t="s">
        <v>282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5" spans="1:13" x14ac:dyDescent="0.2">
      <c r="C5" s="351" t="s">
        <v>237</v>
      </c>
      <c r="D5" s="351"/>
      <c r="E5" s="351"/>
      <c r="F5" s="351"/>
      <c r="G5" s="6"/>
      <c r="H5" s="351" t="s">
        <v>238</v>
      </c>
      <c r="I5" s="351"/>
      <c r="J5" s="351"/>
      <c r="K5" s="351"/>
      <c r="L5" s="7"/>
      <c r="M5" s="7"/>
    </row>
    <row r="6" spans="1:13" ht="20.399999999999999" x14ac:dyDescent="0.2">
      <c r="A6" s="8" t="s">
        <v>18</v>
      </c>
      <c r="B6" s="8" t="s">
        <v>19</v>
      </c>
      <c r="C6" s="8" t="s">
        <v>239</v>
      </c>
      <c r="D6" s="8" t="s">
        <v>240</v>
      </c>
      <c r="E6" s="8" t="s">
        <v>241</v>
      </c>
      <c r="F6" s="8" t="s">
        <v>242</v>
      </c>
      <c r="G6" s="6"/>
      <c r="H6" s="8" t="s">
        <v>239</v>
      </c>
      <c r="I6" s="8" t="s">
        <v>240</v>
      </c>
      <c r="J6" s="8" t="s">
        <v>241</v>
      </c>
      <c r="K6" s="8" t="s">
        <v>242</v>
      </c>
      <c r="L6" s="9" t="s">
        <v>20</v>
      </c>
      <c r="M6" s="8" t="s">
        <v>21</v>
      </c>
    </row>
    <row r="7" spans="1:13" x14ac:dyDescent="0.2">
      <c r="A7" s="5" t="s">
        <v>22</v>
      </c>
      <c r="B7" s="10">
        <v>1106</v>
      </c>
      <c r="C7" s="11">
        <f>ROUND(+$E$27,2)</f>
        <v>7.49</v>
      </c>
      <c r="D7" s="11">
        <f t="shared" ref="D7:D18" si="0">ROUND(IF($B7&gt;600,600*$E$60,$B7*$E$38),2)</f>
        <v>56.79</v>
      </c>
      <c r="E7" s="11">
        <f t="shared" ref="E7:E18" si="1">ROUND(IF($B7&gt;600,($B7-600)*$E$61,0),2)</f>
        <v>57.93</v>
      </c>
      <c r="F7" s="12">
        <f t="shared" ref="F7:F18" si="2">SUM(C7:E7)</f>
        <v>122.21000000000001</v>
      </c>
      <c r="G7" s="6"/>
      <c r="H7" s="11">
        <f>ROUND(+$F$27,2)</f>
        <v>7.49</v>
      </c>
      <c r="I7" s="11">
        <f t="shared" ref="I7:I18" si="3">ROUND(IF($B7&gt;600,600*$F$60,$B7*$F$38),2)</f>
        <v>57.59</v>
      </c>
      <c r="J7" s="11">
        <f t="shared" ref="J7:J18" si="4">ROUND(IF($B7&gt;600,($B7-600)*$F$61,0),2)</f>
        <v>58.6</v>
      </c>
      <c r="K7" s="12">
        <f t="shared" ref="K7:K18" si="5">SUM(H7:J7)</f>
        <v>123.68</v>
      </c>
      <c r="L7" s="12">
        <f>+K7-F7</f>
        <v>1.4699999999999989</v>
      </c>
      <c r="M7" s="44">
        <f>+L7/F7</f>
        <v>1.2028475574830199E-2</v>
      </c>
    </row>
    <row r="8" spans="1:13" x14ac:dyDescent="0.2">
      <c r="A8" s="5" t="s">
        <v>23</v>
      </c>
      <c r="B8" s="10">
        <v>958</v>
      </c>
      <c r="C8" s="11">
        <f t="shared" ref="C8:C18" si="6">ROUND(+$E$27,2)</f>
        <v>7.49</v>
      </c>
      <c r="D8" s="11">
        <f t="shared" si="0"/>
        <v>56.79</v>
      </c>
      <c r="E8" s="11">
        <f t="shared" si="1"/>
        <v>40.98</v>
      </c>
      <c r="F8" s="12">
        <f t="shared" si="2"/>
        <v>105.25999999999999</v>
      </c>
      <c r="G8" s="6"/>
      <c r="H8" s="11">
        <f t="shared" ref="H8:H18" si="7">ROUND(+$F$27,2)</f>
        <v>7.49</v>
      </c>
      <c r="I8" s="11">
        <f t="shared" si="3"/>
        <v>57.59</v>
      </c>
      <c r="J8" s="11">
        <f t="shared" si="4"/>
        <v>41.46</v>
      </c>
      <c r="K8" s="12">
        <f t="shared" si="5"/>
        <v>106.53999999999999</v>
      </c>
      <c r="L8" s="12">
        <f t="shared" ref="L8:L18" si="8">+K8-F8</f>
        <v>1.2800000000000011</v>
      </c>
      <c r="M8" s="44">
        <f t="shared" ref="M8:M18" si="9">+L8/F8</f>
        <v>1.2160364810944339E-2</v>
      </c>
    </row>
    <row r="9" spans="1:13" x14ac:dyDescent="0.2">
      <c r="A9" s="5" t="s">
        <v>24</v>
      </c>
      <c r="B9" s="10">
        <v>949</v>
      </c>
      <c r="C9" s="11">
        <f t="shared" si="6"/>
        <v>7.49</v>
      </c>
      <c r="D9" s="11">
        <f t="shared" si="0"/>
        <v>56.79</v>
      </c>
      <c r="E9" s="11">
        <f t="shared" si="1"/>
        <v>39.950000000000003</v>
      </c>
      <c r="F9" s="12">
        <f t="shared" si="2"/>
        <v>104.23</v>
      </c>
      <c r="G9" s="6"/>
      <c r="H9" s="11">
        <f t="shared" si="7"/>
        <v>7.49</v>
      </c>
      <c r="I9" s="11">
        <f t="shared" si="3"/>
        <v>57.59</v>
      </c>
      <c r="J9" s="11">
        <f t="shared" si="4"/>
        <v>40.42</v>
      </c>
      <c r="K9" s="12">
        <f t="shared" si="5"/>
        <v>105.5</v>
      </c>
      <c r="L9" s="12">
        <f t="shared" si="8"/>
        <v>1.269999999999996</v>
      </c>
      <c r="M9" s="44">
        <f t="shared" si="9"/>
        <v>1.2184591768204894E-2</v>
      </c>
    </row>
    <row r="10" spans="1:13" x14ac:dyDescent="0.2">
      <c r="A10" s="5" t="s">
        <v>25</v>
      </c>
      <c r="B10" s="10">
        <v>853</v>
      </c>
      <c r="C10" s="11">
        <f t="shared" si="6"/>
        <v>7.49</v>
      </c>
      <c r="D10" s="11">
        <f t="shared" si="0"/>
        <v>56.79</v>
      </c>
      <c r="E10" s="11">
        <f t="shared" si="1"/>
        <v>28.96</v>
      </c>
      <c r="F10" s="12">
        <f t="shared" si="2"/>
        <v>93.240000000000009</v>
      </c>
      <c r="G10" s="6"/>
      <c r="H10" s="11">
        <f t="shared" si="7"/>
        <v>7.49</v>
      </c>
      <c r="I10" s="11">
        <f t="shared" si="3"/>
        <v>57.59</v>
      </c>
      <c r="J10" s="11">
        <f t="shared" si="4"/>
        <v>29.3</v>
      </c>
      <c r="K10" s="12">
        <f t="shared" si="5"/>
        <v>94.38</v>
      </c>
      <c r="L10" s="12">
        <f t="shared" si="8"/>
        <v>1.1399999999999864</v>
      </c>
      <c r="M10" s="44">
        <f t="shared" si="9"/>
        <v>1.2226512226512078E-2</v>
      </c>
    </row>
    <row r="11" spans="1:13" x14ac:dyDescent="0.2">
      <c r="A11" s="5" t="s">
        <v>26</v>
      </c>
      <c r="B11" s="10">
        <v>707</v>
      </c>
      <c r="C11" s="11">
        <f t="shared" si="6"/>
        <v>7.49</v>
      </c>
      <c r="D11" s="11">
        <f t="shared" si="0"/>
        <v>56.79</v>
      </c>
      <c r="E11" s="11">
        <f t="shared" si="1"/>
        <v>12.25</v>
      </c>
      <c r="F11" s="12">
        <f t="shared" si="2"/>
        <v>76.53</v>
      </c>
      <c r="G11" s="6"/>
      <c r="H11" s="11">
        <f t="shared" si="7"/>
        <v>7.49</v>
      </c>
      <c r="I11" s="11">
        <f t="shared" si="3"/>
        <v>57.59</v>
      </c>
      <c r="J11" s="11">
        <f t="shared" si="4"/>
        <v>12.39</v>
      </c>
      <c r="K11" s="12">
        <f t="shared" si="5"/>
        <v>77.47</v>
      </c>
      <c r="L11" s="12">
        <f t="shared" si="8"/>
        <v>0.93999999999999773</v>
      </c>
      <c r="M11" s="44">
        <f t="shared" si="9"/>
        <v>1.2282764928786067E-2</v>
      </c>
    </row>
    <row r="12" spans="1:13" x14ac:dyDescent="0.2">
      <c r="A12" s="5" t="s">
        <v>27</v>
      </c>
      <c r="B12" s="10">
        <v>641</v>
      </c>
      <c r="C12" s="11">
        <f t="shared" si="6"/>
        <v>7.49</v>
      </c>
      <c r="D12" s="11">
        <f t="shared" si="0"/>
        <v>56.79</v>
      </c>
      <c r="E12" s="11">
        <f t="shared" si="1"/>
        <v>4.6900000000000004</v>
      </c>
      <c r="F12" s="12">
        <f t="shared" si="2"/>
        <v>68.97</v>
      </c>
      <c r="G12" s="6"/>
      <c r="H12" s="11">
        <f t="shared" si="7"/>
        <v>7.49</v>
      </c>
      <c r="I12" s="11">
        <f t="shared" si="3"/>
        <v>57.59</v>
      </c>
      <c r="J12" s="11">
        <f t="shared" si="4"/>
        <v>4.75</v>
      </c>
      <c r="K12" s="12">
        <f t="shared" si="5"/>
        <v>69.83</v>
      </c>
      <c r="L12" s="12">
        <f t="shared" si="8"/>
        <v>0.85999999999999943</v>
      </c>
      <c r="M12" s="44">
        <f t="shared" si="9"/>
        <v>1.2469189502682318E-2</v>
      </c>
    </row>
    <row r="13" spans="1:13" x14ac:dyDescent="0.2">
      <c r="A13" s="5" t="s">
        <v>28</v>
      </c>
      <c r="B13" s="10">
        <v>660</v>
      </c>
      <c r="C13" s="11">
        <f t="shared" si="6"/>
        <v>7.49</v>
      </c>
      <c r="D13" s="11">
        <f t="shared" si="0"/>
        <v>56.79</v>
      </c>
      <c r="E13" s="11">
        <f t="shared" si="1"/>
        <v>6.87</v>
      </c>
      <c r="F13" s="12">
        <f t="shared" si="2"/>
        <v>71.150000000000006</v>
      </c>
      <c r="G13" s="6"/>
      <c r="H13" s="11">
        <f t="shared" si="7"/>
        <v>7.49</v>
      </c>
      <c r="I13" s="11">
        <f t="shared" si="3"/>
        <v>57.59</v>
      </c>
      <c r="J13" s="11">
        <f t="shared" si="4"/>
        <v>6.95</v>
      </c>
      <c r="K13" s="12">
        <f t="shared" si="5"/>
        <v>72.03</v>
      </c>
      <c r="L13" s="12">
        <f t="shared" si="8"/>
        <v>0.87999999999999545</v>
      </c>
      <c r="M13" s="44">
        <f t="shared" si="9"/>
        <v>1.2368236120871333E-2</v>
      </c>
    </row>
    <row r="14" spans="1:13" x14ac:dyDescent="0.2">
      <c r="A14" s="5" t="s">
        <v>29</v>
      </c>
      <c r="B14" s="10">
        <v>673</v>
      </c>
      <c r="C14" s="11">
        <f t="shared" si="6"/>
        <v>7.49</v>
      </c>
      <c r="D14" s="11">
        <f t="shared" si="0"/>
        <v>56.79</v>
      </c>
      <c r="E14" s="11">
        <f t="shared" si="1"/>
        <v>8.36</v>
      </c>
      <c r="F14" s="12">
        <f t="shared" si="2"/>
        <v>72.64</v>
      </c>
      <c r="G14" s="6"/>
      <c r="H14" s="11">
        <f t="shared" si="7"/>
        <v>7.49</v>
      </c>
      <c r="I14" s="11">
        <f t="shared" si="3"/>
        <v>57.59</v>
      </c>
      <c r="J14" s="11">
        <f t="shared" si="4"/>
        <v>8.4499999999999993</v>
      </c>
      <c r="K14" s="12">
        <f t="shared" si="5"/>
        <v>73.53</v>
      </c>
      <c r="L14" s="12">
        <f t="shared" si="8"/>
        <v>0.89000000000000057</v>
      </c>
      <c r="M14" s="44">
        <f t="shared" si="9"/>
        <v>1.2252202643171815E-2</v>
      </c>
    </row>
    <row r="15" spans="1:13" x14ac:dyDescent="0.2">
      <c r="A15" s="5" t="s">
        <v>30</v>
      </c>
      <c r="B15" s="10">
        <v>640</v>
      </c>
      <c r="C15" s="11">
        <f t="shared" si="6"/>
        <v>7.49</v>
      </c>
      <c r="D15" s="11">
        <f t="shared" si="0"/>
        <v>56.79</v>
      </c>
      <c r="E15" s="11">
        <f t="shared" si="1"/>
        <v>4.58</v>
      </c>
      <c r="F15" s="12">
        <f t="shared" si="2"/>
        <v>68.86</v>
      </c>
      <c r="G15" s="6"/>
      <c r="H15" s="11">
        <f t="shared" si="7"/>
        <v>7.49</v>
      </c>
      <c r="I15" s="11">
        <f t="shared" si="3"/>
        <v>57.59</v>
      </c>
      <c r="J15" s="11">
        <f t="shared" si="4"/>
        <v>4.63</v>
      </c>
      <c r="K15" s="12">
        <f t="shared" si="5"/>
        <v>69.709999999999994</v>
      </c>
      <c r="L15" s="12">
        <f t="shared" si="8"/>
        <v>0.84999999999999432</v>
      </c>
      <c r="M15" s="44">
        <f t="shared" si="9"/>
        <v>1.2343886145802997E-2</v>
      </c>
    </row>
    <row r="16" spans="1:13" x14ac:dyDescent="0.2">
      <c r="A16" s="5" t="s">
        <v>31</v>
      </c>
      <c r="B16" s="10">
        <v>769</v>
      </c>
      <c r="C16" s="11">
        <f t="shared" si="6"/>
        <v>7.49</v>
      </c>
      <c r="D16" s="11">
        <f t="shared" si="0"/>
        <v>56.79</v>
      </c>
      <c r="E16" s="11">
        <f t="shared" si="1"/>
        <v>19.350000000000001</v>
      </c>
      <c r="F16" s="12">
        <f t="shared" si="2"/>
        <v>83.63</v>
      </c>
      <c r="G16" s="6"/>
      <c r="H16" s="11">
        <f t="shared" si="7"/>
        <v>7.49</v>
      </c>
      <c r="I16" s="11">
        <f t="shared" si="3"/>
        <v>57.59</v>
      </c>
      <c r="J16" s="11">
        <f t="shared" si="4"/>
        <v>19.57</v>
      </c>
      <c r="K16" s="12">
        <f t="shared" si="5"/>
        <v>84.65</v>
      </c>
      <c r="L16" s="12">
        <f t="shared" si="8"/>
        <v>1.0200000000000102</v>
      </c>
      <c r="M16" s="44">
        <f t="shared" si="9"/>
        <v>1.2196580174578624E-2</v>
      </c>
    </row>
    <row r="17" spans="1:13" x14ac:dyDescent="0.2">
      <c r="A17" s="5" t="s">
        <v>32</v>
      </c>
      <c r="B17" s="10">
        <v>984</v>
      </c>
      <c r="C17" s="11">
        <f t="shared" si="6"/>
        <v>7.49</v>
      </c>
      <c r="D17" s="11">
        <f t="shared" si="0"/>
        <v>56.79</v>
      </c>
      <c r="E17" s="11">
        <f t="shared" si="1"/>
        <v>43.96</v>
      </c>
      <c r="F17" s="12">
        <f t="shared" si="2"/>
        <v>108.24000000000001</v>
      </c>
      <c r="G17" s="6"/>
      <c r="H17" s="11">
        <f t="shared" si="7"/>
        <v>7.49</v>
      </c>
      <c r="I17" s="11">
        <f t="shared" si="3"/>
        <v>57.59</v>
      </c>
      <c r="J17" s="11">
        <f t="shared" si="4"/>
        <v>44.47</v>
      </c>
      <c r="K17" s="12">
        <f t="shared" si="5"/>
        <v>109.55</v>
      </c>
      <c r="L17" s="12">
        <f t="shared" si="8"/>
        <v>1.3099999999999881</v>
      </c>
      <c r="M17" s="44">
        <f t="shared" si="9"/>
        <v>1.2102734663710162E-2</v>
      </c>
    </row>
    <row r="18" spans="1:13" x14ac:dyDescent="0.2">
      <c r="A18" s="5" t="s">
        <v>33</v>
      </c>
      <c r="B18" s="10">
        <v>1099</v>
      </c>
      <c r="C18" s="11">
        <f t="shared" si="6"/>
        <v>7.49</v>
      </c>
      <c r="D18" s="11">
        <f t="shared" si="0"/>
        <v>56.79</v>
      </c>
      <c r="E18" s="11">
        <f t="shared" si="1"/>
        <v>57.13</v>
      </c>
      <c r="F18" s="12">
        <f t="shared" si="2"/>
        <v>121.41</v>
      </c>
      <c r="G18" s="6"/>
      <c r="H18" s="11">
        <f t="shared" si="7"/>
        <v>7.49</v>
      </c>
      <c r="I18" s="11">
        <f t="shared" si="3"/>
        <v>57.59</v>
      </c>
      <c r="J18" s="11">
        <f t="shared" si="4"/>
        <v>57.79</v>
      </c>
      <c r="K18" s="12">
        <f t="shared" si="5"/>
        <v>122.87</v>
      </c>
      <c r="L18" s="12">
        <f t="shared" si="8"/>
        <v>1.460000000000008</v>
      </c>
      <c r="M18" s="44">
        <f t="shared" si="9"/>
        <v>1.2025368585783774E-2</v>
      </c>
    </row>
    <row r="19" spans="1:13" x14ac:dyDescent="0.2">
      <c r="C19" s="11"/>
      <c r="G19" s="6"/>
      <c r="H19" s="11"/>
      <c r="M19" s="44"/>
    </row>
    <row r="20" spans="1:13" ht="10.8" thickBot="1" x14ac:dyDescent="0.25">
      <c r="A20" s="13" t="s">
        <v>34</v>
      </c>
      <c r="B20" s="14">
        <f>SUM(B7:B19)</f>
        <v>10039</v>
      </c>
      <c r="C20" s="15">
        <f>SUM(C7:C19)</f>
        <v>89.88</v>
      </c>
      <c r="D20" s="15">
        <f>SUM(D7:D19)</f>
        <v>681.48</v>
      </c>
      <c r="E20" s="15">
        <f>SUM(E7:E19)</f>
        <v>325.01</v>
      </c>
      <c r="F20" s="15">
        <f>SUM(F7:F19)</f>
        <v>1096.3700000000001</v>
      </c>
      <c r="G20" s="6"/>
      <c r="H20" s="15">
        <f>SUM(H7:H19)</f>
        <v>89.88</v>
      </c>
      <c r="I20" s="15">
        <f>SUM(I7:I19)</f>
        <v>691.08000000000027</v>
      </c>
      <c r="J20" s="15">
        <f>SUM(J7:J19)</f>
        <v>328.78000000000003</v>
      </c>
      <c r="K20" s="15">
        <f>SUM(K7:K19)</f>
        <v>1109.74</v>
      </c>
      <c r="L20" s="15">
        <f t="shared" ref="L20" si="10">+K20-F20</f>
        <v>13.369999999999891</v>
      </c>
      <c r="M20" s="45">
        <f t="shared" ref="M20" si="11">+L20/F20</f>
        <v>1.2194788255789459E-2</v>
      </c>
    </row>
    <row r="21" spans="1:13" ht="10.8" thickTop="1" x14ac:dyDescent="0.2">
      <c r="G21" s="6"/>
      <c r="M21" s="44"/>
    </row>
    <row r="22" spans="1:13" ht="10.8" thickBot="1" x14ac:dyDescent="0.25">
      <c r="A22" s="16" t="s">
        <v>130</v>
      </c>
      <c r="B22" s="17">
        <f>ROUND(AVERAGE(B7:B18),-2)</f>
        <v>800</v>
      </c>
      <c r="C22" s="18">
        <f t="shared" ref="C22:C23" si="12">ROUND(+$E$27,2)</f>
        <v>7.49</v>
      </c>
      <c r="D22" s="18">
        <f>ROUND(IF($B22&gt;600,600*$E$60,$B22*$E$38),2)</f>
        <v>56.79</v>
      </c>
      <c r="E22" s="18">
        <f>ROUND(IF($B22&gt;600,($B22-600)*$E$61,0),2)</f>
        <v>22.9</v>
      </c>
      <c r="F22" s="18">
        <f>SUM(C22:E22)</f>
        <v>87.18</v>
      </c>
      <c r="G22" s="6"/>
      <c r="H22" s="18">
        <f t="shared" ref="H22:H23" si="13">ROUND(+$F$27,2)</f>
        <v>7.49</v>
      </c>
      <c r="I22" s="18">
        <f>ROUND(IF($B22&gt;600,600*$F$60,$B22*$F$38),2)</f>
        <v>57.59</v>
      </c>
      <c r="J22" s="18">
        <f>ROUND(IF($B22&gt;600,($B22-600)*$F$61,0),2)</f>
        <v>23.16</v>
      </c>
      <c r="K22" s="18">
        <f>SUM(H22:J22)</f>
        <v>88.24</v>
      </c>
      <c r="L22" s="18">
        <f t="shared" ref="L22:L23" si="14">+K22-F22</f>
        <v>1.0599999999999881</v>
      </c>
      <c r="M22" s="45">
        <f t="shared" ref="M22:M23" si="15">+L22/F22</f>
        <v>1.2158752007340996E-2</v>
      </c>
    </row>
    <row r="23" spans="1:13" ht="11.4" thickTop="1" thickBot="1" x14ac:dyDescent="0.25">
      <c r="A23" s="19" t="s">
        <v>130</v>
      </c>
      <c r="B23" s="14">
        <v>1000</v>
      </c>
      <c r="C23" s="18">
        <f t="shared" si="12"/>
        <v>7.49</v>
      </c>
      <c r="D23" s="18">
        <f>ROUND(IF($B23&gt;600,600*$E$60,$B23*$E$38),2)</f>
        <v>56.79</v>
      </c>
      <c r="E23" s="18">
        <f>ROUND(IF($B23&gt;600,($B23-600)*$E$61,0),2)</f>
        <v>45.79</v>
      </c>
      <c r="F23" s="18">
        <f>SUM(C23:E23)</f>
        <v>110.07</v>
      </c>
      <c r="G23" s="6"/>
      <c r="H23" s="18">
        <f t="shared" si="13"/>
        <v>7.49</v>
      </c>
      <c r="I23" s="18">
        <f>ROUND(IF($B23&gt;600,600*$F$60,$B23*$F$38),2)</f>
        <v>57.59</v>
      </c>
      <c r="J23" s="18">
        <f>ROUND(IF($B23&gt;600,($B23-600)*$F$61,0),2)</f>
        <v>46.33</v>
      </c>
      <c r="K23" s="18">
        <f>SUM(H23:J23)</f>
        <v>111.41</v>
      </c>
      <c r="L23" s="18">
        <f t="shared" si="14"/>
        <v>1.3400000000000034</v>
      </c>
      <c r="M23" s="45">
        <f t="shared" si="15"/>
        <v>1.2174071045698225E-2</v>
      </c>
    </row>
    <row r="24" spans="1:13" ht="10.8" thickTop="1" x14ac:dyDescent="0.2"/>
    <row r="25" spans="1:13" ht="40.799999999999997" x14ac:dyDescent="0.2">
      <c r="A25" s="20" t="s">
        <v>131</v>
      </c>
      <c r="B25" s="21"/>
      <c r="C25" s="21"/>
      <c r="D25" s="21"/>
      <c r="E25" s="22" t="s">
        <v>258</v>
      </c>
      <c r="F25" s="22" t="s">
        <v>255</v>
      </c>
    </row>
    <row r="26" spans="1:13" x14ac:dyDescent="0.2">
      <c r="A26" s="347" t="s">
        <v>35</v>
      </c>
      <c r="B26" s="347"/>
      <c r="C26" s="347"/>
      <c r="D26" s="347"/>
      <c r="E26" s="23"/>
      <c r="F26" s="23"/>
    </row>
    <row r="27" spans="1:13" x14ac:dyDescent="0.2">
      <c r="A27" s="352" t="s">
        <v>132</v>
      </c>
      <c r="B27" s="352"/>
      <c r="C27" s="352"/>
      <c r="D27" s="352"/>
      <c r="E27" s="41">
        <v>7.49</v>
      </c>
      <c r="F27" s="24">
        <f>+E27</f>
        <v>7.49</v>
      </c>
      <c r="G27" s="5" t="s">
        <v>36</v>
      </c>
    </row>
    <row r="28" spans="1:13" ht="10.8" thickBot="1" x14ac:dyDescent="0.25">
      <c r="A28" s="346" t="s">
        <v>111</v>
      </c>
      <c r="B28" s="346"/>
      <c r="C28" s="346"/>
      <c r="D28" s="346"/>
      <c r="E28" s="25">
        <f>SUM(E27)</f>
        <v>7.49</v>
      </c>
      <c r="F28" s="25">
        <f>SUM(F27:F27)</f>
        <v>7.49</v>
      </c>
    </row>
    <row r="29" spans="1:13" ht="10.8" thickTop="1" x14ac:dyDescent="0.2">
      <c r="A29" s="347" t="s">
        <v>37</v>
      </c>
      <c r="B29" s="347"/>
      <c r="C29" s="347"/>
      <c r="D29" s="347"/>
      <c r="E29" s="26"/>
      <c r="F29" s="26"/>
    </row>
    <row r="30" spans="1:13" x14ac:dyDescent="0.2">
      <c r="A30" s="352" t="s">
        <v>38</v>
      </c>
      <c r="B30" s="352"/>
      <c r="C30" s="352"/>
      <c r="D30" s="352"/>
      <c r="E30" s="42">
        <v>9.1343999999999995E-2</v>
      </c>
      <c r="F30" s="27">
        <f>+E30</f>
        <v>9.1343999999999995E-2</v>
      </c>
      <c r="G30" s="5" t="s">
        <v>11</v>
      </c>
    </row>
    <row r="31" spans="1:13" x14ac:dyDescent="0.2">
      <c r="A31" s="350" t="s">
        <v>43</v>
      </c>
      <c r="B31" s="350"/>
      <c r="C31" s="350"/>
      <c r="D31" s="350"/>
      <c r="E31" s="43">
        <f>'2022 Proposed Impacts'!F9</f>
        <v>1.3519999999999999E-3</v>
      </c>
      <c r="F31" s="46">
        <f>'2022 Proposed Impacts'!G9</f>
        <v>2.6870000000000002E-3</v>
      </c>
      <c r="G31" s="47" t="s">
        <v>11</v>
      </c>
      <c r="H31" s="47"/>
    </row>
    <row r="32" spans="1:13" s="28" customFormat="1" x14ac:dyDescent="0.2">
      <c r="A32" s="349" t="s">
        <v>109</v>
      </c>
      <c r="B32" s="349"/>
      <c r="C32" s="349"/>
      <c r="D32" s="349"/>
      <c r="E32" s="42">
        <v>2.7980000000000001E-3</v>
      </c>
      <c r="F32" s="27">
        <f t="shared" ref="F32:F34" si="16">+E32</f>
        <v>2.7980000000000001E-3</v>
      </c>
      <c r="G32" s="28" t="s">
        <v>11</v>
      </c>
    </row>
    <row r="33" spans="1:8" s="28" customFormat="1" x14ac:dyDescent="0.2">
      <c r="A33" s="349" t="s">
        <v>244</v>
      </c>
      <c r="B33" s="349"/>
      <c r="C33" s="349"/>
      <c r="D33" s="349"/>
      <c r="E33" s="42">
        <v>8.4999999999999995E-4</v>
      </c>
      <c r="F33" s="27">
        <f t="shared" si="16"/>
        <v>8.4999999999999995E-4</v>
      </c>
      <c r="G33" s="28" t="s">
        <v>11</v>
      </c>
    </row>
    <row r="34" spans="1:8" s="28" customFormat="1" x14ac:dyDescent="0.2">
      <c r="A34" s="349" t="s">
        <v>243</v>
      </c>
      <c r="B34" s="349"/>
      <c r="C34" s="349"/>
      <c r="D34" s="349"/>
      <c r="E34" s="42">
        <v>0</v>
      </c>
      <c r="F34" s="27">
        <f t="shared" si="16"/>
        <v>0</v>
      </c>
      <c r="G34" s="28" t="s">
        <v>11</v>
      </c>
    </row>
    <row r="35" spans="1:8" s="28" customFormat="1" x14ac:dyDescent="0.2">
      <c r="A35" s="349" t="s">
        <v>245</v>
      </c>
      <c r="B35" s="349"/>
      <c r="C35" s="349"/>
      <c r="D35" s="349"/>
      <c r="E35" s="42">
        <v>-8.8400000000000002E-4</v>
      </c>
      <c r="F35" s="27">
        <f>E35</f>
        <v>-8.8400000000000002E-4</v>
      </c>
      <c r="G35" s="28" t="s">
        <v>11</v>
      </c>
    </row>
    <row r="36" spans="1:8" s="28" customFormat="1" x14ac:dyDescent="0.2">
      <c r="A36" s="349" t="s">
        <v>110</v>
      </c>
      <c r="B36" s="349"/>
      <c r="C36" s="349"/>
      <c r="D36" s="349"/>
      <c r="E36" s="42">
        <v>-3.0829999999999998E-3</v>
      </c>
      <c r="F36" s="27">
        <f>E36</f>
        <v>-3.0829999999999998E-3</v>
      </c>
      <c r="G36" s="28" t="s">
        <v>11</v>
      </c>
    </row>
    <row r="37" spans="1:8" s="28" customFormat="1" x14ac:dyDescent="0.2">
      <c r="A37" s="349" t="s">
        <v>256</v>
      </c>
      <c r="B37" s="349"/>
      <c r="C37" s="349"/>
      <c r="D37" s="349"/>
      <c r="E37" s="42">
        <v>0</v>
      </c>
      <c r="F37" s="30">
        <f>E37</f>
        <v>0</v>
      </c>
      <c r="G37" s="28" t="s">
        <v>11</v>
      </c>
    </row>
    <row r="38" spans="1:8" s="28" customFormat="1" ht="10.8" thickBot="1" x14ac:dyDescent="0.25">
      <c r="A38" s="345" t="s">
        <v>112</v>
      </c>
      <c r="B38" s="345"/>
      <c r="C38" s="345"/>
      <c r="D38" s="345"/>
      <c r="E38" s="29">
        <f>SUM(E30:E37)</f>
        <v>9.2377000000000001E-2</v>
      </c>
      <c r="F38" s="29">
        <f>SUM(F30:F37)</f>
        <v>9.371199999999999E-2</v>
      </c>
      <c r="G38" s="28" t="s">
        <v>11</v>
      </c>
    </row>
    <row r="39" spans="1:8" s="28" customFormat="1" ht="10.8" thickTop="1" x14ac:dyDescent="0.2">
      <c r="A39" s="348"/>
      <c r="B39" s="348"/>
      <c r="C39" s="348"/>
      <c r="D39" s="348"/>
      <c r="E39" s="27"/>
      <c r="F39" s="27"/>
    </row>
    <row r="40" spans="1:8" s="28" customFormat="1" x14ac:dyDescent="0.2">
      <c r="A40" s="348" t="s">
        <v>39</v>
      </c>
      <c r="B40" s="348"/>
      <c r="C40" s="348"/>
      <c r="D40" s="348"/>
      <c r="E40" s="42">
        <v>0.111175</v>
      </c>
      <c r="F40" s="27">
        <f>+E40</f>
        <v>0.111175</v>
      </c>
      <c r="G40" s="28" t="s">
        <v>11</v>
      </c>
    </row>
    <row r="41" spans="1:8" s="28" customFormat="1" x14ac:dyDescent="0.2">
      <c r="A41" s="350" t="s">
        <v>43</v>
      </c>
      <c r="B41" s="350"/>
      <c r="C41" s="350"/>
      <c r="D41" s="350"/>
      <c r="E41" s="43">
        <f>E31</f>
        <v>1.3519999999999999E-3</v>
      </c>
      <c r="F41" s="48">
        <f>F31</f>
        <v>2.6870000000000002E-3</v>
      </c>
      <c r="G41" s="47" t="s">
        <v>11</v>
      </c>
      <c r="H41" s="47"/>
    </row>
    <row r="42" spans="1:8" s="28" customFormat="1" x14ac:dyDescent="0.2">
      <c r="A42" s="349" t="s">
        <v>109</v>
      </c>
      <c r="B42" s="349"/>
      <c r="C42" s="349"/>
      <c r="D42" s="349"/>
      <c r="E42" s="42">
        <f t="shared" ref="E42:E47" si="17">E32</f>
        <v>2.7980000000000001E-3</v>
      </c>
      <c r="F42" s="27">
        <f>F32</f>
        <v>2.7980000000000001E-3</v>
      </c>
      <c r="G42" s="28" t="s">
        <v>11</v>
      </c>
    </row>
    <row r="43" spans="1:8" s="28" customFormat="1" x14ac:dyDescent="0.2">
      <c r="A43" s="35" t="s">
        <v>246</v>
      </c>
      <c r="B43" s="35"/>
      <c r="C43" s="35"/>
      <c r="D43" s="35"/>
      <c r="E43" s="42">
        <f t="shared" si="17"/>
        <v>8.4999999999999995E-4</v>
      </c>
      <c r="F43" s="27">
        <f t="shared" ref="F43:F47" si="18">F33</f>
        <v>8.4999999999999995E-4</v>
      </c>
      <c r="G43" s="28" t="s">
        <v>11</v>
      </c>
    </row>
    <row r="44" spans="1:8" s="28" customFormat="1" x14ac:dyDescent="0.2">
      <c r="A44" s="35" t="s">
        <v>243</v>
      </c>
      <c r="B44" s="35"/>
      <c r="C44" s="35"/>
      <c r="D44" s="35"/>
      <c r="E44" s="42">
        <f t="shared" si="17"/>
        <v>0</v>
      </c>
      <c r="F44" s="27">
        <f t="shared" si="18"/>
        <v>0</v>
      </c>
      <c r="G44" s="28" t="s">
        <v>11</v>
      </c>
    </row>
    <row r="45" spans="1:8" s="28" customFormat="1" x14ac:dyDescent="0.2">
      <c r="A45" s="349" t="s">
        <v>245</v>
      </c>
      <c r="B45" s="349"/>
      <c r="C45" s="349"/>
      <c r="D45" s="349"/>
      <c r="E45" s="42">
        <f t="shared" si="17"/>
        <v>-8.8400000000000002E-4</v>
      </c>
      <c r="F45" s="27">
        <f t="shared" si="18"/>
        <v>-8.8400000000000002E-4</v>
      </c>
      <c r="G45" s="28" t="s">
        <v>11</v>
      </c>
    </row>
    <row r="46" spans="1:8" s="28" customFormat="1" x14ac:dyDescent="0.2">
      <c r="A46" s="349" t="s">
        <v>110</v>
      </c>
      <c r="B46" s="349"/>
      <c r="C46" s="349"/>
      <c r="D46" s="349"/>
      <c r="E46" s="42">
        <f t="shared" si="17"/>
        <v>-3.0829999999999998E-3</v>
      </c>
      <c r="F46" s="27">
        <f t="shared" si="18"/>
        <v>-3.0829999999999998E-3</v>
      </c>
      <c r="G46" s="28" t="s">
        <v>11</v>
      </c>
    </row>
    <row r="47" spans="1:8" s="28" customFormat="1" x14ac:dyDescent="0.2">
      <c r="A47" s="349" t="s">
        <v>256</v>
      </c>
      <c r="B47" s="349"/>
      <c r="C47" s="349"/>
      <c r="D47" s="349"/>
      <c r="E47" s="42">
        <f t="shared" si="17"/>
        <v>0</v>
      </c>
      <c r="F47" s="27">
        <f t="shared" si="18"/>
        <v>0</v>
      </c>
      <c r="G47" s="28" t="s">
        <v>11</v>
      </c>
    </row>
    <row r="48" spans="1:8" s="28" customFormat="1" ht="10.8" thickBot="1" x14ac:dyDescent="0.25">
      <c r="A48" s="345" t="s">
        <v>113</v>
      </c>
      <c r="B48" s="345"/>
      <c r="C48" s="345"/>
      <c r="D48" s="345"/>
      <c r="E48" s="29">
        <f>SUM(E40:E47)</f>
        <v>0.112208</v>
      </c>
      <c r="F48" s="29">
        <f>SUM(F40:F47)</f>
        <v>0.11354299999999999</v>
      </c>
      <c r="G48" s="28" t="s">
        <v>11</v>
      </c>
    </row>
    <row r="49" spans="1:9" s="28" customFormat="1" ht="10.8" thickTop="1" x14ac:dyDescent="0.2">
      <c r="A49" s="348"/>
      <c r="B49" s="348"/>
      <c r="C49" s="348"/>
      <c r="D49" s="348"/>
      <c r="E49" s="27"/>
      <c r="F49" s="27"/>
    </row>
    <row r="50" spans="1:9" s="28" customFormat="1" x14ac:dyDescent="0.2">
      <c r="A50" s="345" t="s">
        <v>44</v>
      </c>
      <c r="B50" s="345"/>
      <c r="C50" s="345"/>
      <c r="D50" s="345"/>
      <c r="E50" s="42">
        <v>-6.6889999999999996E-3</v>
      </c>
      <c r="F50" s="27">
        <f>+E50</f>
        <v>-6.6889999999999996E-3</v>
      </c>
      <c r="G50" s="28" t="s">
        <v>11</v>
      </c>
    </row>
    <row r="51" spans="1:9" s="28" customFormat="1" x14ac:dyDescent="0.2">
      <c r="A51" s="348"/>
      <c r="B51" s="348"/>
      <c r="C51" s="348"/>
      <c r="D51" s="348"/>
      <c r="E51" s="27"/>
      <c r="F51" s="27"/>
    </row>
    <row r="52" spans="1:9" s="28" customFormat="1" x14ac:dyDescent="0.2">
      <c r="A52" s="348" t="s">
        <v>133</v>
      </c>
      <c r="B52" s="348"/>
      <c r="C52" s="348"/>
      <c r="D52" s="348"/>
      <c r="E52" s="27"/>
      <c r="F52" s="27"/>
      <c r="G52" s="28" t="s">
        <v>11</v>
      </c>
    </row>
    <row r="53" spans="1:9" s="28" customFormat="1" x14ac:dyDescent="0.2">
      <c r="A53" s="349" t="s">
        <v>40</v>
      </c>
      <c r="B53" s="349"/>
      <c r="C53" s="349"/>
      <c r="D53" s="349"/>
      <c r="E53" s="42">
        <v>3.3140000000000001E-3</v>
      </c>
      <c r="F53" s="27">
        <f>+E53</f>
        <v>3.3140000000000001E-3</v>
      </c>
      <c r="G53" s="28" t="s">
        <v>11</v>
      </c>
    </row>
    <row r="54" spans="1:9" s="28" customFormat="1" x14ac:dyDescent="0.2">
      <c r="A54" s="349" t="s">
        <v>257</v>
      </c>
      <c r="B54" s="349"/>
      <c r="C54" s="349"/>
      <c r="D54" s="349"/>
      <c r="E54" s="42">
        <v>2.1350000000000002E-3</v>
      </c>
      <c r="F54" s="27">
        <f>+E54</f>
        <v>2.1350000000000002E-3</v>
      </c>
      <c r="G54" s="28" t="s">
        <v>11</v>
      </c>
    </row>
    <row r="55" spans="1:9" s="28" customFormat="1" x14ac:dyDescent="0.2">
      <c r="A55" s="349" t="s">
        <v>41</v>
      </c>
      <c r="B55" s="349"/>
      <c r="C55" s="349"/>
      <c r="D55" s="349"/>
      <c r="E55" s="42">
        <v>-1.3910000000000001E-3</v>
      </c>
      <c r="F55" s="27">
        <f t="shared" ref="F55:F57" si="19">+E55</f>
        <v>-1.3910000000000001E-3</v>
      </c>
      <c r="G55" s="28" t="s">
        <v>11</v>
      </c>
    </row>
    <row r="56" spans="1:9" s="28" customFormat="1" x14ac:dyDescent="0.2">
      <c r="A56" s="349" t="s">
        <v>42</v>
      </c>
      <c r="B56" s="349"/>
      <c r="C56" s="349"/>
      <c r="D56" s="349"/>
      <c r="E56" s="42">
        <v>4.9230000000000003E-3</v>
      </c>
      <c r="F56" s="27">
        <f t="shared" si="19"/>
        <v>4.9230000000000003E-3</v>
      </c>
      <c r="G56" s="28" t="s">
        <v>11</v>
      </c>
    </row>
    <row r="57" spans="1:9" s="28" customFormat="1" x14ac:dyDescent="0.2">
      <c r="A57" s="349" t="s">
        <v>99</v>
      </c>
      <c r="B57" s="349"/>
      <c r="C57" s="349"/>
      <c r="D57" s="349"/>
      <c r="E57" s="42">
        <v>-2.0999999999999999E-5</v>
      </c>
      <c r="F57" s="27">
        <f t="shared" si="19"/>
        <v>-2.0999999999999999E-5</v>
      </c>
      <c r="G57" s="28" t="s">
        <v>11</v>
      </c>
    </row>
    <row r="58" spans="1:9" ht="10.8" thickBot="1" x14ac:dyDescent="0.25">
      <c r="A58" s="346" t="s">
        <v>134</v>
      </c>
      <c r="B58" s="346"/>
      <c r="C58" s="346"/>
      <c r="D58" s="346"/>
      <c r="E58" s="29">
        <f>SUM(E53:E57)</f>
        <v>8.9600000000000009E-3</v>
      </c>
      <c r="F58" s="29">
        <f>SUM(F53:F57)</f>
        <v>8.9600000000000009E-3</v>
      </c>
      <c r="G58" s="28" t="s">
        <v>11</v>
      </c>
    </row>
    <row r="59" spans="1:9" ht="10.8" thickTop="1" x14ac:dyDescent="0.2">
      <c r="A59" s="347"/>
      <c r="B59" s="347"/>
      <c r="C59" s="347"/>
      <c r="D59" s="347"/>
      <c r="E59" s="31"/>
      <c r="F59" s="31"/>
    </row>
    <row r="60" spans="1:9" x14ac:dyDescent="0.2">
      <c r="A60" s="346" t="s">
        <v>135</v>
      </c>
      <c r="B60" s="346"/>
      <c r="C60" s="346"/>
      <c r="D60" s="346"/>
      <c r="E60" s="31">
        <f>SUM(E38,E50:E50,E58)</f>
        <v>9.4647999999999996E-2</v>
      </c>
      <c r="F60" s="31">
        <f>SUM(F38,F50:F50,F58)</f>
        <v>9.5982999999999985E-2</v>
      </c>
      <c r="G60" s="28" t="s">
        <v>11</v>
      </c>
      <c r="I60" s="32"/>
    </row>
    <row r="61" spans="1:9" x14ac:dyDescent="0.2">
      <c r="A61" s="346" t="s">
        <v>136</v>
      </c>
      <c r="B61" s="346"/>
      <c r="C61" s="346"/>
      <c r="D61" s="346"/>
      <c r="E61" s="33">
        <f>SUM(E48,E50:E50,E58)</f>
        <v>0.114479</v>
      </c>
      <c r="F61" s="33">
        <f>SUM(F48,F50:F50,F58)</f>
        <v>0.11581399999999999</v>
      </c>
      <c r="G61" s="28" t="s">
        <v>11</v>
      </c>
      <c r="I61" s="32"/>
    </row>
    <row r="63" spans="1:9" x14ac:dyDescent="0.2">
      <c r="F63" s="12"/>
    </row>
    <row r="64" spans="1:9" x14ac:dyDescent="0.2">
      <c r="F64" s="12"/>
    </row>
    <row r="67" spans="1:13" ht="13.2" x14ac:dyDescent="0.25">
      <c r="A67"/>
      <c r="B67"/>
      <c r="C67"/>
      <c r="D67"/>
      <c r="E67"/>
    </row>
    <row r="68" spans="1:13" ht="13.2" x14ac:dyDescent="0.25">
      <c r="A68"/>
      <c r="B68"/>
      <c r="C68"/>
      <c r="D68"/>
      <c r="E68"/>
      <c r="F68" s="34"/>
      <c r="G68" s="34"/>
      <c r="H68" s="34"/>
      <c r="I68" s="34"/>
      <c r="J68" s="34"/>
      <c r="K68" s="34"/>
      <c r="L68" s="34"/>
      <c r="M68" s="34"/>
    </row>
    <row r="69" spans="1:13" ht="13.2" x14ac:dyDescent="0.25">
      <c r="A69"/>
      <c r="B69"/>
      <c r="C69"/>
      <c r="D69"/>
      <c r="E69"/>
    </row>
    <row r="70" spans="1:13" ht="13.2" x14ac:dyDescent="0.25">
      <c r="A70"/>
      <c r="B70"/>
      <c r="C70"/>
      <c r="D70"/>
      <c r="E70"/>
    </row>
    <row r="71" spans="1:13" ht="13.2" x14ac:dyDescent="0.25">
      <c r="A71"/>
      <c r="B71"/>
      <c r="C71"/>
      <c r="D71"/>
      <c r="E71"/>
    </row>
    <row r="72" spans="1:13" ht="13.2" x14ac:dyDescent="0.25">
      <c r="A72"/>
      <c r="B72"/>
      <c r="C72"/>
      <c r="D72"/>
      <c r="E72"/>
    </row>
    <row r="73" spans="1:13" ht="13.2" x14ac:dyDescent="0.25">
      <c r="A73"/>
      <c r="B73"/>
      <c r="C73"/>
      <c r="D73"/>
      <c r="E73"/>
    </row>
    <row r="74" spans="1:13" ht="13.2" x14ac:dyDescent="0.25">
      <c r="A74"/>
      <c r="B74"/>
      <c r="C74"/>
      <c r="D74"/>
      <c r="E74"/>
    </row>
    <row r="75" spans="1:13" ht="13.2" x14ac:dyDescent="0.25">
      <c r="A75"/>
      <c r="B75"/>
      <c r="C75"/>
      <c r="D75"/>
      <c r="E75"/>
    </row>
    <row r="76" spans="1:13" ht="13.2" x14ac:dyDescent="0.25">
      <c r="A76"/>
      <c r="B76"/>
      <c r="C76"/>
      <c r="D76"/>
      <c r="E76"/>
    </row>
    <row r="77" spans="1:13" ht="13.2" x14ac:dyDescent="0.25">
      <c r="A77"/>
      <c r="B77"/>
      <c r="C77"/>
      <c r="D77"/>
      <c r="E77"/>
    </row>
    <row r="78" spans="1:13" ht="13.2" x14ac:dyDescent="0.25">
      <c r="A78"/>
      <c r="B78"/>
      <c r="C78"/>
      <c r="D78"/>
      <c r="E78"/>
    </row>
    <row r="79" spans="1:13" ht="13.2" x14ac:dyDescent="0.25">
      <c r="A79"/>
      <c r="B79"/>
      <c r="C79"/>
      <c r="D79"/>
      <c r="E79"/>
    </row>
    <row r="80" spans="1:13" ht="13.2" x14ac:dyDescent="0.25">
      <c r="A80"/>
      <c r="B80"/>
      <c r="C80"/>
      <c r="D80"/>
      <c r="E80"/>
    </row>
    <row r="81" spans="1:5" ht="13.2" x14ac:dyDescent="0.25">
      <c r="A81"/>
      <c r="B81"/>
      <c r="C81"/>
      <c r="D81"/>
      <c r="E81"/>
    </row>
    <row r="82" spans="1:5" ht="13.2" x14ac:dyDescent="0.25">
      <c r="A82"/>
      <c r="B82"/>
      <c r="C82"/>
      <c r="D82"/>
      <c r="E82"/>
    </row>
    <row r="83" spans="1:5" ht="13.2" x14ac:dyDescent="0.25">
      <c r="A83"/>
      <c r="B83"/>
      <c r="C83"/>
      <c r="D83"/>
      <c r="E83"/>
    </row>
  </sheetData>
  <mergeCells count="36">
    <mergeCell ref="A60:D60"/>
    <mergeCell ref="A61:D61"/>
    <mergeCell ref="A33:D33"/>
    <mergeCell ref="C5:F5"/>
    <mergeCell ref="H5:K5"/>
    <mergeCell ref="A26:D26"/>
    <mergeCell ref="A27:D27"/>
    <mergeCell ref="A28:D28"/>
    <mergeCell ref="A29:D29"/>
    <mergeCell ref="A30:D30"/>
    <mergeCell ref="A31:D31"/>
    <mergeCell ref="A32:D32"/>
    <mergeCell ref="A40:D40"/>
    <mergeCell ref="A46:D46"/>
    <mergeCell ref="A47:D47"/>
    <mergeCell ref="A48:D48"/>
    <mergeCell ref="A49:D49"/>
    <mergeCell ref="A41:D41"/>
    <mergeCell ref="A42:D42"/>
    <mergeCell ref="A45:D45"/>
    <mergeCell ref="A34:D34"/>
    <mergeCell ref="A36:D36"/>
    <mergeCell ref="A37:D37"/>
    <mergeCell ref="A38:D38"/>
    <mergeCell ref="A39:D39"/>
    <mergeCell ref="A35:D35"/>
    <mergeCell ref="A50:D50"/>
    <mergeCell ref="A58:D58"/>
    <mergeCell ref="A59:D59"/>
    <mergeCell ref="A51:D51"/>
    <mergeCell ref="A53:D53"/>
    <mergeCell ref="A54:D54"/>
    <mergeCell ref="A55:D55"/>
    <mergeCell ref="A56:D56"/>
    <mergeCell ref="A57:D57"/>
    <mergeCell ref="A52:D52"/>
  </mergeCells>
  <printOptions horizontalCentered="1"/>
  <pageMargins left="0.25" right="0.25" top="0.75" bottom="0.75" header="0.3" footer="0.3"/>
  <pageSetup scale="41" orientation="landscape" r:id="rId1"/>
  <headerFooter>
    <oddHeader>&amp;C2021 Low Income Program Workpapers</oddHeader>
    <oddFooter>&amp;L&amp;"Times New Roman,Regular"&amp;F
&amp;A&amp;R&amp;"Times New Roman,Regular"Page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zoomScaleNormal="100" workbookViewId="0">
      <pane xSplit="3" ySplit="8" topLeftCell="D9" activePane="bottomRight" state="frozen"/>
      <selection activeCell="J7" sqref="J7"/>
      <selection pane="topRight" activeCell="J7" sqref="J7"/>
      <selection pane="bottomLeft" activeCell="J7" sqref="J7"/>
      <selection pane="bottomRight" activeCell="D15" sqref="D15"/>
    </sheetView>
  </sheetViews>
  <sheetFormatPr defaultColWidth="9.109375" defaultRowHeight="10.199999999999999" x14ac:dyDescent="0.2"/>
  <cols>
    <col min="1" max="1" width="4.5546875" style="28" customWidth="1"/>
    <col min="2" max="2" width="30.33203125" style="28" bestFit="1" customWidth="1"/>
    <col min="3" max="3" width="9.33203125" style="28" bestFit="1" customWidth="1"/>
    <col min="4" max="4" width="12.88671875" style="28" bestFit="1" customWidth="1"/>
    <col min="5" max="5" width="14.6640625" style="28" bestFit="1" customWidth="1"/>
    <col min="6" max="6" width="14.44140625" style="28" bestFit="1" customWidth="1"/>
    <col min="7" max="7" width="14.6640625" style="28" customWidth="1"/>
    <col min="8" max="13" width="13.109375" style="28" customWidth="1"/>
    <col min="14" max="14" width="1.44140625" style="28" customWidth="1"/>
    <col min="15" max="15" width="17" style="28" bestFit="1" customWidth="1"/>
    <col min="16" max="16" width="13.33203125" style="28" bestFit="1" customWidth="1"/>
    <col min="17" max="17" width="13.5546875" style="28" customWidth="1"/>
    <col min="18" max="19" width="9.109375" style="28"/>
    <col min="20" max="20" width="11.109375" style="28" bestFit="1" customWidth="1"/>
    <col min="21" max="16384" width="9.109375" style="28"/>
  </cols>
  <sheetData>
    <row r="1" spans="1:17" s="116" customFormat="1" x14ac:dyDescent="0.2">
      <c r="A1" s="2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16" customFormat="1" x14ac:dyDescent="0.2">
      <c r="A2" s="2" t="s">
        <v>114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116" customFormat="1" x14ac:dyDescent="0.2">
      <c r="A3" s="2" t="str">
        <f>TEXT(Controls!B7,"mmmm d, yyyy")&amp;" through "&amp;TEXT(Controls!B8,"mmmm d, yyyy")</f>
        <v>October 1, 2022 through September 30, 2023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s="116" customFormat="1" x14ac:dyDescent="0.2">
      <c r="A4" s="2" t="str">
        <f>"Electric Rates Effective "&amp;TEXT(Controls!B10,"mm/dd/yyyy")</f>
        <v>Electric Rates Effective 10/01/2021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s="116" customFormat="1" x14ac:dyDescent="0.2">
      <c r="A5" s="2" t="s">
        <v>270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s="116" customFormat="1" ht="10.8" thickBot="1" x14ac:dyDescent="0.25">
      <c r="A6" s="117"/>
      <c r="B6" s="39"/>
      <c r="C6" s="39"/>
    </row>
    <row r="7" spans="1:17" s="116" customFormat="1" ht="13.8" customHeight="1" thickBot="1" x14ac:dyDescent="0.25">
      <c r="A7" s="117"/>
      <c r="B7" s="39"/>
      <c r="C7" s="39"/>
      <c r="E7" s="353" t="s">
        <v>214</v>
      </c>
      <c r="F7" s="354"/>
      <c r="G7" s="354"/>
      <c r="H7" s="354"/>
      <c r="I7" s="354"/>
      <c r="J7" s="354"/>
      <c r="K7" s="354"/>
      <c r="L7" s="354"/>
      <c r="M7" s="355"/>
      <c r="O7" s="353" t="s">
        <v>215</v>
      </c>
      <c r="P7" s="354"/>
      <c r="Q7" s="355"/>
    </row>
    <row r="8" spans="1:17" s="118" customFormat="1" ht="71.400000000000006" x14ac:dyDescent="0.2">
      <c r="A8" s="111" t="s">
        <v>9</v>
      </c>
      <c r="B8" s="111" t="s">
        <v>76</v>
      </c>
      <c r="C8" s="111" t="s">
        <v>0</v>
      </c>
      <c r="D8" s="112" t="str">
        <f>"Delivered kWh "&amp;TEXT(Controls!B7,"mmmm d, yyyy")&amp;" through "&amp;TEXT(Controls!B8,"mmmm d, yyyy")</f>
        <v>Delivered kWh October 1, 2022 through September 30, 2023</v>
      </c>
      <c r="E8" s="112" t="str">
        <f>"Estimated Base Revenue "&amp;TEXT(Controls!B7,"mmmm d, yyyy")&amp;" through "&amp;TEXT(Controls!B8,"mmmm d, yyyy")</f>
        <v>Estimated Base Revenue October 1, 2022 through September 30, 2023</v>
      </c>
      <c r="F8" s="112" t="s">
        <v>283</v>
      </c>
      <c r="G8" s="112" t="s">
        <v>284</v>
      </c>
      <c r="H8" s="112" t="s">
        <v>285</v>
      </c>
      <c r="I8" s="112" t="s">
        <v>286</v>
      </c>
      <c r="J8" s="112" t="s">
        <v>287</v>
      </c>
      <c r="K8" s="112" t="s">
        <v>288</v>
      </c>
      <c r="L8" s="112" t="s">
        <v>269</v>
      </c>
      <c r="M8" s="112" t="str">
        <f>"Total Estimated Applicable Revenue"</f>
        <v>Total Estimated Applicable Revenue</v>
      </c>
      <c r="O8" s="112" t="str">
        <f>"Estimated Revenue "&amp;TEXT(Controls!B7,"mmmm d, yyyy")&amp;" through "&amp;TEXT(Controls!B8,"mmmm d, yyyy")&amp;" (All Riders + Base) Rates Effective "&amp;TEXT(Controls!B4,"mm/dd/yyyy")</f>
        <v>Estimated Revenue October 1, 2022 through September 30, 2023 (All Riders + Base) Rates Effective 10/01/2021</v>
      </c>
      <c r="P8" s="112" t="str">
        <f>"Less Sch 129 (Rates Effective "&amp;TEXT(Controls!B4,"MM/DD/YYYY")&amp;")"</f>
        <v>Less Sch 129 (Rates Effective 10/01/2021)</v>
      </c>
      <c r="Q8" s="112" t="str">
        <f>"Total Estimated Revenue less Schedule 129
("&amp;TEXT(Controls!B7,"mmmm d, yyyy")&amp;" through "&amp;TEXT(Controls!B8,"mmmm d, yyyy")&amp;")"</f>
        <v>Total Estimated Revenue less Schedule 129
(October 1, 2022 through September 30, 2023)</v>
      </c>
    </row>
    <row r="9" spans="1:17" s="49" customFormat="1" x14ac:dyDescent="0.2">
      <c r="A9" s="50"/>
      <c r="B9" s="50" t="s">
        <v>77</v>
      </c>
      <c r="C9" s="51" t="s">
        <v>78</v>
      </c>
      <c r="D9" s="52" t="s">
        <v>138</v>
      </c>
      <c r="E9" s="52" t="s">
        <v>105</v>
      </c>
      <c r="F9" s="52" t="s">
        <v>80</v>
      </c>
      <c r="G9" s="52" t="s">
        <v>106</v>
      </c>
      <c r="H9" s="52" t="s">
        <v>108</v>
      </c>
      <c r="I9" s="52" t="s">
        <v>211</v>
      </c>
      <c r="J9" s="52" t="s">
        <v>212</v>
      </c>
      <c r="K9" s="52" t="s">
        <v>213</v>
      </c>
      <c r="L9" s="52" t="s">
        <v>213</v>
      </c>
      <c r="M9" s="52" t="s">
        <v>210</v>
      </c>
      <c r="O9" s="52" t="s">
        <v>251</v>
      </c>
      <c r="P9" s="52" t="s">
        <v>252</v>
      </c>
      <c r="Q9" s="52" t="s">
        <v>253</v>
      </c>
    </row>
    <row r="10" spans="1:17" s="49" customFormat="1" x14ac:dyDescent="0.2">
      <c r="A10" s="49">
        <v>1</v>
      </c>
      <c r="B10" s="53" t="s">
        <v>1</v>
      </c>
      <c r="C10" s="50"/>
    </row>
    <row r="11" spans="1:17" x14ac:dyDescent="0.2">
      <c r="A11" s="49">
        <v>2</v>
      </c>
      <c r="B11" s="54" t="s">
        <v>1</v>
      </c>
      <c r="C11" s="55">
        <v>7</v>
      </c>
      <c r="D11" s="56">
        <v>10803757000</v>
      </c>
      <c r="E11" s="58">
        <v>1172100000</v>
      </c>
      <c r="F11" s="58">
        <v>23062000</v>
      </c>
      <c r="G11" s="58">
        <v>35806000</v>
      </c>
      <c r="H11" s="58">
        <v>9183000</v>
      </c>
      <c r="I11" s="58">
        <v>-9551000</v>
      </c>
      <c r="J11" s="58">
        <v>-4505000</v>
      </c>
      <c r="K11" s="58">
        <v>3392000</v>
      </c>
      <c r="L11" s="58">
        <f>SUM(F11:K11)</f>
        <v>57387000</v>
      </c>
      <c r="M11" s="57">
        <f>SUM(E11,L11)</f>
        <v>1229487000</v>
      </c>
      <c r="N11" s="59"/>
      <c r="O11" s="58">
        <v>1231084000</v>
      </c>
      <c r="P11" s="58">
        <v>-14607000</v>
      </c>
      <c r="Q11" s="57">
        <f>SUM(O11:P11)</f>
        <v>1216477000</v>
      </c>
    </row>
    <row r="12" spans="1:17" x14ac:dyDescent="0.2">
      <c r="A12" s="49">
        <v>3</v>
      </c>
      <c r="B12" s="16" t="s">
        <v>81</v>
      </c>
      <c r="C12" s="55"/>
      <c r="D12" s="60">
        <f t="shared" ref="D12" si="0">SUM(D11:D11)</f>
        <v>10803757000</v>
      </c>
      <c r="E12" s="61">
        <f t="shared" ref="E12" si="1">SUM(E11:E11)</f>
        <v>1172100000</v>
      </c>
      <c r="F12" s="61">
        <f>SUM(F11:F11)</f>
        <v>23062000</v>
      </c>
      <c r="G12" s="61">
        <f t="shared" ref="G12:K12" si="2">SUM(G11:G11)</f>
        <v>35806000</v>
      </c>
      <c r="H12" s="61">
        <f t="shared" si="2"/>
        <v>9183000</v>
      </c>
      <c r="I12" s="61">
        <f t="shared" si="2"/>
        <v>-9551000</v>
      </c>
      <c r="J12" s="61">
        <f t="shared" si="2"/>
        <v>-4505000</v>
      </c>
      <c r="K12" s="61">
        <f t="shared" si="2"/>
        <v>3392000</v>
      </c>
      <c r="L12" s="61">
        <f t="shared" ref="L12" si="3">SUM(L11:L11)</f>
        <v>57387000</v>
      </c>
      <c r="M12" s="61">
        <f>SUM(M11:M11)</f>
        <v>1229487000</v>
      </c>
      <c r="O12" s="61">
        <f t="shared" ref="O12" si="4">SUM(O11:O11)</f>
        <v>1231084000</v>
      </c>
      <c r="P12" s="61">
        <f t="shared" ref="P12" si="5">SUM(P11:P11)</f>
        <v>-14607000</v>
      </c>
      <c r="Q12" s="61">
        <f>SUM(Q11:Q11)</f>
        <v>1216477000</v>
      </c>
    </row>
    <row r="13" spans="1:17" x14ac:dyDescent="0.2">
      <c r="A13" s="49">
        <v>4</v>
      </c>
      <c r="C13" s="55"/>
      <c r="D13" s="62"/>
      <c r="E13" s="63"/>
      <c r="F13" s="63"/>
      <c r="G13" s="63"/>
      <c r="H13" s="63"/>
      <c r="I13" s="63"/>
      <c r="J13" s="63"/>
      <c r="K13" s="63"/>
      <c r="L13" s="63"/>
      <c r="M13" s="63"/>
      <c r="O13" s="63"/>
      <c r="P13" s="63"/>
      <c r="Q13" s="63"/>
    </row>
    <row r="14" spans="1:17" x14ac:dyDescent="0.2">
      <c r="A14" s="49">
        <v>5</v>
      </c>
      <c r="B14" s="28" t="s">
        <v>82</v>
      </c>
      <c r="C14" s="55"/>
      <c r="D14" s="62"/>
      <c r="E14" s="63"/>
      <c r="F14" s="63"/>
      <c r="G14" s="63"/>
      <c r="H14" s="63"/>
      <c r="I14" s="63"/>
      <c r="J14" s="63"/>
      <c r="K14" s="63"/>
      <c r="L14" s="63"/>
      <c r="M14" s="63"/>
      <c r="O14" s="63"/>
      <c r="P14" s="63"/>
      <c r="Q14" s="63"/>
    </row>
    <row r="15" spans="1:17" x14ac:dyDescent="0.2">
      <c r="A15" s="49">
        <v>6</v>
      </c>
      <c r="B15" s="64" t="s">
        <v>83</v>
      </c>
      <c r="C15" s="55" t="s">
        <v>122</v>
      </c>
      <c r="D15" s="56">
        <v>2715721000</v>
      </c>
      <c r="E15" s="58">
        <v>276052000</v>
      </c>
      <c r="F15" s="58">
        <v>5852000</v>
      </c>
      <c r="G15" s="58">
        <v>9366000</v>
      </c>
      <c r="H15" s="58">
        <v>2018000</v>
      </c>
      <c r="I15" s="58">
        <v>-1937000</v>
      </c>
      <c r="J15" s="58">
        <v>8907000</v>
      </c>
      <c r="K15" s="58">
        <v>3261000</v>
      </c>
      <c r="L15" s="58">
        <f t="shared" ref="L15:L18" si="6">SUM(F15:K15)</f>
        <v>27467000</v>
      </c>
      <c r="M15" s="57">
        <f>SUM(E15,L15)</f>
        <v>303519000</v>
      </c>
      <c r="N15" s="59"/>
      <c r="O15" s="58">
        <v>319185000</v>
      </c>
      <c r="P15" s="58">
        <v>-3622000</v>
      </c>
      <c r="Q15" s="57">
        <f t="shared" ref="Q15:Q18" si="7">SUM(O15:P15)</f>
        <v>315563000</v>
      </c>
    </row>
    <row r="16" spans="1:17" x14ac:dyDescent="0.2">
      <c r="A16" s="49">
        <v>7</v>
      </c>
      <c r="B16" s="64" t="s">
        <v>84</v>
      </c>
      <c r="C16" s="65" t="s">
        <v>124</v>
      </c>
      <c r="D16" s="56">
        <v>2875620000</v>
      </c>
      <c r="E16" s="58">
        <v>267345000</v>
      </c>
      <c r="F16" s="58">
        <v>6394000</v>
      </c>
      <c r="G16" s="58">
        <v>9753000</v>
      </c>
      <c r="H16" s="58">
        <v>2054000</v>
      </c>
      <c r="I16" s="58">
        <v>-1924000</v>
      </c>
      <c r="J16" s="58">
        <v>8500000</v>
      </c>
      <c r="K16" s="58">
        <v>-175000</v>
      </c>
      <c r="L16" s="58">
        <f t="shared" si="6"/>
        <v>24602000</v>
      </c>
      <c r="M16" s="57">
        <f>SUM(E16,L16)</f>
        <v>291947000</v>
      </c>
      <c r="N16" s="59"/>
      <c r="O16" s="58">
        <v>309059000</v>
      </c>
      <c r="P16" s="58">
        <v>-3468000</v>
      </c>
      <c r="Q16" s="57">
        <f t="shared" si="7"/>
        <v>305591000</v>
      </c>
    </row>
    <row r="17" spans="1:17" x14ac:dyDescent="0.2">
      <c r="A17" s="49">
        <v>8</v>
      </c>
      <c r="B17" s="64" t="s">
        <v>85</v>
      </c>
      <c r="C17" s="65" t="s">
        <v>125</v>
      </c>
      <c r="D17" s="56">
        <v>1815376000</v>
      </c>
      <c r="E17" s="58">
        <v>154657000</v>
      </c>
      <c r="F17" s="58">
        <v>4224000</v>
      </c>
      <c r="G17" s="58">
        <v>5969000</v>
      </c>
      <c r="H17" s="58">
        <v>1151000</v>
      </c>
      <c r="I17" s="58">
        <v>-1048000</v>
      </c>
      <c r="J17" s="58">
        <v>5010000</v>
      </c>
      <c r="K17" s="58">
        <v>556000</v>
      </c>
      <c r="L17" s="58">
        <f t="shared" si="6"/>
        <v>15862000</v>
      </c>
      <c r="M17" s="57">
        <f>SUM(E17,L17)</f>
        <v>170519000</v>
      </c>
      <c r="N17" s="59"/>
      <c r="O17" s="58">
        <v>181644000</v>
      </c>
      <c r="P17" s="58">
        <v>-2029000</v>
      </c>
      <c r="Q17" s="57">
        <f t="shared" si="7"/>
        <v>179615000</v>
      </c>
    </row>
    <row r="18" spans="1:17" x14ac:dyDescent="0.2">
      <c r="A18" s="49">
        <v>10</v>
      </c>
      <c r="B18" s="64" t="s">
        <v>86</v>
      </c>
      <c r="C18" s="55">
        <v>29</v>
      </c>
      <c r="D18" s="56">
        <v>14984000</v>
      </c>
      <c r="E18" s="58">
        <v>1211000</v>
      </c>
      <c r="F18" s="58">
        <v>28000</v>
      </c>
      <c r="G18" s="58">
        <v>54000</v>
      </c>
      <c r="H18" s="58">
        <v>11000</v>
      </c>
      <c r="I18" s="58">
        <v>-10000</v>
      </c>
      <c r="J18" s="58">
        <v>44000</v>
      </c>
      <c r="K18" s="58">
        <v>-1000</v>
      </c>
      <c r="L18" s="58">
        <f t="shared" si="6"/>
        <v>126000</v>
      </c>
      <c r="M18" s="57">
        <f>SUM(E18,L18)</f>
        <v>1337000</v>
      </c>
      <c r="N18" s="59"/>
      <c r="O18" s="58">
        <v>1322000</v>
      </c>
      <c r="P18" s="58">
        <v>-16000</v>
      </c>
      <c r="Q18" s="57">
        <f t="shared" si="7"/>
        <v>1306000</v>
      </c>
    </row>
    <row r="19" spans="1:17" x14ac:dyDescent="0.2">
      <c r="A19" s="49">
        <v>11</v>
      </c>
      <c r="B19" s="28" t="s">
        <v>87</v>
      </c>
      <c r="C19" s="55"/>
      <c r="D19" s="60">
        <f>SUM(D15:D18)</f>
        <v>7421701000</v>
      </c>
      <c r="E19" s="61">
        <f>SUM(E15:E18)</f>
        <v>699265000</v>
      </c>
      <c r="F19" s="61">
        <f>SUM(F15:F18)</f>
        <v>16498000</v>
      </c>
      <c r="G19" s="61">
        <f t="shared" ref="G19:K19" si="8">SUM(G15:G18)</f>
        <v>25142000</v>
      </c>
      <c r="H19" s="61">
        <f t="shared" si="8"/>
        <v>5234000</v>
      </c>
      <c r="I19" s="61">
        <f t="shared" si="8"/>
        <v>-4919000</v>
      </c>
      <c r="J19" s="61">
        <f t="shared" si="8"/>
        <v>22461000</v>
      </c>
      <c r="K19" s="61">
        <f t="shared" si="8"/>
        <v>3641000</v>
      </c>
      <c r="L19" s="61">
        <f t="shared" ref="L19" si="9">SUM(L15:L18)</f>
        <v>68057000</v>
      </c>
      <c r="M19" s="61">
        <f>SUM(M15:M18)</f>
        <v>767322000</v>
      </c>
      <c r="O19" s="61">
        <f t="shared" ref="O19" si="10">SUM(O15:O18)</f>
        <v>811210000</v>
      </c>
      <c r="P19" s="61">
        <f t="shared" ref="P19" si="11">SUM(P15:P18)</f>
        <v>-9135000</v>
      </c>
      <c r="Q19" s="61">
        <f>SUM(Q15:Q18)</f>
        <v>802075000</v>
      </c>
    </row>
    <row r="20" spans="1:17" x14ac:dyDescent="0.2">
      <c r="A20" s="49">
        <v>12</v>
      </c>
      <c r="C20" s="55"/>
      <c r="D20" s="62"/>
      <c r="E20" s="63"/>
      <c r="F20" s="63"/>
      <c r="G20" s="63"/>
      <c r="H20" s="63"/>
      <c r="I20" s="63"/>
      <c r="J20" s="63"/>
      <c r="K20" s="63"/>
      <c r="L20" s="63"/>
      <c r="M20" s="63"/>
      <c r="O20" s="63"/>
      <c r="P20" s="63"/>
      <c r="Q20" s="63"/>
    </row>
    <row r="21" spans="1:17" x14ac:dyDescent="0.2">
      <c r="A21" s="49">
        <v>13</v>
      </c>
      <c r="B21" s="66" t="s">
        <v>88</v>
      </c>
      <c r="C21" s="55"/>
      <c r="D21" s="56"/>
      <c r="E21" s="63"/>
      <c r="F21" s="63"/>
      <c r="G21" s="63"/>
      <c r="H21" s="63"/>
      <c r="I21" s="63"/>
      <c r="J21" s="63"/>
      <c r="K21" s="63"/>
      <c r="L21" s="63"/>
      <c r="M21" s="63"/>
      <c r="O21" s="63"/>
      <c r="P21" s="63"/>
      <c r="Q21" s="63"/>
    </row>
    <row r="22" spans="1:17" x14ac:dyDescent="0.2">
      <c r="A22" s="49">
        <v>14</v>
      </c>
      <c r="B22" s="54" t="s">
        <v>89</v>
      </c>
      <c r="C22" s="55" t="s">
        <v>123</v>
      </c>
      <c r="D22" s="56">
        <v>1321558000</v>
      </c>
      <c r="E22" s="58">
        <v>110784000</v>
      </c>
      <c r="F22" s="58">
        <v>2814000</v>
      </c>
      <c r="G22" s="58">
        <v>4181000</v>
      </c>
      <c r="H22" s="58">
        <v>843000</v>
      </c>
      <c r="I22" s="58">
        <v>-780000</v>
      </c>
      <c r="J22" s="58">
        <v>3634000</v>
      </c>
      <c r="K22" s="58">
        <v>1166000</v>
      </c>
      <c r="L22" s="58">
        <f t="shared" ref="L22:L24" si="12">SUM(F22:K22)</f>
        <v>11858000</v>
      </c>
      <c r="M22" s="57">
        <f>SUM(E22,L22)</f>
        <v>122642000</v>
      </c>
      <c r="N22" s="59"/>
      <c r="O22" s="58">
        <v>130135000</v>
      </c>
      <c r="P22" s="58">
        <v>-1462000</v>
      </c>
      <c r="Q22" s="57">
        <f t="shared" ref="Q22:Q24" si="13">SUM(O22:P22)</f>
        <v>128673000</v>
      </c>
    </row>
    <row r="23" spans="1:17" x14ac:dyDescent="0.2">
      <c r="A23" s="49">
        <v>15</v>
      </c>
      <c r="B23" s="54" t="s">
        <v>86</v>
      </c>
      <c r="C23" s="55">
        <v>35</v>
      </c>
      <c r="D23" s="56">
        <v>4711000</v>
      </c>
      <c r="E23" s="58">
        <v>302000</v>
      </c>
      <c r="F23" s="58">
        <v>7000</v>
      </c>
      <c r="G23" s="58">
        <v>8000</v>
      </c>
      <c r="H23" s="58">
        <v>5000</v>
      </c>
      <c r="I23" s="58">
        <v>-5000</v>
      </c>
      <c r="J23" s="58">
        <v>14000</v>
      </c>
      <c r="K23" s="58">
        <v>0</v>
      </c>
      <c r="L23" s="58">
        <f t="shared" si="12"/>
        <v>29000</v>
      </c>
      <c r="M23" s="57">
        <f>SUM(E23,L23)</f>
        <v>331000</v>
      </c>
      <c r="N23" s="59"/>
      <c r="O23" s="58">
        <v>321000</v>
      </c>
      <c r="P23" s="58">
        <v>-4000</v>
      </c>
      <c r="Q23" s="57">
        <f t="shared" si="13"/>
        <v>317000</v>
      </c>
    </row>
    <row r="24" spans="1:17" x14ac:dyDescent="0.2">
      <c r="A24" s="49">
        <v>16</v>
      </c>
      <c r="B24" s="54" t="s">
        <v>90</v>
      </c>
      <c r="C24" s="55">
        <v>43</v>
      </c>
      <c r="D24" s="56">
        <v>119012000</v>
      </c>
      <c r="E24" s="58">
        <v>10801000</v>
      </c>
      <c r="F24" s="58">
        <v>202000</v>
      </c>
      <c r="G24" s="58">
        <v>298000</v>
      </c>
      <c r="H24" s="58">
        <v>104000</v>
      </c>
      <c r="I24" s="58">
        <v>-97000</v>
      </c>
      <c r="J24" s="58">
        <v>352000</v>
      </c>
      <c r="K24" s="58">
        <v>-7000</v>
      </c>
      <c r="L24" s="58">
        <f t="shared" si="12"/>
        <v>852000</v>
      </c>
      <c r="M24" s="57">
        <f>SUM(E24,L24)</f>
        <v>11653000</v>
      </c>
      <c r="N24" s="59"/>
      <c r="O24" s="58">
        <v>12392000</v>
      </c>
      <c r="P24" s="58">
        <v>-138000</v>
      </c>
      <c r="Q24" s="57">
        <f t="shared" si="13"/>
        <v>12254000</v>
      </c>
    </row>
    <row r="25" spans="1:17" x14ac:dyDescent="0.2">
      <c r="A25" s="49">
        <v>17</v>
      </c>
      <c r="B25" s="28" t="s">
        <v>91</v>
      </c>
      <c r="C25" s="55"/>
      <c r="D25" s="60">
        <f t="shared" ref="D25" si="14">SUM(D22:D24)</f>
        <v>1445281000</v>
      </c>
      <c r="E25" s="61">
        <f t="shared" ref="E25:F25" si="15">SUM(E22:E24)</f>
        <v>121887000</v>
      </c>
      <c r="F25" s="61">
        <f t="shared" si="15"/>
        <v>3023000</v>
      </c>
      <c r="G25" s="61">
        <f t="shared" ref="G25:K25" si="16">SUM(G22:G24)</f>
        <v>4487000</v>
      </c>
      <c r="H25" s="61">
        <f t="shared" si="16"/>
        <v>952000</v>
      </c>
      <c r="I25" s="61">
        <f t="shared" si="16"/>
        <v>-882000</v>
      </c>
      <c r="J25" s="61">
        <f t="shared" si="16"/>
        <v>4000000</v>
      </c>
      <c r="K25" s="61">
        <f t="shared" si="16"/>
        <v>1159000</v>
      </c>
      <c r="L25" s="61">
        <f t="shared" ref="L25" si="17">SUM(L22:L24)</f>
        <v>12739000</v>
      </c>
      <c r="M25" s="61">
        <f>SUM(M22:M24)</f>
        <v>134626000</v>
      </c>
      <c r="O25" s="61">
        <f t="shared" ref="O25:P25" si="18">SUM(O22:O24)</f>
        <v>142848000</v>
      </c>
      <c r="P25" s="61">
        <f t="shared" si="18"/>
        <v>-1604000</v>
      </c>
      <c r="Q25" s="61">
        <f>SUM(Q22:Q24)</f>
        <v>141244000</v>
      </c>
    </row>
    <row r="26" spans="1:17" x14ac:dyDescent="0.2">
      <c r="A26" s="49">
        <v>18</v>
      </c>
      <c r="C26" s="55"/>
      <c r="D26" s="67"/>
    </row>
    <row r="27" spans="1:17" x14ac:dyDescent="0.2">
      <c r="A27" s="49">
        <v>21</v>
      </c>
      <c r="B27" s="66" t="s">
        <v>92</v>
      </c>
      <c r="C27" s="55"/>
      <c r="D27" s="62"/>
      <c r="E27" s="63"/>
      <c r="F27" s="63"/>
      <c r="G27" s="63"/>
      <c r="H27" s="63"/>
      <c r="I27" s="63"/>
      <c r="J27" s="63"/>
      <c r="K27" s="63"/>
      <c r="L27" s="63"/>
      <c r="M27" s="63"/>
      <c r="O27" s="63"/>
      <c r="P27" s="63"/>
      <c r="Q27" s="63"/>
    </row>
    <row r="28" spans="1:17" x14ac:dyDescent="0.2">
      <c r="A28" s="49">
        <v>22</v>
      </c>
      <c r="B28" s="64" t="s">
        <v>93</v>
      </c>
      <c r="C28" s="55">
        <v>46</v>
      </c>
      <c r="D28" s="56">
        <v>89398000</v>
      </c>
      <c r="E28" s="58">
        <v>6108000</v>
      </c>
      <c r="F28" s="58">
        <v>162000</v>
      </c>
      <c r="G28" s="58">
        <v>200000</v>
      </c>
      <c r="H28" s="58">
        <v>43000</v>
      </c>
      <c r="I28" s="58">
        <v>-40000</v>
      </c>
      <c r="J28" s="58">
        <v>0</v>
      </c>
      <c r="K28" s="58">
        <v>0</v>
      </c>
      <c r="L28" s="58">
        <f t="shared" ref="L28:L29" si="19">SUM(F28:K28)</f>
        <v>365000</v>
      </c>
      <c r="M28" s="63">
        <f>SUM(E28,L28)</f>
        <v>6473000</v>
      </c>
      <c r="N28" s="59"/>
      <c r="O28" s="58">
        <v>6929000</v>
      </c>
      <c r="P28" s="58">
        <v>-77000</v>
      </c>
      <c r="Q28" s="57">
        <f t="shared" ref="Q28:Q29" si="20">SUM(O28:P28)</f>
        <v>6852000</v>
      </c>
    </row>
    <row r="29" spans="1:17" x14ac:dyDescent="0.2">
      <c r="A29" s="49">
        <v>23</v>
      </c>
      <c r="B29" s="64" t="s">
        <v>89</v>
      </c>
      <c r="C29" s="55">
        <v>49</v>
      </c>
      <c r="D29" s="56">
        <v>506513000</v>
      </c>
      <c r="E29" s="58">
        <v>33665000</v>
      </c>
      <c r="F29" s="58">
        <v>996000</v>
      </c>
      <c r="G29" s="58">
        <v>1407000</v>
      </c>
      <c r="H29" s="58">
        <v>245000</v>
      </c>
      <c r="I29" s="58">
        <v>-228000</v>
      </c>
      <c r="J29" s="58">
        <v>0</v>
      </c>
      <c r="K29" s="58">
        <v>0</v>
      </c>
      <c r="L29" s="58">
        <f t="shared" si="19"/>
        <v>2420000</v>
      </c>
      <c r="M29" s="63">
        <f>SUM(E29,L29)</f>
        <v>36085000</v>
      </c>
      <c r="N29" s="59"/>
      <c r="O29" s="58">
        <v>38459000</v>
      </c>
      <c r="P29" s="58">
        <v>-430000</v>
      </c>
      <c r="Q29" s="57">
        <f t="shared" si="20"/>
        <v>38029000</v>
      </c>
    </row>
    <row r="30" spans="1:17" x14ac:dyDescent="0.2">
      <c r="A30" s="49">
        <v>24</v>
      </c>
      <c r="B30" s="28" t="s">
        <v>94</v>
      </c>
      <c r="C30" s="55"/>
      <c r="D30" s="60">
        <f t="shared" ref="D30" si="21">SUM(D28:D29)</f>
        <v>595911000</v>
      </c>
      <c r="E30" s="61">
        <f t="shared" ref="E30" si="22">SUM(E28:E29)</f>
        <v>39773000</v>
      </c>
      <c r="F30" s="61">
        <f t="shared" ref="F30" si="23">SUM(F28:F29)</f>
        <v>1158000</v>
      </c>
      <c r="G30" s="61">
        <f t="shared" ref="G30:K30" si="24">SUM(G28:G29)</f>
        <v>1607000</v>
      </c>
      <c r="H30" s="61">
        <f t="shared" si="24"/>
        <v>288000</v>
      </c>
      <c r="I30" s="61">
        <f t="shared" si="24"/>
        <v>-268000</v>
      </c>
      <c r="J30" s="61">
        <f t="shared" si="24"/>
        <v>0</v>
      </c>
      <c r="K30" s="61">
        <f t="shared" si="24"/>
        <v>0</v>
      </c>
      <c r="L30" s="61">
        <f t="shared" ref="L30" si="25">SUM(L28:L29)</f>
        <v>2785000</v>
      </c>
      <c r="M30" s="61">
        <f>SUM(M28:M29)</f>
        <v>42558000</v>
      </c>
      <c r="O30" s="61">
        <f t="shared" ref="O30:P30" si="26">SUM(O28:O29)</f>
        <v>45388000</v>
      </c>
      <c r="P30" s="61">
        <f t="shared" si="26"/>
        <v>-507000</v>
      </c>
      <c r="Q30" s="61">
        <f>SUM(Q28:Q29)</f>
        <v>44881000</v>
      </c>
    </row>
    <row r="31" spans="1:17" x14ac:dyDescent="0.2">
      <c r="A31" s="49">
        <v>25</v>
      </c>
      <c r="C31" s="55"/>
      <c r="D31" s="67"/>
    </row>
    <row r="32" spans="1:17" x14ac:dyDescent="0.2">
      <c r="A32" s="49">
        <v>26</v>
      </c>
      <c r="B32" s="28" t="s">
        <v>95</v>
      </c>
      <c r="C32" s="65" t="s">
        <v>195</v>
      </c>
      <c r="D32" s="68">
        <v>62946000</v>
      </c>
      <c r="E32" s="69">
        <v>15430000</v>
      </c>
      <c r="F32" s="69">
        <v>134000</v>
      </c>
      <c r="G32" s="69">
        <v>191000</v>
      </c>
      <c r="H32" s="69">
        <v>172000</v>
      </c>
      <c r="I32" s="69">
        <v>-158000</v>
      </c>
      <c r="J32" s="69">
        <v>0</v>
      </c>
      <c r="K32" s="69">
        <v>0</v>
      </c>
      <c r="L32" s="69">
        <f>SUM(F32:K32)</f>
        <v>339000</v>
      </c>
      <c r="M32" s="61">
        <f>SUM(E32,L32)</f>
        <v>15769000</v>
      </c>
      <c r="N32" s="59"/>
      <c r="O32" s="69">
        <v>16668000</v>
      </c>
      <c r="P32" s="69">
        <v>-185000</v>
      </c>
      <c r="Q32" s="61">
        <f>SUM(O32:P32)</f>
        <v>16483000</v>
      </c>
    </row>
    <row r="33" spans="1:17" x14ac:dyDescent="0.2">
      <c r="A33" s="49">
        <v>27</v>
      </c>
      <c r="B33" s="54"/>
      <c r="C33" s="55"/>
      <c r="D33" s="67"/>
    </row>
    <row r="34" spans="1:17" x14ac:dyDescent="0.2">
      <c r="A34" s="49">
        <v>30</v>
      </c>
      <c r="B34" s="66" t="s">
        <v>96</v>
      </c>
      <c r="C34" s="65" t="s">
        <v>126</v>
      </c>
      <c r="D34" s="68">
        <v>1955590000</v>
      </c>
      <c r="E34" s="69">
        <v>9786000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f>SUM(F34:K34)</f>
        <v>0</v>
      </c>
      <c r="M34" s="61">
        <f>SUM(E34,L34)</f>
        <v>9786000</v>
      </c>
      <c r="N34" s="59"/>
      <c r="O34" s="69">
        <v>11994000</v>
      </c>
      <c r="P34" s="69">
        <v>-117000</v>
      </c>
      <c r="Q34" s="61">
        <f>SUM(O34:P34)</f>
        <v>11877000</v>
      </c>
    </row>
    <row r="35" spans="1:17" x14ac:dyDescent="0.2">
      <c r="A35" s="49">
        <v>31</v>
      </c>
      <c r="B35" s="66"/>
      <c r="C35" s="55"/>
      <c r="D35" s="67"/>
    </row>
    <row r="36" spans="1:17" x14ac:dyDescent="0.2">
      <c r="A36" s="49">
        <v>30</v>
      </c>
      <c r="B36" s="66" t="s">
        <v>201</v>
      </c>
      <c r="C36" s="65" t="s">
        <v>202</v>
      </c>
      <c r="D36" s="68">
        <v>289426000</v>
      </c>
      <c r="E36" s="69">
        <v>3711000</v>
      </c>
      <c r="F36" s="69">
        <v>0</v>
      </c>
      <c r="G36" s="69">
        <v>0</v>
      </c>
      <c r="H36" s="69">
        <v>96000</v>
      </c>
      <c r="I36" s="69">
        <v>-81000</v>
      </c>
      <c r="J36" s="69">
        <v>182000</v>
      </c>
      <c r="K36" s="69">
        <v>746000</v>
      </c>
      <c r="L36" s="69">
        <f>SUM(F36:K36)</f>
        <v>943000</v>
      </c>
      <c r="M36" s="61">
        <f>SUM(E36,L36)</f>
        <v>4654000</v>
      </c>
      <c r="N36" s="59"/>
      <c r="O36" s="69">
        <v>5630000</v>
      </c>
      <c r="P36" s="69">
        <v>-178000</v>
      </c>
      <c r="Q36" s="61">
        <f>SUM(O36:P36)</f>
        <v>5452000</v>
      </c>
    </row>
    <row r="37" spans="1:17" x14ac:dyDescent="0.2">
      <c r="A37" s="49">
        <v>31</v>
      </c>
      <c r="B37" s="66"/>
      <c r="C37" s="55"/>
      <c r="D37" s="67"/>
    </row>
    <row r="38" spans="1:17" ht="10.8" thickBot="1" x14ac:dyDescent="0.25">
      <c r="A38" s="49">
        <v>32</v>
      </c>
      <c r="B38" s="28" t="s">
        <v>97</v>
      </c>
      <c r="C38" s="55"/>
      <c r="D38" s="70">
        <f>SUM(D12,D19,D25,D30,D32,D34,D36)</f>
        <v>22574612000</v>
      </c>
      <c r="E38" s="71">
        <f>SUM(E12,E19,E25,E30,E32,E34,E36)</f>
        <v>2061952000</v>
      </c>
      <c r="F38" s="71">
        <f>SUM(F12,F19,F25,F30,F32,F34,F36)</f>
        <v>43875000</v>
      </c>
      <c r="G38" s="71">
        <f t="shared" ref="G38:K38" si="27">SUM(G12,G19,G25,G30,G32,G34,G36)</f>
        <v>67233000</v>
      </c>
      <c r="H38" s="71">
        <f t="shared" si="27"/>
        <v>15925000</v>
      </c>
      <c r="I38" s="71">
        <f t="shared" si="27"/>
        <v>-15859000</v>
      </c>
      <c r="J38" s="71">
        <f t="shared" si="27"/>
        <v>22138000</v>
      </c>
      <c r="K38" s="71">
        <f t="shared" si="27"/>
        <v>8938000</v>
      </c>
      <c r="L38" s="71">
        <f>SUM(L12,L19,L25,L30,L32,L34,L36)</f>
        <v>142250000</v>
      </c>
      <c r="M38" s="71">
        <f>SUM(E38,L38)</f>
        <v>2204202000</v>
      </c>
      <c r="O38" s="71">
        <f t="shared" ref="O38:P38" si="28">SUM(O12,O19,O25,O30,O32,O34,O36)</f>
        <v>2264822000</v>
      </c>
      <c r="P38" s="71">
        <f t="shared" si="28"/>
        <v>-26333000</v>
      </c>
      <c r="Q38" s="71">
        <f t="shared" ref="Q38" si="29">SUM(Q12,Q19,Q25,Q30,Q32,Q34,Q36)</f>
        <v>2238489000</v>
      </c>
    </row>
    <row r="39" spans="1:17" ht="10.8" thickTop="1" x14ac:dyDescent="0.2">
      <c r="A39" s="49">
        <v>33</v>
      </c>
      <c r="B39" s="66"/>
      <c r="C39" s="55"/>
      <c r="D39" s="72"/>
      <c r="E39" s="73"/>
      <c r="F39" s="73"/>
      <c r="G39" s="73"/>
      <c r="H39" s="73"/>
      <c r="I39" s="73"/>
      <c r="J39" s="73"/>
      <c r="K39" s="73"/>
      <c r="L39" s="73"/>
      <c r="M39" s="73"/>
      <c r="O39" s="73"/>
      <c r="P39" s="73"/>
      <c r="Q39" s="73"/>
    </row>
    <row r="40" spans="1:17" x14ac:dyDescent="0.2">
      <c r="A40" s="49">
        <v>34</v>
      </c>
      <c r="B40" s="66" t="s">
        <v>204</v>
      </c>
      <c r="C40" s="55">
        <v>5</v>
      </c>
      <c r="D40" s="68">
        <v>7099000</v>
      </c>
      <c r="E40" s="69">
        <v>675000</v>
      </c>
      <c r="F40" s="69">
        <v>0</v>
      </c>
      <c r="G40" s="69">
        <v>0</v>
      </c>
      <c r="H40" s="69">
        <v>5000</v>
      </c>
      <c r="I40" s="69">
        <v>0</v>
      </c>
      <c r="J40" s="69">
        <v>0</v>
      </c>
      <c r="K40" s="69">
        <v>0</v>
      </c>
      <c r="L40" s="69">
        <f>SUM(F40:K40)</f>
        <v>5000</v>
      </c>
      <c r="M40" s="61">
        <f>SUM(E40,L40)</f>
        <v>680000</v>
      </c>
      <c r="N40" s="59"/>
      <c r="O40" s="69">
        <v>680000</v>
      </c>
      <c r="P40" s="69">
        <v>0</v>
      </c>
      <c r="Q40" s="61">
        <f>SUM(O40:P40)</f>
        <v>680000</v>
      </c>
    </row>
    <row r="41" spans="1:17" x14ac:dyDescent="0.2">
      <c r="A41" s="49">
        <v>35</v>
      </c>
      <c r="B41" s="66"/>
      <c r="C41" s="55"/>
      <c r="D41" s="67"/>
    </row>
    <row r="42" spans="1:17" ht="10.8" thickBot="1" x14ac:dyDescent="0.25">
      <c r="A42" s="49">
        <v>36</v>
      </c>
      <c r="B42" s="28" t="s">
        <v>98</v>
      </c>
      <c r="D42" s="70">
        <f t="shared" ref="D42" si="30">SUM(D38,D40)</f>
        <v>22581711000</v>
      </c>
      <c r="E42" s="71">
        <f t="shared" ref="E42" si="31">SUM(E38,E40)</f>
        <v>2062627000</v>
      </c>
      <c r="F42" s="71">
        <f t="shared" ref="F42" si="32">SUM(F38,F40)</f>
        <v>43875000</v>
      </c>
      <c r="G42" s="71">
        <f t="shared" ref="G42:L42" si="33">SUM(G38,G40)</f>
        <v>67233000</v>
      </c>
      <c r="H42" s="71">
        <f t="shared" si="33"/>
        <v>15930000</v>
      </c>
      <c r="I42" s="71">
        <f t="shared" si="33"/>
        <v>-15859000</v>
      </c>
      <c r="J42" s="71">
        <f t="shared" si="33"/>
        <v>22138000</v>
      </c>
      <c r="K42" s="71">
        <f t="shared" si="33"/>
        <v>8938000</v>
      </c>
      <c r="L42" s="71">
        <f t="shared" si="33"/>
        <v>142255000</v>
      </c>
      <c r="M42" s="71">
        <f>SUM(E42,L42)</f>
        <v>2204882000</v>
      </c>
      <c r="O42" s="71">
        <f t="shared" ref="O42:P42" si="34">SUM(O38,O40)</f>
        <v>2265502000</v>
      </c>
      <c r="P42" s="71">
        <f t="shared" si="34"/>
        <v>-26333000</v>
      </c>
      <c r="Q42" s="71">
        <f>SUM(Q38,Q40)</f>
        <v>2239169000</v>
      </c>
    </row>
    <row r="43" spans="1:17" ht="10.8" thickTop="1" x14ac:dyDescent="0.2">
      <c r="A43" s="49"/>
      <c r="D43" s="67"/>
    </row>
    <row r="44" spans="1:17" x14ac:dyDescent="0.2">
      <c r="D44" s="67">
        <v>22581711000</v>
      </c>
      <c r="E44" s="74">
        <v>2062627000</v>
      </c>
      <c r="F44" s="74">
        <v>43875000</v>
      </c>
      <c r="G44" s="74">
        <v>67233000</v>
      </c>
      <c r="H44" s="74">
        <v>15930000</v>
      </c>
      <c r="I44" s="74">
        <v>-15859000</v>
      </c>
      <c r="J44" s="74">
        <v>22138000</v>
      </c>
      <c r="K44" s="74">
        <v>8938000</v>
      </c>
      <c r="L44" s="74">
        <v>142255000</v>
      </c>
      <c r="M44" s="74">
        <f>M42</f>
        <v>2204882000</v>
      </c>
      <c r="O44" s="74">
        <v>2265502000</v>
      </c>
      <c r="P44" s="74">
        <v>-26333000</v>
      </c>
      <c r="Q44" s="74">
        <f>SUM(O44:P44)</f>
        <v>2239169000</v>
      </c>
    </row>
    <row r="45" spans="1:17" s="113" customFormat="1" x14ac:dyDescent="0.2">
      <c r="D45" s="114">
        <f t="shared" ref="D45" si="35">+D42-D44</f>
        <v>0</v>
      </c>
      <c r="E45" s="115">
        <f t="shared" ref="E45" si="36">+E42-E44</f>
        <v>0</v>
      </c>
      <c r="F45" s="115">
        <f t="shared" ref="F45:G45" si="37">+F42-F44</f>
        <v>0</v>
      </c>
      <c r="G45" s="115">
        <f t="shared" si="37"/>
        <v>0</v>
      </c>
      <c r="H45" s="115">
        <f t="shared" ref="H45:K45" si="38">+H42-H44</f>
        <v>0</v>
      </c>
      <c r="I45" s="115">
        <f t="shared" si="38"/>
        <v>0</v>
      </c>
      <c r="J45" s="115">
        <f t="shared" si="38"/>
        <v>0</v>
      </c>
      <c r="K45" s="115">
        <f t="shared" si="38"/>
        <v>0</v>
      </c>
      <c r="L45" s="115">
        <f>+L42-L44</f>
        <v>0</v>
      </c>
      <c r="M45" s="115">
        <f>+M42-M44</f>
        <v>0</v>
      </c>
      <c r="O45" s="115">
        <f t="shared" ref="O45:P45" si="39">+O42-O44</f>
        <v>0</v>
      </c>
      <c r="P45" s="115">
        <f t="shared" si="39"/>
        <v>0</v>
      </c>
      <c r="Q45" s="115">
        <f>+Q42-Q44</f>
        <v>0</v>
      </c>
    </row>
  </sheetData>
  <mergeCells count="2">
    <mergeCell ref="E7:M7"/>
    <mergeCell ref="O7:Q7"/>
  </mergeCells>
  <phoneticPr fontId="0" type="noConversion"/>
  <printOptions horizontalCentered="1"/>
  <pageMargins left="0.7" right="0.7" top="0.75" bottom="0.75" header="0.3" footer="0.3"/>
  <pageSetup scale="5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activeCell="I41" sqref="I41"/>
    </sheetView>
  </sheetViews>
  <sheetFormatPr defaultRowHeight="13.2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5"/>
  <sheetViews>
    <sheetView zoomScaleNormal="100" workbookViewId="0">
      <pane xSplit="3" ySplit="5" topLeftCell="D9" activePane="bottomRight" state="frozen"/>
      <selection pane="topRight" activeCell="D1" sqref="D1"/>
      <selection pane="bottomLeft" activeCell="A6" sqref="A6"/>
      <selection pane="bottomRight" activeCell="G35" sqref="G35"/>
    </sheetView>
  </sheetViews>
  <sheetFormatPr defaultColWidth="9.109375" defaultRowHeight="10.199999999999999" x14ac:dyDescent="0.2"/>
  <cols>
    <col min="1" max="1" width="6.33203125" style="83" customWidth="1"/>
    <col min="2" max="2" width="59.44140625" style="83" customWidth="1"/>
    <col min="3" max="3" width="14.5546875" style="79" bestFit="1" customWidth="1"/>
    <col min="4" max="4" width="16.6640625" style="102" bestFit="1" customWidth="1"/>
    <col min="5" max="5" width="17.6640625" style="102" bestFit="1" customWidth="1"/>
    <col min="6" max="6" width="12.109375" style="83" customWidth="1"/>
    <col min="7" max="7" width="16.44140625" style="102" bestFit="1" customWidth="1"/>
    <col min="8" max="8" width="14.44140625" style="83" bestFit="1" customWidth="1"/>
    <col min="9" max="9" width="12.88671875" style="83" bestFit="1" customWidth="1"/>
    <col min="10" max="16384" width="9.109375" style="83"/>
  </cols>
  <sheetData>
    <row r="1" spans="1:9" s="227" customFormat="1" ht="12" x14ac:dyDescent="0.25">
      <c r="A1" s="169" t="s">
        <v>271</v>
      </c>
      <c r="B1" s="170"/>
      <c r="C1" s="170"/>
      <c r="D1" s="171"/>
      <c r="E1" s="171"/>
      <c r="F1" s="170"/>
      <c r="G1" s="171"/>
      <c r="H1" s="170"/>
      <c r="I1" s="172"/>
    </row>
    <row r="2" spans="1:9" s="227" customFormat="1" ht="12" x14ac:dyDescent="0.25">
      <c r="A2" s="174" t="s">
        <v>8</v>
      </c>
      <c r="B2" s="175"/>
      <c r="C2" s="175"/>
      <c r="D2" s="176"/>
      <c r="E2" s="176"/>
      <c r="F2" s="175"/>
      <c r="G2" s="176"/>
      <c r="H2" s="175"/>
      <c r="I2" s="177"/>
    </row>
    <row r="3" spans="1:9" s="227" customFormat="1" ht="12" x14ac:dyDescent="0.25">
      <c r="A3" s="178"/>
      <c r="B3" s="173"/>
      <c r="C3" s="179"/>
      <c r="D3" s="180"/>
      <c r="E3" s="180"/>
      <c r="F3" s="173"/>
      <c r="G3" s="180"/>
      <c r="H3" s="173"/>
      <c r="I3" s="181"/>
    </row>
    <row r="4" spans="1:9" s="229" customFormat="1" ht="72.599999999999994" thickBot="1" x14ac:dyDescent="0.3">
      <c r="A4" s="182" t="s">
        <v>9</v>
      </c>
      <c r="B4" s="183" t="s">
        <v>63</v>
      </c>
      <c r="C4" s="183" t="s">
        <v>0</v>
      </c>
      <c r="D4" s="184" t="s">
        <v>272</v>
      </c>
      <c r="E4" s="185" t="s">
        <v>273</v>
      </c>
      <c r="F4" s="186" t="s">
        <v>274</v>
      </c>
      <c r="G4" s="185" t="s">
        <v>275</v>
      </c>
      <c r="H4" s="186" t="s">
        <v>276</v>
      </c>
      <c r="I4" s="187" t="s">
        <v>100</v>
      </c>
    </row>
    <row r="5" spans="1:9" s="50" customFormat="1" ht="23.4" thickBot="1" x14ac:dyDescent="0.25">
      <c r="A5" s="132"/>
      <c r="B5" s="133"/>
      <c r="C5" s="133"/>
      <c r="D5" s="134" t="s">
        <v>14</v>
      </c>
      <c r="E5" s="134" t="s">
        <v>15</v>
      </c>
      <c r="F5" s="135" t="s">
        <v>129</v>
      </c>
      <c r="G5" s="133" t="s">
        <v>66</v>
      </c>
      <c r="H5" s="134" t="s">
        <v>67</v>
      </c>
      <c r="I5" s="136" t="s">
        <v>68</v>
      </c>
    </row>
    <row r="6" spans="1:9" ht="11.4" x14ac:dyDescent="0.2">
      <c r="A6" s="128"/>
      <c r="B6" s="127"/>
      <c r="C6" s="129"/>
      <c r="D6" s="130"/>
      <c r="E6" s="130"/>
      <c r="F6" s="127"/>
      <c r="G6" s="130"/>
      <c r="H6" s="127"/>
      <c r="I6" s="131"/>
    </row>
    <row r="7" spans="1:9" ht="11.4" x14ac:dyDescent="0.2">
      <c r="A7" s="138">
        <v>1</v>
      </c>
      <c r="B7" s="139" t="s">
        <v>1</v>
      </c>
      <c r="C7" s="140">
        <v>7</v>
      </c>
      <c r="D7" s="130">
        <v>10889678000</v>
      </c>
      <c r="E7" s="141">
        <v>1217051000</v>
      </c>
      <c r="F7" s="142">
        <f>(IF(D7&gt;0,E7*$E$42/D7,0))</f>
        <v>1.3520870037372599E-3</v>
      </c>
      <c r="G7" s="141">
        <f>+H7+E7</f>
        <v>1231774792.0986836</v>
      </c>
      <c r="H7" s="141">
        <f>+F7*D7</f>
        <v>14723792.098683557</v>
      </c>
      <c r="I7" s="143">
        <f>IF(E7&gt;0,+H7/E7,0)</f>
        <v>1.2097925311826338E-2</v>
      </c>
    </row>
    <row r="8" spans="1:9" ht="11.4" x14ac:dyDescent="0.2">
      <c r="A8" s="138">
        <f>+A7+1</f>
        <v>2</v>
      </c>
      <c r="B8" s="139"/>
      <c r="C8" s="140"/>
      <c r="D8" s="130"/>
      <c r="E8" s="141"/>
      <c r="F8" s="144"/>
      <c r="G8" s="141"/>
      <c r="H8" s="141"/>
      <c r="I8" s="143"/>
    </row>
    <row r="9" spans="1:9" ht="11.4" x14ac:dyDescent="0.2">
      <c r="A9" s="138">
        <f t="shared" ref="A9:A42" si="0">+A8+1</f>
        <v>3</v>
      </c>
      <c r="B9" s="145" t="s">
        <v>46</v>
      </c>
      <c r="C9" s="146" t="s">
        <v>116</v>
      </c>
      <c r="D9" s="130">
        <v>2605315000</v>
      </c>
      <c r="E9" s="141">
        <v>287382000</v>
      </c>
      <c r="F9" s="142">
        <f>(IF(D9&gt;0,E9*$E$42/D9,0))</f>
        <v>1.3344743234362357E-3</v>
      </c>
      <c r="G9" s="141">
        <f>+H9+E9</f>
        <v>290858725.97196329</v>
      </c>
      <c r="H9" s="141">
        <f t="shared" ref="H9:H12" si="1">+F9*D9</f>
        <v>3476725.9719632762</v>
      </c>
      <c r="I9" s="143">
        <f>IF(E9&gt;0,+H9/E9,0)</f>
        <v>1.2097925311826336E-2</v>
      </c>
    </row>
    <row r="10" spans="1:9" ht="11.4" x14ac:dyDescent="0.2">
      <c r="A10" s="138">
        <f t="shared" si="0"/>
        <v>4</v>
      </c>
      <c r="B10" s="145" t="s">
        <v>47</v>
      </c>
      <c r="C10" s="147" t="s">
        <v>117</v>
      </c>
      <c r="D10" s="130">
        <v>2812804000</v>
      </c>
      <c r="E10" s="141">
        <v>280459000</v>
      </c>
      <c r="F10" s="142">
        <f>(IF(D10&gt;0,E10*$E$42/D10,0))</f>
        <v>1.2062596736315445E-3</v>
      </c>
      <c r="G10" s="141">
        <f t="shared" ref="G10:G12" si="2">+H10+E10</f>
        <v>283851972.03502953</v>
      </c>
      <c r="H10" s="141">
        <f t="shared" si="1"/>
        <v>3392972.0350295031</v>
      </c>
      <c r="I10" s="143">
        <f>IF(E10&gt;0,+H10/E10,0)</f>
        <v>1.2097925311826338E-2</v>
      </c>
    </row>
    <row r="11" spans="1:9" ht="11.4" x14ac:dyDescent="0.2">
      <c r="A11" s="138">
        <f t="shared" si="0"/>
        <v>5</v>
      </c>
      <c r="B11" s="145" t="s">
        <v>48</v>
      </c>
      <c r="C11" s="147" t="s">
        <v>118</v>
      </c>
      <c r="D11" s="130">
        <v>1776603000</v>
      </c>
      <c r="E11" s="141">
        <v>164136000</v>
      </c>
      <c r="F11" s="142">
        <f>(IF(D11&gt;0,E11*$E$42/D11,0))</f>
        <v>1.1176976899070462E-3</v>
      </c>
      <c r="G11" s="141">
        <f t="shared" si="2"/>
        <v>166121705.06898192</v>
      </c>
      <c r="H11" s="141">
        <f t="shared" si="1"/>
        <v>1985705.0689819281</v>
      </c>
      <c r="I11" s="143">
        <f>IF(E11&gt;0,+H11/E11,0)</f>
        <v>1.209792531182634E-2</v>
      </c>
    </row>
    <row r="12" spans="1:9" ht="11.4" x14ac:dyDescent="0.2">
      <c r="A12" s="138">
        <f t="shared" si="0"/>
        <v>6</v>
      </c>
      <c r="B12" s="148" t="s">
        <v>49</v>
      </c>
      <c r="C12" s="140">
        <v>29</v>
      </c>
      <c r="D12" s="130">
        <v>14281000</v>
      </c>
      <c r="E12" s="141">
        <v>1244000</v>
      </c>
      <c r="F12" s="142">
        <f>(IF(D12&gt;0,E12*$E$42/D12,0))</f>
        <v>1.053835101737411E-3</v>
      </c>
      <c r="G12" s="141">
        <f t="shared" si="2"/>
        <v>1259049.8190879119</v>
      </c>
      <c r="H12" s="141">
        <f t="shared" si="1"/>
        <v>15049.819087911967</v>
      </c>
      <c r="I12" s="143">
        <f>IF(E12&gt;0,+H12/E12,0)</f>
        <v>1.209792531182634E-2</v>
      </c>
    </row>
    <row r="13" spans="1:9" ht="11.4" x14ac:dyDescent="0.2">
      <c r="A13" s="138">
        <f t="shared" si="0"/>
        <v>7</v>
      </c>
      <c r="B13" s="139" t="s">
        <v>50</v>
      </c>
      <c r="C13" s="140"/>
      <c r="D13" s="231">
        <f>SUM(D9:D12)</f>
        <v>7209003000</v>
      </c>
      <c r="E13" s="232">
        <f>SUM(E9:E12)</f>
        <v>733221000</v>
      </c>
      <c r="F13" s="233">
        <f>+H13/D13</f>
        <v>1.2304687479062805E-3</v>
      </c>
      <c r="G13" s="232">
        <f>SUM(G9:G12)</f>
        <v>742091452.89506257</v>
      </c>
      <c r="H13" s="232">
        <f>SUM(H9:H12)</f>
        <v>8870452.8950626198</v>
      </c>
      <c r="I13" s="234">
        <f>IF(E13&gt;0,+H13/E13,0)</f>
        <v>1.2097925311826338E-2</v>
      </c>
    </row>
    <row r="14" spans="1:9" ht="11.4" x14ac:dyDescent="0.2">
      <c r="A14" s="138">
        <f t="shared" si="0"/>
        <v>8</v>
      </c>
      <c r="B14" s="139"/>
      <c r="C14" s="140"/>
      <c r="D14" s="130"/>
      <c r="E14" s="141"/>
      <c r="F14" s="144"/>
      <c r="G14" s="141"/>
      <c r="H14" s="141"/>
      <c r="I14" s="143"/>
    </row>
    <row r="15" spans="1:9" ht="11.4" x14ac:dyDescent="0.2">
      <c r="A15" s="138">
        <f t="shared" si="0"/>
        <v>9</v>
      </c>
      <c r="B15" s="145" t="s">
        <v>51</v>
      </c>
      <c r="C15" s="147" t="s">
        <v>120</v>
      </c>
      <c r="D15" s="130">
        <v>1313675000</v>
      </c>
      <c r="E15" s="141">
        <v>120259000</v>
      </c>
      <c r="F15" s="142">
        <f>(IF(D15&gt;0,E15*$E$42/D15,0))</f>
        <v>1.1074918835137487E-3</v>
      </c>
      <c r="G15" s="141">
        <f t="shared" ref="G15:G17" si="3">+H15+E15</f>
        <v>121713884.40007493</v>
      </c>
      <c r="H15" s="141">
        <f t="shared" ref="H15:H17" si="4">+F15*D15</f>
        <v>1454884.4000749236</v>
      </c>
      <c r="I15" s="143">
        <f>IF(E15&gt;0,+H15/E15,0)</f>
        <v>1.2097925311826338E-2</v>
      </c>
    </row>
    <row r="16" spans="1:9" ht="11.4" x14ac:dyDescent="0.2">
      <c r="A16" s="138">
        <f t="shared" si="0"/>
        <v>10</v>
      </c>
      <c r="B16" s="148" t="s">
        <v>52</v>
      </c>
      <c r="C16" s="140">
        <v>35</v>
      </c>
      <c r="D16" s="130">
        <v>4529000</v>
      </c>
      <c r="E16" s="141">
        <v>307000</v>
      </c>
      <c r="F16" s="142">
        <f>(IF(D16&gt;0,E16*$E$42/D16,0))</f>
        <v>8.2006250181732964E-4</v>
      </c>
      <c r="G16" s="141">
        <f t="shared" si="3"/>
        <v>310714.06307073071</v>
      </c>
      <c r="H16" s="141">
        <f t="shared" si="4"/>
        <v>3714.0630707306859</v>
      </c>
      <c r="I16" s="143">
        <f>IF(E16&gt;0,+H16/E16,0)</f>
        <v>1.2097925311826338E-2</v>
      </c>
    </row>
    <row r="17" spans="1:9" ht="11.4" x14ac:dyDescent="0.2">
      <c r="A17" s="138">
        <f t="shared" si="0"/>
        <v>11</v>
      </c>
      <c r="B17" s="148" t="s">
        <v>53</v>
      </c>
      <c r="C17" s="140">
        <v>43</v>
      </c>
      <c r="D17" s="130">
        <v>113786000</v>
      </c>
      <c r="E17" s="141">
        <v>10898000</v>
      </c>
      <c r="F17" s="142">
        <f>(IF(D17&gt;0,E17*$E$42/D17,0))</f>
        <v>1.1586943037656956E-3</v>
      </c>
      <c r="G17" s="141">
        <f t="shared" si="3"/>
        <v>11029843.190048283</v>
      </c>
      <c r="H17" s="141">
        <f t="shared" si="4"/>
        <v>131843.19004828343</v>
      </c>
      <c r="I17" s="143">
        <f>IF(E17&gt;0,+H17/E17,0)</f>
        <v>1.2097925311826338E-2</v>
      </c>
    </row>
    <row r="18" spans="1:9" ht="11.4" x14ac:dyDescent="0.2">
      <c r="A18" s="138">
        <f t="shared" si="0"/>
        <v>12</v>
      </c>
      <c r="B18" s="149" t="s">
        <v>54</v>
      </c>
      <c r="C18" s="140"/>
      <c r="D18" s="231">
        <f>SUM(D15:D17)</f>
        <v>1431990000</v>
      </c>
      <c r="E18" s="232">
        <f>SUM(E15:E17)</f>
        <v>131464000</v>
      </c>
      <c r="F18" s="233">
        <f>+H18/D18</f>
        <v>1.11065136851091E-3</v>
      </c>
      <c r="G18" s="232">
        <f>SUM(G15:G17)</f>
        <v>133054441.65319394</v>
      </c>
      <c r="H18" s="232">
        <f>SUM(H15:H17)</f>
        <v>1590441.6531939378</v>
      </c>
      <c r="I18" s="234">
        <f>IF(E18&gt;0,+H18/E18,0)</f>
        <v>1.209792531182634E-2</v>
      </c>
    </row>
    <row r="19" spans="1:9" ht="11.4" x14ac:dyDescent="0.2">
      <c r="A19" s="138">
        <f t="shared" si="0"/>
        <v>13</v>
      </c>
      <c r="B19" s="149"/>
      <c r="C19" s="140"/>
      <c r="D19" s="130"/>
      <c r="E19" s="141"/>
      <c r="F19" s="144"/>
      <c r="G19" s="141"/>
      <c r="H19" s="141"/>
      <c r="I19" s="143"/>
    </row>
    <row r="20" spans="1:9" ht="11.4" x14ac:dyDescent="0.2">
      <c r="A20" s="138">
        <f t="shared" si="0"/>
        <v>14</v>
      </c>
      <c r="B20" s="148" t="s">
        <v>55</v>
      </c>
      <c r="C20" s="140">
        <v>46</v>
      </c>
      <c r="D20" s="130">
        <v>79164000</v>
      </c>
      <c r="E20" s="141">
        <v>5639000</v>
      </c>
      <c r="F20" s="142">
        <f>(IF(D20&gt;0,E20*$E$42/D20,0))</f>
        <v>8.6175788026614014E-4</v>
      </c>
      <c r="G20" s="141">
        <f t="shared" ref="G20:G21" si="5">+H20+E20</f>
        <v>5707220.2008333886</v>
      </c>
      <c r="H20" s="141">
        <f t="shared" ref="H20:H21" si="6">+F20*D20</f>
        <v>68220.200833388721</v>
      </c>
      <c r="I20" s="143">
        <f>IF(E20&gt;0,+H20/E20,0)</f>
        <v>1.2097925311826338E-2</v>
      </c>
    </row>
    <row r="21" spans="1:9" ht="11.4" x14ac:dyDescent="0.2">
      <c r="A21" s="138">
        <f t="shared" si="0"/>
        <v>15</v>
      </c>
      <c r="B21" s="145" t="s">
        <v>56</v>
      </c>
      <c r="C21" s="140">
        <v>49</v>
      </c>
      <c r="D21" s="130">
        <v>503339000</v>
      </c>
      <c r="E21" s="141">
        <v>35266000</v>
      </c>
      <c r="F21" s="142">
        <f>(IF(D21&gt;0,E21*$E$42/D21,0))</f>
        <v>8.4763039233373065E-4</v>
      </c>
      <c r="G21" s="141">
        <f t="shared" si="5"/>
        <v>35692645.434046865</v>
      </c>
      <c r="H21" s="141">
        <f t="shared" si="6"/>
        <v>426645.43404686765</v>
      </c>
      <c r="I21" s="143">
        <f>IF(E21&gt;0,+H21/E21,0)</f>
        <v>1.2097925311826338E-2</v>
      </c>
    </row>
    <row r="22" spans="1:9" ht="11.4" x14ac:dyDescent="0.2">
      <c r="A22" s="138">
        <f t="shared" si="0"/>
        <v>16</v>
      </c>
      <c r="B22" s="139" t="s">
        <v>57</v>
      </c>
      <c r="C22" s="140"/>
      <c r="D22" s="231">
        <f>SUM(D20:D21)</f>
        <v>582503000</v>
      </c>
      <c r="E22" s="232">
        <f>SUM(E20:E21)</f>
        <v>40905000</v>
      </c>
      <c r="F22" s="233">
        <f>+H22/D22</f>
        <v>8.4955036262518197E-4</v>
      </c>
      <c r="G22" s="231">
        <f>SUM(G20:G21)</f>
        <v>41399865.634880252</v>
      </c>
      <c r="H22" s="232">
        <f>SUM(H20:H21)</f>
        <v>494865.63488025637</v>
      </c>
      <c r="I22" s="234">
        <f>IF(E22&gt;0,+H22/E22,0)</f>
        <v>1.2097925311826338E-2</v>
      </c>
    </row>
    <row r="23" spans="1:9" ht="11.4" x14ac:dyDescent="0.2">
      <c r="A23" s="138">
        <f t="shared" si="0"/>
        <v>17</v>
      </c>
      <c r="B23" s="139"/>
      <c r="C23" s="140"/>
      <c r="D23" s="130"/>
      <c r="E23" s="141"/>
      <c r="F23" s="144"/>
      <c r="G23" s="141"/>
      <c r="H23" s="141"/>
      <c r="I23" s="143"/>
    </row>
    <row r="24" spans="1:9" ht="11.4" x14ac:dyDescent="0.2">
      <c r="A24" s="138">
        <f t="shared" si="0"/>
        <v>18</v>
      </c>
      <c r="B24" s="139" t="s">
        <v>58</v>
      </c>
      <c r="C24" s="147" t="s">
        <v>194</v>
      </c>
      <c r="D24" s="130">
        <v>65045000</v>
      </c>
      <c r="E24" s="141">
        <v>15829000</v>
      </c>
      <c r="F24" s="142">
        <f>(IF(D24&gt;0,E24*$E$42/D24,0))</f>
        <v>2.9440857830870799E-3</v>
      </c>
      <c r="G24" s="141">
        <f t="shared" ref="G24:G29" si="7">+H24+E24</f>
        <v>16020498.059760898</v>
      </c>
      <c r="H24" s="141">
        <f>+F24*D24</f>
        <v>191498.05976089911</v>
      </c>
      <c r="I24" s="143">
        <f>IF(E24&gt;0,+H24/E24,0)</f>
        <v>1.2097925311826338E-2</v>
      </c>
    </row>
    <row r="25" spans="1:9" ht="11.4" x14ac:dyDescent="0.2">
      <c r="A25" s="138">
        <f t="shared" si="0"/>
        <v>19</v>
      </c>
      <c r="B25" s="139"/>
      <c r="C25" s="147"/>
      <c r="D25" s="130"/>
      <c r="E25" s="141"/>
      <c r="F25" s="144"/>
      <c r="G25" s="141"/>
      <c r="H25" s="141"/>
      <c r="I25" s="143"/>
    </row>
    <row r="26" spans="1:9" ht="11.4" x14ac:dyDescent="0.2">
      <c r="A26" s="138">
        <f t="shared" si="0"/>
        <v>20</v>
      </c>
      <c r="B26" s="139" t="s">
        <v>96</v>
      </c>
      <c r="C26" s="147" t="s">
        <v>121</v>
      </c>
      <c r="D26" s="130">
        <v>1898174000</v>
      </c>
      <c r="E26" s="141">
        <v>9486000</v>
      </c>
      <c r="F26" s="142">
        <f>(IF(D26&gt;0,E26*$E$42/D26,0))</f>
        <v>6.0458587836512692E-5</v>
      </c>
      <c r="G26" s="141">
        <f t="shared" si="7"/>
        <v>9600760.9195079841</v>
      </c>
      <c r="H26" s="141">
        <f>+F26*D26</f>
        <v>114760.91950798464</v>
      </c>
      <c r="I26" s="143">
        <f>IF(E26&gt;0,+H26/E26,0)</f>
        <v>1.2097925311826338E-2</v>
      </c>
    </row>
    <row r="27" spans="1:9" ht="11.4" x14ac:dyDescent="0.2">
      <c r="A27" s="138">
        <f t="shared" si="0"/>
        <v>21</v>
      </c>
      <c r="B27" s="149" t="s">
        <v>218</v>
      </c>
      <c r="C27" s="147"/>
      <c r="D27" s="231">
        <f>SUM(D26,D24,D22,D18,D13,D7)</f>
        <v>22076393000</v>
      </c>
      <c r="E27" s="231">
        <f>SUM(E26,E24,E22,E18,E13,E7)</f>
        <v>2147956000</v>
      </c>
      <c r="F27" s="233">
        <f>(IF(D27&gt;0,E27*$E$42/D27,0))</f>
        <v>1.1770859153073265E-3</v>
      </c>
      <c r="G27" s="232">
        <f>SUM(G26,G24,G22,G18,G13,G7)</f>
        <v>2173941811.2610893</v>
      </c>
      <c r="H27" s="232">
        <f>SUM(H26,H24,H22,H18,H13,H7)</f>
        <v>25985811.261089254</v>
      </c>
      <c r="I27" s="234">
        <f>IF(E27&gt;0,+H27/E27,0)</f>
        <v>1.2097925311826338E-2</v>
      </c>
    </row>
    <row r="28" spans="1:9" ht="11.4" x14ac:dyDescent="0.2">
      <c r="A28" s="138">
        <f t="shared" si="0"/>
        <v>22</v>
      </c>
      <c r="B28" s="139"/>
      <c r="C28" s="129"/>
      <c r="D28" s="130"/>
      <c r="E28" s="141"/>
      <c r="F28" s="127"/>
      <c r="G28" s="141"/>
      <c r="H28" s="141"/>
      <c r="I28" s="131"/>
    </row>
    <row r="29" spans="1:9" ht="11.4" x14ac:dyDescent="0.2">
      <c r="A29" s="138">
        <f t="shared" si="0"/>
        <v>23</v>
      </c>
      <c r="B29" s="149" t="s">
        <v>216</v>
      </c>
      <c r="C29" s="147" t="s">
        <v>202</v>
      </c>
      <c r="D29" s="130">
        <v>289426000</v>
      </c>
      <c r="E29" s="141">
        <v>4269000</v>
      </c>
      <c r="F29" s="142">
        <v>6.1399999999999996E-4</v>
      </c>
      <c r="G29" s="141">
        <f t="shared" si="7"/>
        <v>4446707.5640000002</v>
      </c>
      <c r="H29" s="141">
        <f>+F29*D29</f>
        <v>177707.56399999998</v>
      </c>
      <c r="I29" s="150" t="s">
        <v>208</v>
      </c>
    </row>
    <row r="30" spans="1:9" ht="12" thickBot="1" x14ac:dyDescent="0.25">
      <c r="A30" s="138">
        <f t="shared" si="0"/>
        <v>24</v>
      </c>
      <c r="B30" s="149" t="s">
        <v>217</v>
      </c>
      <c r="C30" s="129"/>
      <c r="D30" s="235">
        <f>SUM(D27,D29)</f>
        <v>22365819000</v>
      </c>
      <c r="E30" s="330">
        <f>SUM(E27,E29)</f>
        <v>2152225000</v>
      </c>
      <c r="F30" s="237">
        <f>+H30/D30</f>
        <v>1.1697992738423418E-3</v>
      </c>
      <c r="G30" s="238">
        <f>SUM(G27,G29)</f>
        <v>2178388518.8250895</v>
      </c>
      <c r="H30" s="238">
        <f>SUM(H27,H29)</f>
        <v>26163518.825089253</v>
      </c>
      <c r="I30" s="239">
        <f>IF(E30&gt;0,+H30/E30,0)</f>
        <v>1.2156497961453497E-2</v>
      </c>
    </row>
    <row r="31" spans="1:9" ht="12.6" thickTop="1" thickBot="1" x14ac:dyDescent="0.25">
      <c r="A31" s="152">
        <f t="shared" si="0"/>
        <v>25</v>
      </c>
      <c r="B31" s="153"/>
      <c r="C31" s="154"/>
      <c r="D31" s="155"/>
      <c r="E31" s="155"/>
      <c r="F31" s="153"/>
      <c r="G31" s="155"/>
      <c r="H31" s="156"/>
      <c r="I31" s="157"/>
    </row>
    <row r="32" spans="1:9" ht="11.4" x14ac:dyDescent="0.2">
      <c r="A32" s="129">
        <f t="shared" si="0"/>
        <v>26</v>
      </c>
      <c r="B32" s="127"/>
      <c r="C32" s="129"/>
      <c r="D32" s="130"/>
      <c r="E32" s="130"/>
      <c r="F32" s="127"/>
      <c r="G32" s="130"/>
      <c r="H32" s="127"/>
      <c r="I32" s="127"/>
    </row>
    <row r="33" spans="1:9" ht="11.4" x14ac:dyDescent="0.2">
      <c r="A33" s="129">
        <f t="shared" si="0"/>
        <v>27</v>
      </c>
      <c r="B33" s="127" t="s">
        <v>60</v>
      </c>
      <c r="C33" s="129"/>
      <c r="D33" s="130">
        <v>7510000</v>
      </c>
      <c r="E33" s="141">
        <v>726000</v>
      </c>
      <c r="F33" s="127"/>
      <c r="G33" s="130"/>
      <c r="H33" s="127"/>
      <c r="I33" s="127"/>
    </row>
    <row r="34" spans="1:9" ht="11.4" x14ac:dyDescent="0.2">
      <c r="A34" s="129">
        <f t="shared" si="0"/>
        <v>28</v>
      </c>
      <c r="B34" s="127" t="s">
        <v>61</v>
      </c>
      <c r="C34" s="129"/>
      <c r="D34" s="130">
        <f>+D33+D30</f>
        <v>22373329000</v>
      </c>
      <c r="E34" s="141">
        <f>+E33+E30</f>
        <v>2152951000</v>
      </c>
      <c r="F34" s="127"/>
      <c r="G34" s="130"/>
      <c r="H34" s="127"/>
      <c r="I34" s="127"/>
    </row>
    <row r="35" spans="1:9" ht="11.4" x14ac:dyDescent="0.2">
      <c r="A35" s="129">
        <f t="shared" si="0"/>
        <v>29</v>
      </c>
      <c r="B35" s="127"/>
      <c r="C35" s="129"/>
      <c r="D35" s="130"/>
      <c r="E35" s="331"/>
      <c r="F35" s="127"/>
      <c r="G35" s="130"/>
      <c r="H35" s="127"/>
      <c r="I35" s="127"/>
    </row>
    <row r="36" spans="1:9" ht="11.4" x14ac:dyDescent="0.2">
      <c r="A36" s="129">
        <f t="shared" si="0"/>
        <v>30</v>
      </c>
      <c r="B36" s="149" t="s">
        <v>206</v>
      </c>
      <c r="C36" s="129"/>
      <c r="D36" s="130"/>
      <c r="E36" s="141">
        <v>26163518.825089253</v>
      </c>
      <c r="F36" s="158"/>
      <c r="G36" s="130"/>
      <c r="H36" s="127"/>
      <c r="I36" s="127"/>
    </row>
    <row r="37" spans="1:9" ht="11.4" x14ac:dyDescent="0.2">
      <c r="A37" s="129">
        <f t="shared" si="0"/>
        <v>31</v>
      </c>
      <c r="B37" s="149" t="s">
        <v>209</v>
      </c>
      <c r="C37" s="129"/>
      <c r="D37" s="130"/>
      <c r="E37" s="141">
        <f>-H29</f>
        <v>-177707.56399999998</v>
      </c>
      <c r="F37" s="158"/>
      <c r="G37" s="130"/>
      <c r="H37" s="127"/>
      <c r="I37" s="127"/>
    </row>
    <row r="38" spans="1:9" ht="11.4" x14ac:dyDescent="0.2">
      <c r="A38" s="129">
        <f t="shared" si="0"/>
        <v>32</v>
      </c>
      <c r="B38" s="149" t="s">
        <v>205</v>
      </c>
      <c r="C38" s="129"/>
      <c r="D38" s="130"/>
      <c r="E38" s="141">
        <f>SUM(E36:E37)</f>
        <v>25985811.261089254</v>
      </c>
      <c r="F38" s="158"/>
      <c r="G38" s="130"/>
      <c r="H38" s="127"/>
      <c r="I38" s="127"/>
    </row>
    <row r="39" spans="1:9" ht="11.4" x14ac:dyDescent="0.2">
      <c r="A39" s="129">
        <f t="shared" si="0"/>
        <v>33</v>
      </c>
      <c r="B39" s="149"/>
      <c r="C39" s="129"/>
      <c r="D39" s="130"/>
      <c r="E39" s="141"/>
      <c r="F39" s="158"/>
      <c r="G39" s="130"/>
      <c r="H39" s="127"/>
      <c r="I39" s="127"/>
    </row>
    <row r="40" spans="1:9" ht="11.4" x14ac:dyDescent="0.2">
      <c r="A40" s="129">
        <f t="shared" si="0"/>
        <v>34</v>
      </c>
      <c r="B40" s="127" t="s">
        <v>203</v>
      </c>
      <c r="C40" s="129"/>
      <c r="D40" s="130"/>
      <c r="E40" s="331">
        <f>+E27</f>
        <v>2147956000</v>
      </c>
      <c r="F40" s="158"/>
      <c r="G40" s="130"/>
      <c r="H40" s="127"/>
      <c r="I40" s="127"/>
    </row>
    <row r="41" spans="1:9" ht="12" thickBot="1" x14ac:dyDescent="0.25">
      <c r="A41" s="129">
        <f t="shared" si="0"/>
        <v>35</v>
      </c>
      <c r="B41" s="127"/>
      <c r="C41" s="129"/>
      <c r="D41" s="130"/>
      <c r="E41" s="130"/>
      <c r="F41" s="127"/>
      <c r="G41" s="130"/>
      <c r="H41" s="127"/>
      <c r="I41" s="127"/>
    </row>
    <row r="42" spans="1:9" ht="12.6" thickBot="1" x14ac:dyDescent="0.3">
      <c r="A42" s="159">
        <f t="shared" si="0"/>
        <v>36</v>
      </c>
      <c r="B42" s="160" t="s">
        <v>207</v>
      </c>
      <c r="C42" s="161"/>
      <c r="D42" s="162"/>
      <c r="E42" s="332">
        <f>+E38/E40</f>
        <v>1.2097925311826338E-2</v>
      </c>
      <c r="F42" s="164" t="s">
        <v>69</v>
      </c>
      <c r="G42" s="165"/>
      <c r="H42" s="166"/>
      <c r="I42" s="167"/>
    </row>
    <row r="45" spans="1:9" s="126" customFormat="1" ht="33" customHeight="1" x14ac:dyDescent="0.2">
      <c r="A45" s="341" t="s">
        <v>254</v>
      </c>
      <c r="B45" s="341"/>
      <c r="C45" s="341"/>
      <c r="D45" s="341"/>
      <c r="E45" s="341"/>
      <c r="F45" s="341"/>
      <c r="G45" s="341"/>
      <c r="H45" s="341"/>
      <c r="I45" s="341"/>
    </row>
  </sheetData>
  <mergeCells count="1">
    <mergeCell ref="A45:I45"/>
  </mergeCells>
  <printOptions horizontalCentered="1"/>
  <pageMargins left="0.7" right="0.7" top="0.75" bottom="0.75" header="0.3" footer="0.3"/>
  <pageSetup scale="72" orientation="landscape" r:id="rId1"/>
  <headerFooter alignWithMargins="0">
    <oddHeader>&amp;C2021 Low Income Program Workpapers</oddHeader>
    <oddFooter>&amp;L&amp;F
&amp;A&amp;CPage# &amp;P of &amp;N&amp;R&amp;D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U52"/>
  <sheetViews>
    <sheetView zoomScaleNormal="100" workbookViewId="0">
      <pane xSplit="1" ySplit="6" topLeftCell="B7" activePane="bottomRight" state="frozen"/>
      <selection activeCell="U10" sqref="U10"/>
      <selection pane="topRight" activeCell="U10" sqref="U10"/>
      <selection pane="bottomLeft" activeCell="U10" sqref="U10"/>
      <selection pane="bottomRight" activeCell="K19" sqref="K19"/>
    </sheetView>
  </sheetViews>
  <sheetFormatPr defaultRowHeight="13.2" x14ac:dyDescent="0.25"/>
  <cols>
    <col min="1" max="1" width="8.5546875" customWidth="1"/>
    <col min="2" max="2" width="43.21875" customWidth="1"/>
    <col min="3" max="3" width="38.88671875" customWidth="1"/>
    <col min="4" max="5" width="10.44140625" customWidth="1"/>
    <col min="6" max="6" width="12.33203125" style="248" bestFit="1" customWidth="1"/>
    <col min="7" max="7" width="11.88671875" style="248" bestFit="1" customWidth="1"/>
    <col min="8" max="8" width="12.33203125" style="248" bestFit="1" customWidth="1"/>
    <col min="9" max="9" width="11.88671875" bestFit="1" customWidth="1"/>
    <col min="10" max="10" width="17.44140625" style="248" customWidth="1"/>
    <col min="11" max="21" width="8.88671875" style="248"/>
  </cols>
  <sheetData>
    <row r="1" spans="1:21" ht="17.399999999999999" x14ac:dyDescent="0.3">
      <c r="A1" s="246" t="s">
        <v>2</v>
      </c>
      <c r="B1" s="247"/>
      <c r="C1" s="247"/>
      <c r="D1" s="247"/>
      <c r="E1" s="247"/>
      <c r="F1" s="247"/>
      <c r="G1" s="247"/>
      <c r="H1" s="247"/>
      <c r="I1" s="247"/>
    </row>
    <row r="2" spans="1:21" ht="17.399999999999999" x14ac:dyDescent="0.3">
      <c r="A2" s="246" t="s">
        <v>3</v>
      </c>
      <c r="B2" s="247"/>
      <c r="C2" s="247"/>
      <c r="D2" s="247"/>
      <c r="E2" s="247"/>
      <c r="F2" s="247"/>
      <c r="G2" s="247"/>
      <c r="H2" s="247"/>
      <c r="I2" s="247"/>
    </row>
    <row r="3" spans="1:21" ht="17.399999999999999" x14ac:dyDescent="0.3">
      <c r="A3" s="246" t="s">
        <v>71</v>
      </c>
      <c r="B3" s="249"/>
      <c r="C3" s="249"/>
      <c r="D3" s="249"/>
      <c r="E3" s="249"/>
      <c r="F3" s="249"/>
      <c r="G3" s="249"/>
      <c r="H3" s="249"/>
      <c r="I3" s="249"/>
    </row>
    <row r="4" spans="1:21" ht="17.399999999999999" x14ac:dyDescent="0.3">
      <c r="A4" s="246" t="s">
        <v>247</v>
      </c>
      <c r="B4" s="249"/>
      <c r="C4" s="249"/>
      <c r="D4" s="249"/>
      <c r="E4" s="249"/>
      <c r="F4" s="249"/>
      <c r="G4" s="249"/>
      <c r="H4" s="249"/>
      <c r="I4" s="249"/>
    </row>
    <row r="5" spans="1:21" s="251" customFormat="1" ht="17.25" customHeight="1" x14ac:dyDescent="0.3">
      <c r="A5" s="250"/>
      <c r="C5" s="252"/>
      <c r="D5" s="253"/>
      <c r="E5" s="254"/>
      <c r="F5" s="255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</row>
    <row r="6" spans="1:21" ht="39.75" customHeight="1" thickBot="1" x14ac:dyDescent="0.3">
      <c r="A6" s="257" t="s">
        <v>101</v>
      </c>
      <c r="B6" s="258"/>
      <c r="C6" s="259"/>
      <c r="D6" s="260" t="s">
        <v>102</v>
      </c>
      <c r="E6" s="261" t="s">
        <v>103</v>
      </c>
      <c r="F6" s="262" t="s">
        <v>4</v>
      </c>
      <c r="G6" s="262" t="s">
        <v>5</v>
      </c>
      <c r="H6" s="262" t="s">
        <v>6</v>
      </c>
      <c r="I6" s="263" t="s">
        <v>115</v>
      </c>
    </row>
    <row r="7" spans="1:21" x14ac:dyDescent="0.25">
      <c r="A7" s="264" t="s">
        <v>77</v>
      </c>
      <c r="B7" s="265" t="s">
        <v>78</v>
      </c>
      <c r="C7" s="266" t="s">
        <v>104</v>
      </c>
      <c r="D7" s="266" t="s">
        <v>79</v>
      </c>
      <c r="E7" s="267" t="s">
        <v>105</v>
      </c>
      <c r="F7" s="268" t="s">
        <v>80</v>
      </c>
      <c r="G7" s="268" t="s">
        <v>106</v>
      </c>
      <c r="H7" s="268" t="s">
        <v>107</v>
      </c>
      <c r="I7" s="268" t="s">
        <v>108</v>
      </c>
    </row>
    <row r="8" spans="1:21" x14ac:dyDescent="0.25">
      <c r="A8" s="264"/>
      <c r="B8" s="265"/>
      <c r="C8" s="266"/>
      <c r="D8" s="266"/>
      <c r="E8" s="267"/>
      <c r="F8" s="269"/>
      <c r="G8" s="269"/>
      <c r="H8" s="269"/>
      <c r="I8" s="269"/>
    </row>
    <row r="9" spans="1:21" x14ac:dyDescent="0.25">
      <c r="A9" s="264">
        <f>A8+1</f>
        <v>1</v>
      </c>
      <c r="B9" s="270" t="s">
        <v>262</v>
      </c>
      <c r="C9" s="266"/>
      <c r="D9" s="266"/>
      <c r="E9" s="267"/>
      <c r="F9" s="271">
        <v>26036010.77454726</v>
      </c>
      <c r="G9" s="271">
        <v>2804272.0509128161</v>
      </c>
      <c r="H9" s="271">
        <f>F9+G9</f>
        <v>28840282.825460076</v>
      </c>
      <c r="I9" s="269"/>
    </row>
    <row r="10" spans="1:21" x14ac:dyDescent="0.25">
      <c r="A10" s="264">
        <f>A9+1</f>
        <v>2</v>
      </c>
      <c r="B10" s="270" t="s">
        <v>263</v>
      </c>
      <c r="C10" s="266"/>
      <c r="D10" s="272">
        <v>-2.6152645487990459E-2</v>
      </c>
      <c r="E10" s="273">
        <v>-4.9557551409907556E-3</v>
      </c>
      <c r="F10" s="276">
        <f>IF(D10&lt;0,0,D10)*F9</f>
        <v>0</v>
      </c>
      <c r="G10" s="276">
        <f>IF(E10&lt;0,0,E10)*G9</f>
        <v>0</v>
      </c>
      <c r="H10" s="276">
        <f>F10+G10</f>
        <v>0</v>
      </c>
      <c r="I10" s="269"/>
    </row>
    <row r="11" spans="1:21" x14ac:dyDescent="0.25">
      <c r="A11" s="264">
        <f>A10+1</f>
        <v>3</v>
      </c>
      <c r="B11" s="270" t="s">
        <v>137</v>
      </c>
      <c r="C11" s="278"/>
      <c r="D11" s="279"/>
      <c r="E11" s="280"/>
      <c r="F11" s="281">
        <f>SUM(F9:F10)</f>
        <v>26036010.77454726</v>
      </c>
      <c r="G11" s="281">
        <f>SUM(G9:G10)</f>
        <v>2804272.0509128161</v>
      </c>
      <c r="H11" s="281">
        <f>SUM(H9:H10)</f>
        <v>28840282.825460076</v>
      </c>
      <c r="I11" s="282"/>
      <c r="J11" s="277"/>
      <c r="L11" s="283"/>
    </row>
    <row r="12" spans="1:21" s="248" customFormat="1" x14ac:dyDescent="0.25">
      <c r="A12" s="264">
        <f>A11+1</f>
        <v>4</v>
      </c>
      <c r="B12" s="270"/>
      <c r="C12" s="278"/>
      <c r="D12" s="279"/>
      <c r="E12" s="280"/>
      <c r="F12" s="284"/>
      <c r="G12" s="284"/>
      <c r="H12" s="285"/>
      <c r="I12" s="282"/>
    </row>
    <row r="13" spans="1:21" x14ac:dyDescent="0.25">
      <c r="A13" s="264">
        <f>A12+1</f>
        <v>5</v>
      </c>
      <c r="B13" s="270" t="s">
        <v>234</v>
      </c>
      <c r="C13" s="278"/>
      <c r="D13" s="279"/>
      <c r="E13" s="280"/>
      <c r="F13" s="284">
        <v>-372008.14869228378</v>
      </c>
      <c r="G13" s="284">
        <v>107372.08444949077</v>
      </c>
      <c r="H13" s="286">
        <f>SUM(F13:G13)</f>
        <v>-264636.06424279301</v>
      </c>
      <c r="I13" s="282"/>
    </row>
    <row r="14" spans="1:21" x14ac:dyDescent="0.25">
      <c r="A14" s="264">
        <f>A13+1</f>
        <v>6</v>
      </c>
      <c r="B14" s="274" t="s">
        <v>264</v>
      </c>
      <c r="C14" s="266"/>
      <c r="D14" s="275"/>
      <c r="E14" s="275"/>
      <c r="F14" s="286">
        <v>25635146.539999999</v>
      </c>
      <c r="G14" s="286">
        <v>0</v>
      </c>
      <c r="H14" s="286">
        <f>F14+G14</f>
        <v>25635146.539999999</v>
      </c>
      <c r="I14" s="295"/>
    </row>
    <row r="15" spans="1:21" x14ac:dyDescent="0.25">
      <c r="A15" s="264">
        <f>A14+1</f>
        <v>7</v>
      </c>
      <c r="B15" s="287" t="s">
        <v>248</v>
      </c>
      <c r="C15" s="278"/>
      <c r="D15" s="278"/>
      <c r="E15" s="288"/>
      <c r="F15" s="286">
        <v>-993287.54323109612</v>
      </c>
      <c r="G15" s="286">
        <v>-212739.8820356736</v>
      </c>
      <c r="H15" s="286">
        <f>SUM(F15:G15)</f>
        <v>-1206027.4252667697</v>
      </c>
      <c r="I15" s="282"/>
    </row>
    <row r="16" spans="1:21" x14ac:dyDescent="0.25">
      <c r="A16" s="264">
        <f>A15+1</f>
        <v>8</v>
      </c>
      <c r="B16" s="289" t="s">
        <v>219</v>
      </c>
      <c r="C16" s="278"/>
      <c r="D16" s="290">
        <v>0.9</v>
      </c>
      <c r="E16" s="290">
        <v>0.1</v>
      </c>
      <c r="F16" s="291">
        <f>H16*D16</f>
        <v>-843694.05599999998</v>
      </c>
      <c r="G16" s="291">
        <f>H16*E16</f>
        <v>-93743.784</v>
      </c>
      <c r="H16" s="292">
        <v>-937437.84</v>
      </c>
      <c r="I16" s="282"/>
    </row>
    <row r="17" spans="1:17" s="248" customFormat="1" x14ac:dyDescent="0.25">
      <c r="A17" s="264">
        <f>A16+1</f>
        <v>9</v>
      </c>
      <c r="B17" s="270"/>
      <c r="C17" s="278"/>
      <c r="D17" s="290"/>
      <c r="E17" s="293"/>
      <c r="F17" s="286"/>
      <c r="G17" s="286"/>
      <c r="H17" s="286">
        <f>SUM(F17:G17)</f>
        <v>0</v>
      </c>
      <c r="I17" s="282"/>
    </row>
    <row r="18" spans="1:17" s="248" customFormat="1" ht="14.1" customHeight="1" x14ac:dyDescent="0.25">
      <c r="A18" s="264">
        <f>A17+1</f>
        <v>10</v>
      </c>
      <c r="B18" s="287" t="s">
        <v>265</v>
      </c>
      <c r="C18" s="278"/>
      <c r="F18" s="294">
        <f>SUM(F11:F17)</f>
        <v>49462167.566623874</v>
      </c>
      <c r="G18" s="294">
        <f>SUM(G11:G17)</f>
        <v>2605160.469326633</v>
      </c>
      <c r="H18" s="294">
        <f>SUM(H11:H17)</f>
        <v>52067328.035950512</v>
      </c>
      <c r="I18" s="282"/>
    </row>
    <row r="19" spans="1:17" s="248" customFormat="1" ht="14.1" customHeight="1" x14ac:dyDescent="0.25">
      <c r="A19" s="264">
        <f>A18+1</f>
        <v>11</v>
      </c>
      <c r="B19" s="289"/>
      <c r="C19" s="278"/>
      <c r="D19" s="278"/>
      <c r="E19" s="295"/>
      <c r="F19" s="296"/>
      <c r="G19" s="296"/>
      <c r="H19" s="296"/>
      <c r="I19" s="282"/>
    </row>
    <row r="20" spans="1:17" s="248" customFormat="1" ht="14.1" customHeight="1" x14ac:dyDescent="0.25">
      <c r="A20" s="264">
        <f>A19+1</f>
        <v>12</v>
      </c>
      <c r="B20" s="297" t="s">
        <v>220</v>
      </c>
      <c r="C20" s="278"/>
      <c r="D20" s="278"/>
      <c r="E20" s="295"/>
      <c r="F20" s="296"/>
      <c r="G20" s="296"/>
      <c r="H20" s="296"/>
      <c r="I20" s="282"/>
    </row>
    <row r="21" spans="1:17" s="248" customFormat="1" ht="14.1" customHeight="1" x14ac:dyDescent="0.25">
      <c r="A21" s="264">
        <f>A20+1</f>
        <v>13</v>
      </c>
      <c r="B21" s="289" t="s">
        <v>235</v>
      </c>
      <c r="C21" s="278"/>
      <c r="D21" s="278"/>
      <c r="E21" s="295"/>
      <c r="F21" s="298">
        <v>8.4790000000000004E-3</v>
      </c>
      <c r="G21" s="298">
        <v>5.1240000000000001E-3</v>
      </c>
      <c r="H21" s="296"/>
      <c r="I21" s="295"/>
    </row>
    <row r="22" spans="1:17" s="248" customFormat="1" ht="14.1" customHeight="1" x14ac:dyDescent="0.25">
      <c r="A22" s="264">
        <f>A21+1</f>
        <v>14</v>
      </c>
      <c r="B22" s="289" t="s">
        <v>221</v>
      </c>
      <c r="C22" s="278"/>
      <c r="D22" s="278"/>
      <c r="E22" s="295"/>
      <c r="F22" s="298">
        <v>4.0000000000000001E-3</v>
      </c>
      <c r="G22" s="298">
        <v>4.0000000000000001E-3</v>
      </c>
      <c r="H22" s="296"/>
      <c r="I22" s="295"/>
      <c r="M22" s="277"/>
    </row>
    <row r="23" spans="1:17" s="248" customFormat="1" ht="14.1" customHeight="1" x14ac:dyDescent="0.25">
      <c r="A23" s="264">
        <f>A22+1</f>
        <v>15</v>
      </c>
      <c r="B23" s="289" t="s">
        <v>222</v>
      </c>
      <c r="C23" s="278"/>
      <c r="D23" s="278"/>
      <c r="E23" s="295"/>
      <c r="F23" s="298">
        <v>3.8406000000000003E-2</v>
      </c>
      <c r="G23" s="298">
        <v>3.8323000000000003E-2</v>
      </c>
      <c r="H23" s="296"/>
      <c r="I23" s="295"/>
    </row>
    <row r="24" spans="1:17" s="248" customFormat="1" ht="14.1" customHeight="1" x14ac:dyDescent="0.25">
      <c r="A24" s="264">
        <f>A23+1</f>
        <v>16</v>
      </c>
      <c r="B24" s="289"/>
      <c r="C24" s="278"/>
      <c r="D24" s="278"/>
      <c r="E24" s="295"/>
      <c r="F24" s="299"/>
      <c r="G24" s="299"/>
      <c r="H24" s="296"/>
      <c r="I24" s="295"/>
    </row>
    <row r="25" spans="1:17" s="248" customFormat="1" ht="14.1" customHeight="1" x14ac:dyDescent="0.25">
      <c r="A25" s="264">
        <f>A24+1</f>
        <v>17</v>
      </c>
      <c r="B25" s="287" t="s">
        <v>249</v>
      </c>
      <c r="C25" s="278"/>
      <c r="D25" s="278"/>
      <c r="E25" s="295"/>
      <c r="F25" s="300">
        <f>1-SUM(F21:F23)</f>
        <v>0.94911500000000004</v>
      </c>
      <c r="G25" s="300">
        <f>1-SUM(G21:G23)</f>
        <v>0.95255299999999998</v>
      </c>
      <c r="H25" s="301"/>
      <c r="I25" s="295"/>
    </row>
    <row r="26" spans="1:17" s="248" customFormat="1" ht="14.1" customHeight="1" x14ac:dyDescent="0.25">
      <c r="A26" s="264">
        <f>A25+1</f>
        <v>18</v>
      </c>
      <c r="B26" s="289"/>
      <c r="C26" s="278"/>
      <c r="D26" s="278"/>
      <c r="E26" s="295"/>
      <c r="F26" s="296"/>
      <c r="G26" s="296"/>
      <c r="H26" s="296"/>
      <c r="I26" s="295"/>
    </row>
    <row r="27" spans="1:17" s="248" customFormat="1" ht="14.1" customHeight="1" x14ac:dyDescent="0.25">
      <c r="A27" s="264">
        <f>A26+1</f>
        <v>19</v>
      </c>
      <c r="B27" s="287" t="s">
        <v>250</v>
      </c>
      <c r="C27" s="278"/>
      <c r="D27" s="278"/>
      <c r="E27" s="295"/>
      <c r="F27" s="294">
        <f>F18/F25</f>
        <v>52113987.837747663</v>
      </c>
      <c r="G27" s="294">
        <f>G18/G25</f>
        <v>2734924.4286949211</v>
      </c>
      <c r="H27" s="294">
        <f>SUM(F27:G27)</f>
        <v>54848912.266442582</v>
      </c>
      <c r="I27" s="295"/>
    </row>
    <row r="28" spans="1:17" s="248" customFormat="1" ht="14.1" customHeight="1" x14ac:dyDescent="0.25">
      <c r="A28" s="264">
        <f>A27+1</f>
        <v>20</v>
      </c>
      <c r="B28" s="289"/>
      <c r="C28" s="278"/>
      <c r="D28" s="278"/>
      <c r="E28" s="295"/>
      <c r="F28" s="302"/>
      <c r="G28" s="302"/>
      <c r="H28" s="302"/>
      <c r="I28" s="295"/>
    </row>
    <row r="29" spans="1:17" s="248" customFormat="1" ht="14.1" customHeight="1" x14ac:dyDescent="0.25">
      <c r="A29" s="264">
        <f>A28+1</f>
        <v>21</v>
      </c>
      <c r="B29" s="287" t="s">
        <v>266</v>
      </c>
      <c r="C29" s="278"/>
      <c r="D29" s="278"/>
      <c r="E29" s="278"/>
      <c r="F29" s="303">
        <v>26163518.825089253</v>
      </c>
      <c r="G29" s="303">
        <v>3187156.2278544344</v>
      </c>
      <c r="H29" s="292">
        <f>SUM(F29:G29)</f>
        <v>29350675.052943688</v>
      </c>
      <c r="I29" s="295"/>
      <c r="Q29" s="283"/>
    </row>
    <row r="30" spans="1:17" s="248" customFormat="1" x14ac:dyDescent="0.25">
      <c r="A30" s="264">
        <f>A29+1</f>
        <v>22</v>
      </c>
      <c r="B30" s="304"/>
      <c r="C30" s="305"/>
      <c r="D30" s="305"/>
      <c r="E30" s="305"/>
      <c r="F30" s="306"/>
      <c r="G30" s="306"/>
      <c r="H30" s="306"/>
      <c r="I30" s="295"/>
    </row>
    <row r="31" spans="1:17" s="248" customFormat="1" ht="13.8" thickBot="1" x14ac:dyDescent="0.3">
      <c r="A31" s="264">
        <f>A30+1</f>
        <v>23</v>
      </c>
      <c r="B31" s="307" t="s">
        <v>223</v>
      </c>
      <c r="C31" s="308"/>
      <c r="D31" s="308"/>
      <c r="E31" s="309"/>
      <c r="F31" s="310">
        <f>F27-F29</f>
        <v>25950469.01265841</v>
      </c>
      <c r="G31" s="310">
        <f>G27-G29</f>
        <v>-452231.79915951332</v>
      </c>
      <c r="H31" s="310">
        <f>H27-H29</f>
        <v>25498237.213498894</v>
      </c>
      <c r="I31" s="311"/>
    </row>
    <row r="32" spans="1:17" s="248" customFormat="1" ht="13.8" thickTop="1" x14ac:dyDescent="0.25">
      <c r="A32" s="266"/>
      <c r="B32" s="266"/>
      <c r="C32" s="278"/>
      <c r="D32" s="278"/>
      <c r="E32" s="278"/>
      <c r="F32" s="278"/>
      <c r="G32" s="278"/>
      <c r="H32" s="278"/>
    </row>
    <row r="33" spans="1:9" s="248" customFormat="1" ht="14.1" customHeight="1" x14ac:dyDescent="0.25">
      <c r="A33"/>
      <c r="B33" s="266"/>
      <c r="C33" s="278"/>
      <c r="D33" s="278"/>
      <c r="E33" s="278"/>
      <c r="F33" s="312"/>
      <c r="G33" s="312"/>
      <c r="H33" s="313"/>
    </row>
    <row r="34" spans="1:9" s="248" customFormat="1" ht="14.1" customHeight="1" x14ac:dyDescent="0.3">
      <c r="A34" s="314"/>
      <c r="B34" s="266"/>
      <c r="C34" s="278"/>
      <c r="D34" s="278"/>
      <c r="E34" s="278"/>
      <c r="F34" s="312"/>
      <c r="G34" s="312"/>
      <c r="H34" s="313"/>
    </row>
    <row r="35" spans="1:9" s="248" customFormat="1" ht="14.1" customHeight="1" x14ac:dyDescent="0.25">
      <c r="B35" s="266"/>
      <c r="C35" s="278"/>
      <c r="D35" s="278"/>
      <c r="E35" s="278"/>
      <c r="F35" s="312"/>
      <c r="G35" s="312"/>
      <c r="H35" s="313"/>
    </row>
    <row r="36" spans="1:9" s="248" customFormat="1" ht="14.1" customHeight="1" thickBot="1" x14ac:dyDescent="0.3">
      <c r="A36" s="315" t="s">
        <v>224</v>
      </c>
      <c r="C36" s="278"/>
      <c r="D36" s="278"/>
      <c r="E36" s="278"/>
      <c r="F36" s="316" t="s">
        <v>4</v>
      </c>
      <c r="G36" s="316" t="s">
        <v>5</v>
      </c>
      <c r="H36" s="317" t="s">
        <v>6</v>
      </c>
    </row>
    <row r="37" spans="1:9" s="248" customFormat="1" ht="14.1" customHeight="1" x14ac:dyDescent="0.25">
      <c r="A37" s="318"/>
      <c r="C37" s="278"/>
      <c r="D37" s="278"/>
      <c r="E37" s="278"/>
      <c r="F37" s="319"/>
      <c r="G37" s="319"/>
      <c r="H37" s="312"/>
    </row>
    <row r="38" spans="1:9" s="248" customFormat="1" ht="14.1" customHeight="1" x14ac:dyDescent="0.25">
      <c r="A38" s="320"/>
      <c r="C38" s="278"/>
      <c r="D38" s="278"/>
      <c r="E38" s="278"/>
      <c r="F38" s="321"/>
      <c r="G38" s="321"/>
      <c r="H38" s="321"/>
    </row>
    <row r="39" spans="1:9" s="248" customFormat="1" ht="14.1" customHeight="1" x14ac:dyDescent="0.25">
      <c r="A39" s="270" t="s">
        <v>234</v>
      </c>
      <c r="C39" s="278"/>
      <c r="D39" s="278"/>
      <c r="E39" s="278"/>
      <c r="F39" s="321">
        <v>-110999.95841190137</v>
      </c>
      <c r="G39" s="321">
        <v>-8408.320987435347</v>
      </c>
      <c r="H39" s="321">
        <f>SUM(F39:G39)</f>
        <v>-119408.27939933672</v>
      </c>
    </row>
    <row r="40" spans="1:9" s="248" customFormat="1" ht="25.5" customHeight="1" x14ac:dyDescent="0.25">
      <c r="A40" s="356" t="s">
        <v>277</v>
      </c>
      <c r="B40" s="356"/>
      <c r="C40" s="356"/>
      <c r="D40" s="356"/>
      <c r="E40" s="356"/>
      <c r="F40" s="322">
        <v>-1050119.2488244418</v>
      </c>
      <c r="G40" s="322">
        <v>-448674.16515546193</v>
      </c>
      <c r="H40" s="322">
        <f>SUM(F40:G40)</f>
        <v>-1498793.4139799038</v>
      </c>
    </row>
    <row r="41" spans="1:9" s="248" customFormat="1" x14ac:dyDescent="0.25">
      <c r="A41" s="318" t="s">
        <v>225</v>
      </c>
      <c r="F41" s="321">
        <v>44557.317346891032</v>
      </c>
      <c r="G41" s="321">
        <v>4850.6869833839437</v>
      </c>
      <c r="H41" s="323">
        <f>SUM(F41:G41)</f>
        <v>49408.004330274976</v>
      </c>
    </row>
    <row r="42" spans="1:9" s="248" customFormat="1" x14ac:dyDescent="0.25">
      <c r="A42" s="320" t="s">
        <v>267</v>
      </c>
      <c r="F42" s="321">
        <v>27067030.902547859</v>
      </c>
      <c r="G42" s="321">
        <v>0</v>
      </c>
      <c r="H42" s="323">
        <f>SUM(F42:G42)</f>
        <v>27067030.902547859</v>
      </c>
    </row>
    <row r="43" spans="1:9" s="248" customFormat="1" x14ac:dyDescent="0.25">
      <c r="F43" s="321"/>
      <c r="G43" s="321"/>
      <c r="H43" s="323"/>
    </row>
    <row r="44" spans="1:9" s="248" customFormat="1" ht="13.8" thickBot="1" x14ac:dyDescent="0.3">
      <c r="A44" s="324" t="s">
        <v>226</v>
      </c>
      <c r="F44" s="325">
        <f>SUM(F38:F43)</f>
        <v>25950469.012658406</v>
      </c>
      <c r="G44" s="325">
        <f>SUM(G38:G43)</f>
        <v>-452231.79915951332</v>
      </c>
      <c r="H44" s="325">
        <f>SUM(H38:H43)</f>
        <v>25498237.213498894</v>
      </c>
    </row>
    <row r="45" spans="1:9" s="248" customFormat="1" ht="13.8" thickTop="1" x14ac:dyDescent="0.25">
      <c r="A45"/>
    </row>
    <row r="46" spans="1:9" s="248" customFormat="1" x14ac:dyDescent="0.25">
      <c r="A46"/>
    </row>
    <row r="47" spans="1:9" s="248" customFormat="1" x14ac:dyDescent="0.25">
      <c r="F47" s="326"/>
      <c r="G47" s="326"/>
      <c r="I47"/>
    </row>
    <row r="48" spans="1:9" s="248" customFormat="1" x14ac:dyDescent="0.25">
      <c r="F48" s="326"/>
      <c r="G48" s="326"/>
      <c r="I48"/>
    </row>
    <row r="49" spans="1:9" s="248" customFormat="1" x14ac:dyDescent="0.25">
      <c r="C49" s="327"/>
      <c r="D49" s="327"/>
      <c r="I49"/>
    </row>
    <row r="50" spans="1:9" s="248" customFormat="1" x14ac:dyDescent="0.25">
      <c r="I50"/>
    </row>
    <row r="51" spans="1:9" s="248" customFormat="1" x14ac:dyDescent="0.25">
      <c r="A51"/>
      <c r="B51"/>
      <c r="C51" s="328"/>
      <c r="D51" s="328"/>
      <c r="E51"/>
      <c r="I51"/>
    </row>
    <row r="52" spans="1:9" s="248" customFormat="1" x14ac:dyDescent="0.25">
      <c r="A52"/>
      <c r="B52"/>
      <c r="C52" s="329"/>
      <c r="D52" s="329"/>
      <c r="E52"/>
      <c r="I52"/>
    </row>
  </sheetData>
  <mergeCells count="1">
    <mergeCell ref="A40:E40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B11" sqref="B11"/>
    </sheetView>
  </sheetViews>
  <sheetFormatPr defaultColWidth="9.109375" defaultRowHeight="10.199999999999999" x14ac:dyDescent="0.2"/>
  <cols>
    <col min="1" max="1" width="34.6640625" style="5" bestFit="1" customWidth="1"/>
    <col min="2" max="2" width="10.109375" style="39" bestFit="1" customWidth="1"/>
    <col min="3" max="16384" width="9.109375" style="5"/>
  </cols>
  <sheetData>
    <row r="1" spans="1:4" x14ac:dyDescent="0.2">
      <c r="A1" s="13" t="s">
        <v>227</v>
      </c>
      <c r="B1" s="37" t="s">
        <v>260</v>
      </c>
    </row>
    <row r="2" spans="1:4" x14ac:dyDescent="0.2">
      <c r="A2" s="13" t="s">
        <v>228</v>
      </c>
      <c r="B2" s="38"/>
    </row>
    <row r="4" spans="1:4" x14ac:dyDescent="0.2">
      <c r="A4" s="13" t="s">
        <v>229</v>
      </c>
      <c r="B4" s="37">
        <v>44470</v>
      </c>
    </row>
    <row r="5" spans="1:4" x14ac:dyDescent="0.2">
      <c r="D5" s="36"/>
    </row>
    <row r="6" spans="1:4" x14ac:dyDescent="0.2">
      <c r="A6" s="5" t="s">
        <v>230</v>
      </c>
      <c r="B6" s="39" t="s">
        <v>261</v>
      </c>
    </row>
    <row r="7" spans="1:4" x14ac:dyDescent="0.2">
      <c r="A7" s="5" t="s">
        <v>231</v>
      </c>
      <c r="B7" s="38">
        <v>44835</v>
      </c>
    </row>
    <row r="8" spans="1:4" x14ac:dyDescent="0.2">
      <c r="A8" s="5" t="s">
        <v>232</v>
      </c>
      <c r="B8" s="38">
        <f>B7+364</f>
        <v>45199</v>
      </c>
    </row>
    <row r="10" spans="1:4" x14ac:dyDescent="0.2">
      <c r="A10" s="13" t="s">
        <v>233</v>
      </c>
      <c r="B10" s="40">
        <v>44470</v>
      </c>
    </row>
    <row r="11" spans="1:4" x14ac:dyDescent="0.2">
      <c r="A11" s="5" t="s">
        <v>236</v>
      </c>
      <c r="B11" s="40">
        <v>44317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2FD4C6A7D1DC54E924F45EB5629335E" ma:contentTypeVersion="28" ma:contentTypeDescription="" ma:contentTypeScope="" ma:versionID="cde4f37735a6389d6fdf578071b0088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2022-08-31T07:00:00+00:00</OpenedDate>
    <SignificantOrder xmlns="dc463f71-b30c-4ab2-9473-d307f9d35888">false</SignificantOrder>
    <Date1 xmlns="dc463f71-b30c-4ab2-9473-d307f9d35888">2022-08-31T07:00:00+00:00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220656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F19466A-BAC4-4C78-A825-D1A8CE618D6A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F46DC743-E9D4-440F-86FE-876295BB19E0}"/>
</file>

<file path=customXml/itemProps3.xml><?xml version="1.0" encoding="utf-8"?>
<ds:datastoreItem xmlns:ds="http://schemas.openxmlformats.org/officeDocument/2006/customXml" ds:itemID="{703C8D40-8AEA-4EE5-B407-B96833761475}"/>
</file>

<file path=customXml/itemProps4.xml><?xml version="1.0" encoding="utf-8"?>
<ds:datastoreItem xmlns:ds="http://schemas.openxmlformats.org/officeDocument/2006/customXml" ds:itemID="{940D13F2-17A6-4003-851A-520CD5DA884F}"/>
</file>

<file path=customXml/itemProps5.xml><?xml version="1.0" encoding="utf-8"?>
<ds:datastoreItem xmlns:ds="http://schemas.openxmlformats.org/officeDocument/2006/customXml" ds:itemID="{45535942-E925-46AC-99BD-224C5D01C4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2022 Proposed Impacts</vt:lpstr>
      <vt:lpstr>2022 Equal % Allocation</vt:lpstr>
      <vt:lpstr>Street &amp; Area Lighting</vt:lpstr>
      <vt:lpstr>Typical Residential Notice</vt:lpstr>
      <vt:lpstr>Base Revenue</vt:lpstr>
      <vt:lpstr>Workpapers -&gt;</vt:lpstr>
      <vt:lpstr>2021 Equal % Allocation</vt:lpstr>
      <vt:lpstr>Revenue Req 2022-2023</vt:lpstr>
      <vt:lpstr>Controls</vt:lpstr>
      <vt:lpstr>'2021 Equal % Allocation'!Print_Area</vt:lpstr>
      <vt:lpstr>'2022 Equal % Allocation'!Print_Area</vt:lpstr>
      <vt:lpstr>'2022 Proposed Impacts'!Print_Area</vt:lpstr>
      <vt:lpstr>'Base Revenue'!Print_Area</vt:lpstr>
      <vt:lpstr>'Street &amp; Area Lighting'!Print_Area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Regan, Jared</cp:lastModifiedBy>
  <cp:lastPrinted>2019-09-03T21:49:43Z</cp:lastPrinted>
  <dcterms:created xsi:type="dcterms:W3CDTF">2006-08-15T18:29:06Z</dcterms:created>
  <dcterms:modified xsi:type="dcterms:W3CDTF">2022-08-17T20:26:48Z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2046865863</vt:i4>
  </property>
  <property fmtid="{D5CDD505-2E9C-101B-9397-08002B2CF9AE}" pid="3" name="_NewReviewCycle">
    <vt:lpwstr/>
  </property>
  <property fmtid="{D5CDD505-2E9C-101B-9397-08002B2CF9AE}" pid="4" name="_EmailSubject">
    <vt:lpwstr>2022 Sch 129 Low Income Filing timeline</vt:lpwstr>
  </property>
  <property fmtid="{D5CDD505-2E9C-101B-9397-08002B2CF9AE}" pid="5" name="_AuthorEmail">
    <vt:lpwstr>Jared.Regan@pse.com</vt:lpwstr>
  </property>
  <property fmtid="{D5CDD505-2E9C-101B-9397-08002B2CF9AE}" pid="6" name="_AuthorEmailDisplayName">
    <vt:lpwstr>Regan, Jared</vt:lpwstr>
  </property>
  <property fmtid="{D5CDD505-2E9C-101B-9397-08002B2CF9AE}" pid="7" name="ContentTypeId">
    <vt:lpwstr>0x0101006E56B4D1795A2E4DB2F0B01679ED314A0092FD4C6A7D1DC54E924F45EB5629335E</vt:lpwstr>
  </property>
  <property fmtid="{D5CDD505-2E9C-101B-9397-08002B2CF9AE}" pid="8" name="_docset_NoMedatataSyncRequired">
    <vt:lpwstr>False</vt:lpwstr>
  </property>
  <property fmtid="{D5CDD505-2E9C-101B-9397-08002B2CF9AE}" pid="9" name="IsEFSEC">
    <vt:bool>false</vt:bool>
  </property>
</Properties>
</file>