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60" windowWidth="15180" windowHeight="6510"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 name="RSA" sheetId="7" r:id="rId7"/>
    <sheet name="Recap" sheetId="8" r:id="rId8"/>
  </sheets>
  <externalReferences>
    <externalReference r:id="rId11"/>
    <externalReference r:id="rId12"/>
    <externalReference r:id="rId13"/>
  </externalReferences>
  <definedNames>
    <definedName name="_xlfn.IFERROR" hidden="1">#NAME?</definedName>
    <definedName name="_xlfn.SINGLE" hidden="1">#NAME?</definedName>
    <definedName name="color" localSheetId="7">#REF!</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'WUTC_KENT_MF'!$A$1:$I$68</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Johnson, Carla</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copy from RSA Workbook
Multifamily Tab
4176 Yards column K</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copy from RSA Workbook/MF Tab/column M - 176 Commodity Value</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Johnson, Carla:</t>
        </r>
        <r>
          <rPr>
            <sz val="9"/>
            <rFont val="Tahoma"/>
            <family val="2"/>
          </rPr>
          <t xml:space="preserve">
RSA Workbook/Multifamily/4176 Tons column L</t>
        </r>
      </text>
    </comment>
  </commentList>
</comments>
</file>

<file path=xl/comments8.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<sst xmlns="http://schemas.openxmlformats.org/spreadsheetml/2006/main" count="306" uniqueCount="151">
  <si>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</si>
  <si>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</si>
  <si>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</si>
  <si>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</si>
  <si>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</si>
  <si>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</si>
  <si>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</si>
  <si>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</si>
  <si>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</si>
  <si>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</si>
  <si>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</si>
  <si>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</si>
  <si>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</si>
  <si>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</si>
  <si>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</si>
  <si>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</si>
  <si>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</si>
  <si>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</si>
  <si>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</si>
  <si>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</si>
  <si>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</si>
  <si>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</si>
  <si>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</si>
  <si>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</si>
  <si>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</si>
  <si>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</si>
  <si>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</si>
  <si>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</si>
  <si>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</si>
  <si>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</si>
  <si>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</si>
  <si>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</si>
  <si>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</si>
  <si>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</si>
  <si>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</si>
  <si>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</si>
  <si>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</si>
  <si>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</si>
  <si>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</si>
  <si>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</si>
  <si>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</si>
  <si>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</si>
  <si>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</si>
  <si>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</si>
  <si>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</si>
  <si>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</si>
  <si>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</si>
  <si>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</si>
  <si>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</si>
  <si>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</si>
  <si>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</si>
  <si>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</si>
  <si>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</si>
  <si>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</si>
  <si>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</si>
  <si>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</si>
  <si>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</si>
  <si>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</si>
  <si>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</si>
  <si>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</si>
  <si>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</si>
  <si>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</si>
  <si>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</si>
  <si>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</si>
  <si>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</si>
  <si>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</si>
  <si>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</si>
  <si>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</si>
  <si>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t>
  </si>
  <si>
    <t>Compacted</t>
  </si>
  <si>
    <t>Monthly Average</t>
  </si>
  <si>
    <t>Kent-Meridian Disposal</t>
  </si>
  <si>
    <t>3.5x Compaction</t>
  </si>
  <si>
    <t>TG-12______</t>
  </si>
  <si>
    <t>For use in Budget Calculation</t>
  </si>
  <si>
    <t>Total Trailing 12 Mo. Commodity Value / Customer</t>
  </si>
  <si>
    <t>Base Credit to be Passed Back</t>
  </si>
  <si>
    <t>Budget total Revenue</t>
  </si>
  <si>
    <t>Budget Revenue Passed Back</t>
  </si>
  <si>
    <t>% of Revenue Passed Back</t>
  </si>
  <si>
    <t>% Passed Back</t>
  </si>
  <si>
    <t>Kent-Meridian - Multi Family</t>
  </si>
  <si>
    <t xml:space="preserve"> True-up Computation</t>
  </si>
  <si>
    <t>Projected Credit</t>
  </si>
  <si>
    <t>Material Shrinkage</t>
  </si>
  <si>
    <t>Shrinkage</t>
  </si>
  <si>
    <t>Prior six months</t>
  </si>
  <si>
    <t>Current six months</t>
  </si>
  <si>
    <t>Total twelve months</t>
  </si>
  <si>
    <t>Total Annual Yards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</si>
  <si>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</si>
  <si>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</si>
  <si>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</si>
  <si>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</si>
  <si>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</si>
  <si>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</si>
  <si>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</si>
  <si>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</si>
  <si>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</si>
  <si>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</si>
  <si>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</si>
  <si>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</si>
  <si>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</si>
  <si>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</si>
  <si>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Unspent RSA dollars</t>
  </si>
  <si>
    <t>Total Passback at end of 2 year plan year 2021</t>
  </si>
  <si>
    <t>Bellevue SF RSA Unspent</t>
  </si>
  <si>
    <t>2021/2022 Monthly True-up Amount</t>
  </si>
  <si>
    <t>8/1/22 - 7/31/23 Adjusted Credit</t>
  </si>
  <si>
    <t>See King County letter requesting rollover into Plan Year #2</t>
  </si>
  <si>
    <t>King County RSA Plan Year 2021-2023</t>
  </si>
  <si>
    <t>Per RSA File</t>
  </si>
  <si>
    <t>Per UTC Filing</t>
  </si>
  <si>
    <t>Variance</t>
  </si>
  <si>
    <t>Current Month</t>
  </si>
  <si>
    <t>2021 - 2023</t>
  </si>
  <si>
    <t>Plan Spend</t>
  </si>
  <si>
    <t>50% RSA Retained</t>
  </si>
  <si>
    <t>50% Passed to Customers</t>
  </si>
  <si>
    <t>Commodity Revenue</t>
  </si>
  <si>
    <t>2021-2022</t>
  </si>
  <si>
    <t>2022-2023</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</si>
  <si>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</si>
  <si>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</si>
  <si>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</si>
  <si>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</si>
  <si>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</si>
  <si>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</si>
  <si>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</si>
  <si>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</si>
  <si>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</si>
  <si>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</si>
  <si>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2022-2021</t>
  </si>
  <si>
    <t xml:space="preserve">SeaTac Multi-Family Value </t>
  </si>
  <si>
    <t>Total Revenue Retained</t>
  </si>
  <si>
    <t>Actual Available Spend</t>
  </si>
  <si>
    <t>Year 1</t>
  </si>
  <si>
    <t>Division Spend</t>
  </si>
  <si>
    <t>Forecasted Yr 1</t>
  </si>
  <si>
    <t>Forecast Yr 2 ($$ received)</t>
  </si>
  <si>
    <t>Commodity Value</t>
  </si>
  <si>
    <t>Avg Tons / month</t>
  </si>
  <si>
    <t># months forecast</t>
  </si>
  <si>
    <t>Year 2</t>
  </si>
  <si>
    <t>Forecasted Yr 1 Value</t>
  </si>
  <si>
    <t>Forecasted Yr2 Value</t>
  </si>
  <si>
    <t>Forecasted Yr 1 Spend</t>
  </si>
  <si>
    <t>Forecasted Yr2 Spend</t>
  </si>
  <si>
    <t>Potential Rollover Amount to Yr 2</t>
  </si>
  <si>
    <t>Rollover Amount from Yr 1</t>
  </si>
  <si>
    <t>Forecasted Available Spend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</si>
</sst>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0_);_(* \(#,##0.00\);_(* &quot;-&quot;_);_(@_)"/>
    <numFmt numFmtId="167" formatCode="_(* #,##0.000_);_(* \(#,##0.000\);_(* &quot;-&quot;_);_(@_)"/>
    <numFmt numFmtId="168" formatCode="mmmm"/>
    <numFmt numFmtId="169" formatCode="#,##0.000"/>
    <numFmt numFmtId="170" formatCode="mmmm\-yy"/>
    <numFmt numFmtId="171" formatCode="&quot;Yes&quot;;&quot;Yes&quot;;&quot;No&quot;"/>
    <numFmt numFmtId="172" formatCode="&quot;True&quot;;&quot;True&quot;;&quot;False&quot;"/>
    <numFmt numFmtId="173" formatCode="&quot;On&quot;;&quot;On&quot;;&quot;Off&quot;"/>
    <numFmt numFmtId="174" formatCode="[$€-2]\ #,##0.00_);[Red]\([$€-2]\ #,##0.00\)"/>
    <numFmt numFmtId="175" formatCode="_(* #,##0.0000_);_(* \(#,##0.0000\);_(* &quot;-&quot;_);_(@_)"/>
    <numFmt numFmtId="176" formatCode="&quot;$&quot;#,##0.00"/>
    <numFmt numFmtId="177" formatCode="0.000"/>
    <numFmt numFmtId="178" formatCode="_(&quot;$&quot;* #,##0_);_(&quot;$&quot;* \(#,##0\);_(&quot;$&quot;* &quot;-&quot;??_);_(@_)"/>
    <numFmt numFmtId="179" formatCode="[$-409]mmm\-yy;@"/>
    <numFmt numFmtId="180" formatCode="_(* #,##0_);_(* \(#,##0\);_(* &quot;-&quot;??_);_(@_)"/>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1"/>
      <color indexed="12"/>
      <name val="Calibri"/>
      <family val="2"/>
    </font>
    <font>
      <b/>
      <sz val="12"/>
      <name val="Arial"/>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sz val="11"/>
      <color rgb="FF0000FF"/>
      <name val="Calibri"/>
      <family val="2"/>
    </font>
    <font>
      <sz val="11"/>
      <color theme="1" tint="0.34999001026153564"/>
      <name val="Calibri"/>
      <family val="2"/>
    </font>
    <font>
      <sz val="10"/>
      <color theme="1" tint="0.3499900102615356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style="thin"/>
      <right>
        <color indexed="63"/>
      </right>
      <top style="thin"/>
      <bottom style="thin"/>
    </border>
    <border>
      <left>
        <color indexed="63"/>
      </left>
      <right style="thin"/>
      <top style="thin"/>
      <bottom style="thin"/>
    </border>
    <border>
      <left/>
      <right style="hair"/>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4">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166"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7" fontId="7" fillId="0" borderId="0" xfId="62" applyNumberFormat="1" applyFont="1" applyAlignment="1">
      <alignment horizontal="righ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7" fontId="7" fillId="0" borderId="11" xfId="62" applyNumberFormat="1" applyFont="1" applyBorder="1">
      <alignment/>
      <protection/>
    </xf>
    <xf numFmtId="167" fontId="7" fillId="0" borderId="15" xfId="62" applyNumberFormat="1" applyFont="1" applyBorder="1">
      <alignment/>
      <protection/>
    </xf>
    <xf numFmtId="166" fontId="7" fillId="0" borderId="0" xfId="62" applyNumberFormat="1" applyFont="1" applyFill="1" applyBorder="1">
      <alignment/>
      <protection/>
    </xf>
    <xf numFmtId="166" fontId="14" fillId="0" borderId="0" xfId="62" applyNumberFormat="1" applyFont="1" applyFill="1" applyBorder="1" applyAlignment="1">
      <alignment horizontal="centerContinuous"/>
      <protection/>
    </xf>
    <xf numFmtId="166" fontId="7" fillId="0" borderId="0" xfId="62" applyNumberFormat="1" applyFont="1" applyFill="1" applyBorder="1" applyAlignment="1">
      <alignment horizontal="centerContinuous"/>
      <protection/>
    </xf>
    <xf numFmtId="166" fontId="7" fillId="0" borderId="0" xfId="62" applyNumberFormat="1" applyFont="1" applyAlignment="1">
      <alignment horizontal="centerContinuous"/>
      <protection/>
    </xf>
    <xf numFmtId="168"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6"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6" fontId="6" fillId="0" borderId="0" xfId="62" applyNumberFormat="1" applyFill="1" applyBorder="1">
      <alignment/>
      <protection/>
    </xf>
    <xf numFmtId="168" fontId="7" fillId="0" borderId="0" xfId="62" applyNumberFormat="1" applyFont="1" applyFill="1" applyBorder="1">
      <alignment/>
      <protection/>
    </xf>
    <xf numFmtId="167" fontId="7" fillId="0" borderId="0" xfId="62" applyNumberFormat="1" applyFont="1" applyFill="1" applyBorder="1">
      <alignment/>
      <protection/>
    </xf>
    <xf numFmtId="166" fontId="7" fillId="0" borderId="13" xfId="62" applyNumberFormat="1" applyFont="1" applyBorder="1">
      <alignment/>
      <protection/>
    </xf>
    <xf numFmtId="166"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70" fontId="7" fillId="0" borderId="0" xfId="62" applyNumberFormat="1" applyFont="1" applyAlignment="1">
      <alignment horizontal="right"/>
      <protection/>
    </xf>
    <xf numFmtId="168"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8" fontId="7" fillId="0" borderId="0" xfId="62"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43" fontId="9" fillId="0" borderId="0" xfId="42" applyFont="1" applyAlignment="1">
      <alignment/>
    </xf>
    <xf numFmtId="166" fontId="7" fillId="0" borderId="0" xfId="62"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164" fontId="1" fillId="0" borderId="0" xfId="65" applyNumberFormat="1" applyFont="1" applyAlignment="1">
      <alignment/>
    </xf>
    <xf numFmtId="0" fontId="17" fillId="0" borderId="16" xfId="62" applyFont="1" applyBorder="1" applyAlignment="1">
      <alignment horizontal="center"/>
      <protection/>
    </xf>
    <xf numFmtId="0" fontId="7" fillId="0" borderId="0" xfId="62" applyFont="1" applyBorder="1">
      <alignment/>
      <protection/>
    </xf>
    <xf numFmtId="166" fontId="17" fillId="0" borderId="17" xfId="62" applyNumberFormat="1" applyFont="1" applyBorder="1" applyAlignment="1">
      <alignment horizontal="center"/>
      <protection/>
    </xf>
    <xf numFmtId="166" fontId="18"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164" fontId="7" fillId="0" borderId="0" xfId="65" applyNumberFormat="1" applyFont="1" applyAlignment="1">
      <alignment/>
    </xf>
    <xf numFmtId="166" fontId="7" fillId="35" borderId="0" xfId="62" applyNumberFormat="1" applyFont="1" applyFill="1">
      <alignment/>
      <protection/>
    </xf>
    <xf numFmtId="0" fontId="9" fillId="0" borderId="0" xfId="0"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63" applyNumberFormat="1" applyFont="1" applyFill="1" applyBorder="1" applyAlignment="1">
      <alignment/>
    </xf>
    <xf numFmtId="0" fontId="1" fillId="0" borderId="0" xfId="0" applyFont="1" applyAlignment="1">
      <alignment/>
    </xf>
    <xf numFmtId="166" fontId="7" fillId="36" borderId="0" xfId="62" applyNumberFormat="1" applyFont="1" applyFill="1">
      <alignment/>
      <protection/>
    </xf>
    <xf numFmtId="9" fontId="7" fillId="36" borderId="18" xfId="65" applyFont="1" applyFill="1" applyBorder="1" applyAlignment="1">
      <alignment/>
    </xf>
    <xf numFmtId="44" fontId="0" fillId="35" borderId="0" xfId="0" applyNumberFormat="1" applyFill="1" applyAlignment="1">
      <alignment/>
    </xf>
    <xf numFmtId="41" fontId="12" fillId="35" borderId="0" xfId="62" applyNumberFormat="1" applyFont="1" applyFill="1" applyAlignment="1">
      <alignment horizontal="center"/>
      <protection/>
    </xf>
    <xf numFmtId="168" fontId="7" fillId="0" borderId="0" xfId="62" applyNumberFormat="1" applyFont="1" applyFill="1" applyAlignment="1">
      <alignment horizontal="right"/>
      <protection/>
    </xf>
    <xf numFmtId="164" fontId="61" fillId="37" borderId="19" xfId="65" applyNumberFormat="1" applyFont="1" applyFill="1" applyBorder="1" applyAlignment="1">
      <alignment/>
    </xf>
    <xf numFmtId="175" fontId="7" fillId="0" borderId="11" xfId="62" applyNumberFormat="1" applyFont="1" applyBorder="1">
      <alignment/>
      <protection/>
    </xf>
    <xf numFmtId="167" fontId="7" fillId="36" borderId="15" xfId="62" applyNumberFormat="1" applyFont="1" applyFill="1" applyBorder="1">
      <alignment/>
      <protection/>
    </xf>
    <xf numFmtId="37" fontId="7" fillId="0" borderId="11" xfId="62" applyNumberFormat="1" applyFont="1" applyBorder="1">
      <alignment/>
      <protection/>
    </xf>
    <xf numFmtId="43" fontId="7" fillId="0" borderId="0" xfId="62" applyNumberFormat="1" applyFont="1">
      <alignment/>
      <protection/>
    </xf>
    <xf numFmtId="0" fontId="1" fillId="0" borderId="20" xfId="0" applyFont="1" applyBorder="1" applyAlignment="1">
      <alignment/>
    </xf>
    <xf numFmtId="0" fontId="1" fillId="0" borderId="21" xfId="0" applyFont="1" applyBorder="1" applyAlignment="1">
      <alignment/>
    </xf>
    <xf numFmtId="176" fontId="1" fillId="0" borderId="22" xfId="0" applyNumberFormat="1" applyFont="1" applyBorder="1" applyAlignment="1">
      <alignment/>
    </xf>
    <xf numFmtId="176" fontId="0" fillId="0" borderId="0" xfId="0" applyNumberFormat="1" applyAlignment="1">
      <alignment/>
    </xf>
    <xf numFmtId="176" fontId="0" fillId="32" borderId="18" xfId="0" applyNumberFormat="1" applyFill="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66" fontId="7" fillId="32" borderId="21" xfId="62" applyNumberFormat="1" applyFont="1" applyFill="1" applyBorder="1">
      <alignment/>
      <protection/>
    </xf>
    <xf numFmtId="166" fontId="7" fillId="32" borderId="22" xfId="62" applyNumberFormat="1" applyFont="1" applyFill="1" applyBorder="1">
      <alignment/>
      <protection/>
    </xf>
    <xf numFmtId="44" fontId="7" fillId="34" borderId="18" xfId="44" applyFont="1" applyFill="1" applyBorder="1" applyAlignment="1">
      <alignment/>
    </xf>
    <xf numFmtId="44" fontId="7" fillId="34" borderId="18" xfId="44" applyFont="1" applyFill="1" applyBorder="1" applyAlignment="1">
      <alignment horizontal="center"/>
    </xf>
    <xf numFmtId="44" fontId="62" fillId="34" borderId="18" xfId="44" applyFont="1" applyFill="1" applyBorder="1" applyAlignment="1">
      <alignment/>
    </xf>
    <xf numFmtId="44" fontId="62" fillId="34" borderId="18" xfId="44" applyFont="1" applyFill="1" applyBorder="1" applyAlignment="1">
      <alignment horizontal="center"/>
    </xf>
    <xf numFmtId="39" fontId="7" fillId="35" borderId="11" xfId="62" applyNumberFormat="1" applyFont="1" applyFill="1" applyBorder="1">
      <alignment/>
      <protection/>
    </xf>
    <xf numFmtId="176" fontId="1" fillId="0" borderId="0" xfId="0" applyNumberFormat="1" applyFont="1" applyAlignment="1">
      <alignment/>
    </xf>
    <xf numFmtId="176" fontId="0" fillId="0" borderId="18" xfId="0" applyNumberFormat="1" applyBorder="1" applyAlignment="1">
      <alignment/>
    </xf>
    <xf numFmtId="44" fontId="0" fillId="0" borderId="18" xfId="44" applyFont="1" applyBorder="1" applyAlignment="1">
      <alignment/>
    </xf>
    <xf numFmtId="10" fontId="0" fillId="0" borderId="18" xfId="0" applyNumberFormat="1" applyBorder="1" applyAlignment="1">
      <alignment/>
    </xf>
    <xf numFmtId="44" fontId="0" fillId="0" borderId="18" xfId="0" applyNumberFormat="1" applyBorder="1" applyAlignment="1">
      <alignment/>
    </xf>
    <xf numFmtId="44" fontId="0" fillId="0" borderId="0" xfId="0" applyNumberFormat="1" applyAlignment="1">
      <alignment/>
    </xf>
    <xf numFmtId="177" fontId="0" fillId="0" borderId="0" xfId="0" applyNumberFormat="1" applyAlignment="1">
      <alignment/>
    </xf>
    <xf numFmtId="178" fontId="61" fillId="0" borderId="0" xfId="46" applyNumberFormat="1" applyFont="1" applyFill="1" applyBorder="1" applyAlignment="1">
      <alignment/>
    </xf>
    <xf numFmtId="0" fontId="0" fillId="0" borderId="0" xfId="0" applyAlignment="1">
      <alignment wrapText="1"/>
    </xf>
    <xf numFmtId="44" fontId="0" fillId="0" borderId="0" xfId="44" applyFont="1" applyAlignment="1">
      <alignment/>
    </xf>
    <xf numFmtId="179" fontId="61" fillId="37" borderId="23" xfId="46" applyNumberFormat="1" applyFont="1" applyFill="1" applyBorder="1" applyAlignment="1">
      <alignment/>
    </xf>
    <xf numFmtId="179" fontId="63" fillId="37" borderId="19" xfId="0" applyNumberFormat="1" applyFont="1" applyFill="1" applyBorder="1" applyAlignment="1">
      <alignment/>
    </xf>
    <xf numFmtId="0" fontId="41" fillId="38" borderId="24" xfId="61" applyFont="1" applyFill="1" applyBorder="1">
      <alignment/>
      <protection/>
    </xf>
    <xf numFmtId="178" fontId="0" fillId="38" borderId="10" xfId="61" applyNumberFormat="1" applyFont="1" applyFill="1" applyBorder="1">
      <alignment/>
      <protection/>
    </xf>
    <xf numFmtId="0" fontId="0" fillId="38" borderId="10" xfId="61" applyFont="1" applyFill="1" applyBorder="1">
      <alignment/>
      <protection/>
    </xf>
    <xf numFmtId="178" fontId="0" fillId="38" borderId="25" xfId="47" applyNumberFormat="1" applyFont="1" applyFill="1" applyBorder="1" applyAlignment="1">
      <alignment/>
    </xf>
    <xf numFmtId="0" fontId="0" fillId="0" borderId="0" xfId="61" applyFont="1">
      <alignment/>
      <protection/>
    </xf>
    <xf numFmtId="178" fontId="0" fillId="0" borderId="0" xfId="61" applyNumberFormat="1" applyFont="1">
      <alignment/>
      <protection/>
    </xf>
    <xf numFmtId="0" fontId="0" fillId="0" borderId="0" xfId="61" applyFont="1">
      <alignment/>
      <protection/>
    </xf>
    <xf numFmtId="178" fontId="0" fillId="0" borderId="0" xfId="47" applyNumberFormat="1" applyFont="1" applyAlignment="1">
      <alignment/>
    </xf>
    <xf numFmtId="0" fontId="61" fillId="39" borderId="10" xfId="59" applyFont="1" applyFill="1" applyBorder="1" applyAlignment="1">
      <alignment horizontal="center"/>
      <protection/>
    </xf>
    <xf numFmtId="0" fontId="61" fillId="39" borderId="26" xfId="59" applyFont="1" applyFill="1" applyBorder="1" applyAlignment="1">
      <alignment horizontal="center"/>
      <protection/>
    </xf>
    <xf numFmtId="178" fontId="0" fillId="0" borderId="27" xfId="0" applyNumberFormat="1" applyFont="1" applyBorder="1" applyAlignment="1">
      <alignment horizontal="center"/>
    </xf>
    <xf numFmtId="178" fontId="0" fillId="0" borderId="27" xfId="0" applyNumberFormat="1" applyBorder="1" applyAlignment="1">
      <alignment/>
    </xf>
    <xf numFmtId="178" fontId="0" fillId="0" borderId="27" xfId="44" applyNumberFormat="1" applyFont="1" applyBorder="1" applyAlignment="1">
      <alignment horizontal="center"/>
    </xf>
    <xf numFmtId="0" fontId="61" fillId="39" borderId="28" xfId="59" applyFont="1" applyFill="1" applyBorder="1" applyAlignment="1">
      <alignment horizontal="center"/>
      <protection/>
    </xf>
    <xf numFmtId="0" fontId="61" fillId="0" borderId="0" xfId="59"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8" fontId="61" fillId="0" borderId="18" xfId="46" applyNumberFormat="1" applyFont="1" applyFill="1" applyBorder="1" applyAlignment="1">
      <alignment/>
    </xf>
    <xf numFmtId="0" fontId="0" fillId="0" borderId="0" xfId="0" applyAlignment="1">
      <alignment horizontal="center" wrapText="1"/>
    </xf>
    <xf numFmtId="178" fontId="61" fillId="39" borderId="28" xfId="47" applyNumberFormat="1" applyFont="1" applyFill="1" applyBorder="1" applyAlignment="1">
      <alignment horizontal="center"/>
    </xf>
    <xf numFmtId="0" fontId="61" fillId="39" borderId="0" xfId="59" applyFont="1" applyFill="1" applyAlignment="1">
      <alignment horizontal="center"/>
      <protection/>
    </xf>
    <xf numFmtId="178" fontId="0" fillId="0" borderId="0" xfId="0" applyNumberFormat="1" applyAlignment="1">
      <alignment/>
    </xf>
    <xf numFmtId="0" fontId="1" fillId="0" borderId="0" xfId="0" applyFont="1" applyAlignment="1">
      <alignment horizontal="left"/>
    </xf>
    <xf numFmtId="44" fontId="1" fillId="0" borderId="29" xfId="44" applyFont="1" applyBorder="1" applyAlignment="1">
      <alignment/>
    </xf>
    <xf numFmtId="0" fontId="0" fillId="0" borderId="0" xfId="0" applyFont="1" applyAlignment="1">
      <alignment horizontal="right"/>
    </xf>
    <xf numFmtId="44" fontId="1" fillId="0" borderId="29" xfId="0" applyNumberFormat="1" applyFont="1" applyBorder="1" applyAlignment="1">
      <alignment horizontal="right"/>
    </xf>
    <xf numFmtId="0" fontId="61" fillId="39" borderId="18" xfId="59" applyFont="1" applyFill="1" applyBorder="1" applyAlignment="1">
      <alignment horizontal="center"/>
      <protection/>
    </xf>
    <xf numFmtId="0" fontId="0" fillId="39" borderId="18" xfId="0" applyFill="1" applyBorder="1" applyAlignment="1">
      <alignment/>
    </xf>
    <xf numFmtId="0" fontId="64" fillId="0" borderId="0" xfId="0" applyFont="1" applyAlignment="1">
      <alignment/>
    </xf>
    <xf numFmtId="0" fontId="65" fillId="2" borderId="24" xfId="59" applyFont="1" applyFill="1" applyBorder="1" applyAlignment="1">
      <alignment horizontal="center"/>
      <protection/>
    </xf>
    <xf numFmtId="0" fontId="65" fillId="2" borderId="10" xfId="59" applyFont="1" applyFill="1" applyBorder="1" applyAlignment="1">
      <alignment horizontal="center"/>
      <protection/>
    </xf>
    <xf numFmtId="0" fontId="65" fillId="2" borderId="25" xfId="59" applyFont="1" applyFill="1" applyBorder="1" applyAlignment="1">
      <alignment horizontal="center"/>
      <protection/>
    </xf>
    <xf numFmtId="0" fontId="65" fillId="2" borderId="30" xfId="59" applyFont="1" applyFill="1" applyBorder="1" applyAlignment="1">
      <alignment horizontal="center"/>
      <protection/>
    </xf>
    <xf numFmtId="0" fontId="65" fillId="2" borderId="28" xfId="59" applyFont="1" applyFill="1" applyBorder="1" applyAlignment="1">
      <alignment horizontal="center"/>
      <protection/>
    </xf>
    <xf numFmtId="0" fontId="65" fillId="2" borderId="31" xfId="59" applyFont="1" applyFill="1" applyBorder="1" applyAlignment="1">
      <alignment horizontal="center"/>
      <protection/>
    </xf>
    <xf numFmtId="44" fontId="0" fillId="37" borderId="0" xfId="0" applyNumberFormat="1" applyFont="1" applyFill="1" applyAlignment="1">
      <alignment horizontal="right"/>
    </xf>
    <xf numFmtId="44" fontId="0" fillId="37" borderId="0" xfId="44" applyFont="1" applyFill="1" applyAlignment="1">
      <alignment/>
    </xf>
    <xf numFmtId="0" fontId="65" fillId="2" borderId="10" xfId="59" applyFont="1" applyFill="1" applyBorder="1" applyAlignment="1">
      <alignment horizontal="center"/>
      <protection/>
    </xf>
    <xf numFmtId="178" fontId="65" fillId="2" borderId="18" xfId="46" applyNumberFormat="1" applyFont="1" applyFill="1" applyBorder="1" applyAlignment="1">
      <alignment/>
    </xf>
    <xf numFmtId="178" fontId="65" fillId="2" borderId="32" xfId="47" applyNumberFormat="1" applyFont="1" applyFill="1" applyBorder="1" applyAlignment="1">
      <alignment horizontal="center"/>
    </xf>
    <xf numFmtId="178" fontId="65" fillId="2" borderId="33" xfId="47" applyNumberFormat="1" applyFont="1" applyFill="1" applyBorder="1" applyAlignment="1">
      <alignment horizontal="center"/>
    </xf>
    <xf numFmtId="178" fontId="65" fillId="2" borderId="34" xfId="47" applyNumberFormat="1" applyFont="1" applyFill="1" applyBorder="1" applyAlignment="1">
      <alignment horizontal="center"/>
    </xf>
    <xf numFmtId="0" fontId="61" fillId="39" borderId="35" xfId="59" applyFont="1" applyFill="1" applyBorder="1">
      <alignment/>
      <protection/>
    </xf>
    <xf numFmtId="0" fontId="61" fillId="39" borderId="36" xfId="59" applyFont="1" applyFill="1" applyBorder="1">
      <alignment/>
      <protection/>
    </xf>
    <xf numFmtId="0" fontId="61" fillId="0" borderId="0" xfId="59" applyFont="1">
      <alignment/>
      <protection/>
    </xf>
    <xf numFmtId="0" fontId="61" fillId="39" borderId="18" xfId="59" applyFont="1" applyFill="1" applyBorder="1">
      <alignment/>
      <protection/>
    </xf>
    <xf numFmtId="0" fontId="61" fillId="39" borderId="18" xfId="59" applyFont="1" applyFill="1" applyBorder="1" applyAlignment="1">
      <alignment wrapText="1"/>
      <protection/>
    </xf>
    <xf numFmtId="178" fontId="0" fillId="0" borderId="0" xfId="44" applyNumberFormat="1" applyFont="1" applyBorder="1" applyAlignment="1">
      <alignment/>
    </xf>
    <xf numFmtId="0" fontId="61" fillId="39" borderId="24" xfId="59" applyFont="1" applyFill="1" applyBorder="1" applyAlignment="1">
      <alignment horizontal="center"/>
      <protection/>
    </xf>
    <xf numFmtId="178" fontId="63" fillId="37" borderId="37" xfId="47" applyNumberFormat="1" applyFont="1" applyFill="1" applyBorder="1" applyAlignment="1">
      <alignment/>
    </xf>
    <xf numFmtId="0" fontId="61" fillId="39" borderId="18" xfId="59" applyFont="1" applyFill="1" applyBorder="1" applyAlignment="1">
      <alignment horizontal="center"/>
      <protection/>
    </xf>
    <xf numFmtId="178" fontId="63" fillId="37" borderId="18" xfId="47" applyNumberFormat="1" applyFont="1" applyFill="1" applyBorder="1" applyAlignment="1">
      <alignment wrapText="1"/>
    </xf>
    <xf numFmtId="0" fontId="61" fillId="39" borderId="32" xfId="59" applyFont="1" applyFill="1" applyBorder="1" applyAlignment="1">
      <alignment horizontal="center"/>
      <protection/>
    </xf>
    <xf numFmtId="180" fontId="61" fillId="0" borderId="18" xfId="42" applyNumberFormat="1" applyFont="1" applyFill="1" applyBorder="1" applyAlignment="1">
      <alignment/>
    </xf>
    <xf numFmtId="180" fontId="61" fillId="0" borderId="38" xfId="42" applyNumberFormat="1" applyFont="1" applyFill="1" applyBorder="1" applyAlignment="1">
      <alignment wrapText="1"/>
    </xf>
    <xf numFmtId="0" fontId="63" fillId="37" borderId="37" xfId="0" applyFont="1" applyFill="1" applyBorder="1" applyAlignment="1">
      <alignment/>
    </xf>
    <xf numFmtId="0" fontId="63" fillId="37" borderId="18" xfId="0" applyFont="1" applyFill="1" applyBorder="1" applyAlignment="1">
      <alignment wrapText="1"/>
    </xf>
    <xf numFmtId="0" fontId="61" fillId="39" borderId="30" xfId="59" applyFont="1" applyFill="1" applyBorder="1" applyAlignment="1">
      <alignment horizontal="center"/>
      <protection/>
    </xf>
    <xf numFmtId="178" fontId="61" fillId="39" borderId="25" xfId="47" applyNumberFormat="1" applyFont="1" applyFill="1" applyBorder="1" applyAlignment="1">
      <alignment horizontal="center"/>
    </xf>
    <xf numFmtId="178" fontId="61" fillId="39" borderId="18" xfId="47" applyNumberFormat="1" applyFont="1" applyFill="1" applyBorder="1" applyAlignment="1">
      <alignment horizontal="center" wrapText="1"/>
    </xf>
    <xf numFmtId="0" fontId="61" fillId="39" borderId="39" xfId="59" applyFont="1" applyFill="1" applyBorder="1" applyAlignment="1">
      <alignment horizontal="center"/>
      <protection/>
    </xf>
    <xf numFmtId="0" fontId="63" fillId="39" borderId="17" xfId="59" applyFont="1" applyFill="1" applyBorder="1" applyAlignment="1">
      <alignment horizontal="center"/>
      <protection/>
    </xf>
    <xf numFmtId="178" fontId="44" fillId="0" borderId="0" xfId="0" applyNumberFormat="1" applyFont="1" applyAlignment="1">
      <alignment wrapText="1"/>
    </xf>
    <xf numFmtId="0" fontId="61" fillId="39" borderId="39" xfId="59" applyFont="1" applyFill="1" applyBorder="1" applyAlignment="1">
      <alignment horizontal="center" wrapText="1"/>
      <protection/>
    </xf>
    <xf numFmtId="0" fontId="63" fillId="39" borderId="0" xfId="59" applyFont="1" applyFill="1" applyAlignment="1">
      <alignment horizontal="center"/>
      <protection/>
    </xf>
    <xf numFmtId="178" fontId="44" fillId="0" borderId="0" xfId="47" applyNumberFormat="1" applyFont="1" applyFill="1" applyBorder="1" applyAlignment="1">
      <alignment horizontal="center" wrapText="1"/>
    </xf>
    <xf numFmtId="178" fontId="61" fillId="0" borderId="0" xfId="47" applyNumberFormat="1" applyFont="1" applyFill="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2\4172_4176_4183%20RSA%20King%20Co%20Workbook_21-2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2">
        <row r="29">
          <cell r="P29">
            <v>0</v>
          </cell>
        </row>
        <row r="30">
          <cell r="P30">
            <v>0</v>
          </cell>
        </row>
        <row r="31">
          <cell r="P31">
            <v>0</v>
          </cell>
        </row>
      </sheetData>
      <sheetData sheetId="3">
        <row r="32">
          <cell r="P32">
            <v>215.88</v>
          </cell>
        </row>
        <row r="34">
          <cell r="P34">
            <v>77.71679999999999</v>
          </cell>
        </row>
        <row r="35">
          <cell r="P35">
            <v>112.25760000000001</v>
          </cell>
        </row>
        <row r="36">
          <cell r="P36">
            <v>25.9056</v>
          </cell>
        </row>
      </sheetData>
      <sheetData sheetId="4">
        <row r="29">
          <cell r="P29">
            <v>0</v>
          </cell>
        </row>
      </sheetData>
      <sheetData sheetId="5">
        <row r="38">
          <cell r="I38">
            <v>2629.6666666666674</v>
          </cell>
        </row>
      </sheetData>
      <sheetData sheetId="6">
        <row r="38">
          <cell r="I38">
            <v>0</v>
          </cell>
        </row>
      </sheetData>
      <sheetData sheetId="7">
        <row r="22">
          <cell r="P22">
            <v>643.0833333333334</v>
          </cell>
        </row>
        <row r="23">
          <cell r="P23">
            <v>10610.872</v>
          </cell>
        </row>
        <row r="24">
          <cell r="P24">
            <v>7073.914666666669</v>
          </cell>
        </row>
        <row r="25">
          <cell r="P25">
            <v>18327.870000000003</v>
          </cell>
        </row>
        <row r="31">
          <cell r="P31">
            <v>0</v>
          </cell>
        </row>
        <row r="32">
          <cell r="P32">
            <v>0</v>
          </cell>
        </row>
        <row r="33">
          <cell r="P33">
            <v>0</v>
          </cell>
        </row>
        <row r="34">
          <cell r="P34">
            <v>0</v>
          </cell>
        </row>
      </sheetData>
      <sheetData sheetId="8">
        <row r="17">
          <cell r="F17">
            <v>96988.7</v>
          </cell>
          <cell r="M17">
            <v>170514.11</v>
          </cell>
          <cell r="T17">
            <v>34786.2</v>
          </cell>
          <cell r="V17">
            <v>12888.999999999998</v>
          </cell>
        </row>
        <row r="33">
          <cell r="F33">
            <v>0</v>
          </cell>
          <cell r="M33">
            <v>0</v>
          </cell>
          <cell r="T33">
            <v>0</v>
          </cell>
        </row>
      </sheetData>
      <sheetData sheetId="9">
        <row r="17">
          <cell r="F17">
            <v>8687.720000000001</v>
          </cell>
          <cell r="M17">
            <v>1738.4599999999998</v>
          </cell>
          <cell r="T17">
            <v>1900.98</v>
          </cell>
          <cell r="V17">
            <v>536.03</v>
          </cell>
        </row>
        <row r="34">
          <cell r="F34">
            <v>0</v>
          </cell>
          <cell r="M34">
            <v>0</v>
          </cell>
          <cell r="T3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80"/>
      <c r="B64" s="46"/>
      <c r="C64" s="48"/>
      <c r="D64" s="47"/>
      <c r="E64" s="41"/>
      <c r="F64" s="41"/>
    </row>
    <row r="65" spans="1:6" s="16" customFormat="1" ht="11.25">
      <c r="A65" s="80"/>
      <c r="B65" s="46"/>
      <c r="C65" s="49"/>
      <c r="D65" s="47"/>
      <c r="E65" s="41"/>
      <c r="F65" s="41"/>
    </row>
    <row r="66" spans="1:25" s="14" customFormat="1" ht="11.25">
      <c r="A66" s="80"/>
      <c r="B66" s="49"/>
      <c r="C66" s="49"/>
      <c r="D66" s="41"/>
      <c r="E66" s="49"/>
      <c r="F66" s="41"/>
      <c r="X66" s="16"/>
      <c r="Y66" s="16"/>
    </row>
    <row r="67" spans="1:6" s="16" customFormat="1" ht="11.25">
      <c r="A67" s="80"/>
      <c r="B67" s="49"/>
      <c r="C67" s="48"/>
      <c r="D67" s="41"/>
      <c r="E67" s="41"/>
      <c r="F67" s="41"/>
    </row>
    <row r="68" spans="1:6" s="16" customFormat="1" ht="11.25">
      <c r="A68" s="80"/>
      <c r="B68" s="49"/>
      <c r="C68" s="49"/>
      <c r="D68" s="41"/>
      <c r="E68" s="41"/>
      <c r="F68" s="41"/>
    </row>
    <row r="69" spans="1:6" s="16" customFormat="1" ht="11.25">
      <c r="A69" s="80"/>
      <c r="B69" s="50"/>
      <c r="C69" s="49"/>
      <c r="D69" s="41"/>
      <c r="E69" s="41"/>
      <c r="F69" s="41"/>
    </row>
    <row r="70" spans="1:6" s="16" customFormat="1" ht="11.25">
      <c r="A70" s="80"/>
      <c r="B70" s="50"/>
      <c r="C70" s="49"/>
      <c r="D70" s="41"/>
      <c r="E70" s="41"/>
      <c r="F70" s="41"/>
    </row>
    <row r="71" spans="1:6" s="16" customFormat="1" ht="11.25">
      <c r="A71" s="80"/>
      <c r="B71" s="50"/>
      <c r="C71" s="49"/>
      <c r="D71" s="41"/>
      <c r="E71" s="41"/>
      <c r="F71" s="41"/>
    </row>
    <row r="72" spans="1:6" s="16" customFormat="1" ht="11.25">
      <c r="A72" s="80"/>
      <c r="B72" s="50"/>
      <c r="C72" s="49"/>
      <c r="D72" s="41"/>
      <c r="E72" s="41"/>
      <c r="F72" s="41"/>
    </row>
    <row r="73" spans="1:25" s="16" customFormat="1" ht="11.25">
      <c r="A73" s="80"/>
      <c r="B73" s="50"/>
      <c r="C73" s="49"/>
      <c r="D73" s="41"/>
      <c r="E73" s="41"/>
      <c r="F73" s="41"/>
      <c r="Y73" s="14"/>
    </row>
    <row r="74" spans="1:6" s="16" customFormat="1" ht="11.25">
      <c r="A74" s="80"/>
      <c r="B74" s="50"/>
      <c r="C74" s="49"/>
      <c r="D74" s="41"/>
      <c r="E74" s="41"/>
      <c r="F74" s="41"/>
    </row>
    <row r="75" spans="1:6" s="16" customFormat="1" ht="11.25">
      <c r="A75" s="80"/>
      <c r="B75" s="50"/>
      <c r="C75" s="49"/>
      <c r="D75" s="41"/>
      <c r="E75" s="41"/>
      <c r="F75" s="41"/>
    </row>
    <row r="76" spans="1:6" s="16" customFormat="1" ht="11.25">
      <c r="A76" s="80"/>
      <c r="B76" s="50"/>
      <c r="C76" s="49"/>
      <c r="D76" s="41"/>
      <c r="E76" s="41"/>
      <c r="F76" s="41"/>
    </row>
    <row r="77" spans="1:27" s="16" customFormat="1" ht="11.2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80"/>
      <c r="B78" s="50"/>
      <c r="C78" s="49"/>
      <c r="D78" s="41"/>
      <c r="E78" s="41"/>
      <c r="F78" s="41"/>
    </row>
    <row r="79" spans="1:6" s="16" customFormat="1" ht="11.25">
      <c r="A79" s="45"/>
      <c r="B79" s="49"/>
      <c r="C79" s="49"/>
      <c r="D79" s="41"/>
      <c r="E79" s="41"/>
      <c r="F79" s="41"/>
    </row>
    <row r="80" spans="1:6" s="16" customFormat="1" ht="11.25">
      <c r="A80" s="81"/>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99"/>
  <sheetViews>
    <sheetView showGridLines="0" tabSelected="1" zoomScalePageLayoutView="0" workbookViewId="0" topLeftCell="A1">
      <pane ySplit="4" topLeftCell="A7" activePane="bottomLeft" state="frozen"/>
      <selection pane="topLeft" activeCell="A1" sqref="A1"/>
      <selection pane="bottomLeft" activeCell="A1" sqref="A1"/>
    </sheetView>
  </sheetViews>
  <sheetFormatPr defaultColWidth="9.140625" defaultRowHeight="12.75"/>
  <cols>
    <col min="1" max="1" width="25.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71</v>
      </c>
      <c r="B1" s="2"/>
      <c r="C1" s="2"/>
      <c r="D1" s="2"/>
      <c r="E1" s="2"/>
      <c r="F1" s="2"/>
      <c r="G1" s="3"/>
      <c r="H1" s="2"/>
      <c r="I1" s="2"/>
      <c r="J1" s="1" t="s">
        <v>73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2022</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6" t="str">
        <f>"Total "&amp;F5</f>
        <v>Total Commodity</v>
      </c>
      <c r="P5" s="137"/>
      <c r="Q5" s="2"/>
      <c r="R5" s="2"/>
      <c r="S5" s="2"/>
      <c r="T5" s="2"/>
      <c r="U5" s="2"/>
      <c r="V5" s="13"/>
      <c r="W5" s="14"/>
      <c r="X5" s="14"/>
      <c r="Y5" s="14"/>
      <c r="AA5" s="14"/>
    </row>
    <row r="6" spans="1:16" s="16" customFormat="1" ht="11.25">
      <c r="A6" s="15"/>
      <c r="B6" s="12"/>
      <c r="C6" s="12"/>
      <c r="D6" s="12" t="s">
        <v>2</v>
      </c>
      <c r="E6" s="12"/>
      <c r="F6" s="12" t="s">
        <v>3</v>
      </c>
      <c r="G6" s="12"/>
      <c r="H6" s="12"/>
      <c r="I6" s="12"/>
      <c r="J6" s="12"/>
      <c r="K6" s="12"/>
      <c r="O6" s="138" t="str">
        <f>+F6</f>
        <v>Revenue</v>
      </c>
      <c r="P6" s="107"/>
    </row>
    <row r="7" spans="1:16" s="16" customFormat="1" ht="11.25">
      <c r="A7" s="15" t="s">
        <v>5</v>
      </c>
      <c r="B7" s="12" t="s">
        <v>64</v>
      </c>
      <c r="C7" s="12"/>
      <c r="D7" s="12" t="s">
        <v>3</v>
      </c>
      <c r="E7" s="12"/>
      <c r="F7" s="12" t="s">
        <v>65</v>
      </c>
      <c r="G7" s="12"/>
      <c r="H7" s="12"/>
      <c r="I7" s="12"/>
      <c r="J7" s="12" t="s">
        <v>66</v>
      </c>
      <c r="K7" s="12"/>
      <c r="O7" s="138" t="str">
        <f>+F7</f>
        <v>per Yard</v>
      </c>
      <c r="P7" s="107"/>
    </row>
    <row r="8" spans="1:16" s="16" customFormat="1" ht="11.25">
      <c r="A8" s="154">
        <f>+Multi_Family!C6</f>
        <v>44347</v>
      </c>
      <c r="B8" s="153">
        <v>367.83</v>
      </c>
      <c r="C8" s="12"/>
      <c r="D8" s="131">
        <f>VLOOKUP(A8,Value!$A$6:$O$17,15,)</f>
        <v>108.325502528</v>
      </c>
      <c r="E8" s="12"/>
      <c r="F8" s="16">
        <f aca="true" t="shared" si="0" ref="F8:F16">ROUND(D8/B8,2)</f>
        <v>0.29</v>
      </c>
      <c r="G8" s="12"/>
      <c r="H8" s="12"/>
      <c r="I8" s="12"/>
      <c r="J8" s="14">
        <f>+B8</f>
        <v>367.83</v>
      </c>
      <c r="K8" s="13">
        <f>YEAR(A8)</f>
        <v>2021</v>
      </c>
      <c r="O8" s="139">
        <f>VLOOKUP(A8,Value!$A$7:$O$18,13,FALSE)</f>
        <v>216.651005056</v>
      </c>
      <c r="P8" s="107"/>
    </row>
    <row r="9" spans="1:16" s="16" customFormat="1" ht="11.25">
      <c r="A9" s="17">
        <f>EOMONTH(A8,1)</f>
        <v>44377</v>
      </c>
      <c r="B9" s="153">
        <v>363.5</v>
      </c>
      <c r="C9" s="20"/>
      <c r="D9" s="131">
        <f>VLOOKUP(A9,Value!$A$6:$O$17,15,)</f>
        <v>162.05039342100002</v>
      </c>
      <c r="E9" s="14"/>
      <c r="F9" s="16">
        <f t="shared" si="0"/>
        <v>0.45</v>
      </c>
      <c r="G9" s="14"/>
      <c r="H9" s="14"/>
      <c r="I9" s="14"/>
      <c r="J9" s="14">
        <f>+B9</f>
        <v>363.5</v>
      </c>
      <c r="K9" s="13">
        <f>YEAR(A9)</f>
        <v>2021</v>
      </c>
      <c r="M9" s="16">
        <v>392.13</v>
      </c>
      <c r="O9" s="139">
        <f>VLOOKUP(A9,Value!$A$7:$O$18,13,FALSE)</f>
        <v>324.10078684200005</v>
      </c>
      <c r="P9" s="107"/>
    </row>
    <row r="10" spans="1:16" s="16" customFormat="1" ht="11.25">
      <c r="A10" s="17">
        <f>EOMONTH(A9,1)</f>
        <v>44408</v>
      </c>
      <c r="B10" s="153">
        <v>398.14</v>
      </c>
      <c r="C10" s="14"/>
      <c r="D10" s="131">
        <f>VLOOKUP(A10,Value!$A$6:$O$17,15,)</f>
        <v>163.915038116</v>
      </c>
      <c r="E10" s="14"/>
      <c r="F10" s="16">
        <f t="shared" si="0"/>
        <v>0.41</v>
      </c>
      <c r="G10" s="14"/>
      <c r="H10" s="14"/>
      <c r="I10" s="14"/>
      <c r="J10" s="14">
        <f>+B10</f>
        <v>398.14</v>
      </c>
      <c r="K10" s="13">
        <f>YEAR(A10)</f>
        <v>2021</v>
      </c>
      <c r="M10" s="16">
        <v>392.13</v>
      </c>
      <c r="O10" s="139">
        <f>VLOOKUP(A10,Value!$A$7:$O$18,13,FALSE)</f>
        <v>327.830076232</v>
      </c>
      <c r="P10" s="107"/>
    </row>
    <row r="11" spans="1:16" s="16" customFormat="1" ht="11.25">
      <c r="A11" s="17"/>
      <c r="B11" s="131"/>
      <c r="C11" s="14"/>
      <c r="D11" s="131"/>
      <c r="E11" s="14"/>
      <c r="G11" s="23"/>
      <c r="H11" s="14"/>
      <c r="I11" s="14"/>
      <c r="J11" s="14"/>
      <c r="K11" s="13"/>
      <c r="O11" s="139"/>
      <c r="P11" s="107"/>
    </row>
    <row r="12" spans="1:16" s="16" customFormat="1" ht="11.25">
      <c r="A12" s="17" t="s">
        <v>86</v>
      </c>
      <c r="B12" s="14">
        <f>SUM(B8:B10)</f>
        <v>1129.4699999999998</v>
      </c>
      <c r="C12" s="14"/>
      <c r="D12" s="101">
        <f>SUM(D8:D10)</f>
        <v>434.29093406500004</v>
      </c>
      <c r="E12" s="14"/>
      <c r="G12" s="23"/>
      <c r="H12" s="14"/>
      <c r="I12" s="14"/>
      <c r="J12" s="14"/>
      <c r="K12" s="13"/>
      <c r="O12" s="139"/>
      <c r="P12" s="107"/>
    </row>
    <row r="13" spans="1:16" s="16" customFormat="1" ht="11.25">
      <c r="A13" s="17"/>
      <c r="B13" s="131"/>
      <c r="C13" s="14"/>
      <c r="D13" s="131"/>
      <c r="E13" s="14"/>
      <c r="G13" s="23"/>
      <c r="H13" s="14"/>
      <c r="I13" s="14"/>
      <c r="J13" s="14"/>
      <c r="K13" s="13"/>
      <c r="O13" s="139"/>
      <c r="P13" s="107"/>
    </row>
    <row r="14" spans="1:16" s="16" customFormat="1" ht="11.25">
      <c r="A14" s="17">
        <f>EOMONTH(A10,1)</f>
        <v>44439</v>
      </c>
      <c r="B14" s="153">
        <v>398.14</v>
      </c>
      <c r="C14" s="14"/>
      <c r="D14" s="131">
        <f>VLOOKUP(A14,Value!$A$6:$O$17,15,)</f>
        <v>219.12579116799998</v>
      </c>
      <c r="E14" s="14"/>
      <c r="F14" s="16">
        <f t="shared" si="0"/>
        <v>0.55</v>
      </c>
      <c r="G14" s="23"/>
      <c r="H14" s="14"/>
      <c r="I14" s="14"/>
      <c r="J14" s="14">
        <f aca="true" t="shared" si="1" ref="J14:J20">+B14</f>
        <v>398.14</v>
      </c>
      <c r="K14" s="13">
        <f aca="true" t="shared" si="2" ref="K14:K22">YEAR(A14)</f>
        <v>2021</v>
      </c>
      <c r="M14" s="16">
        <v>372.46000000000004</v>
      </c>
      <c r="O14" s="139">
        <f>VLOOKUP(A14,Value!$A$7:$O$18,13,FALSE)</f>
        <v>438.25158233599996</v>
      </c>
      <c r="P14" s="107"/>
    </row>
    <row r="15" spans="1:16" s="16" customFormat="1" ht="11.25">
      <c r="A15" s="17">
        <f aca="true" t="shared" si="3" ref="A15:A22">EOMONTH(A14,1)</f>
        <v>44469</v>
      </c>
      <c r="B15" s="153">
        <v>441.44</v>
      </c>
      <c r="C15" s="14"/>
      <c r="D15" s="131">
        <f>VLOOKUP(A15,Value!$A$6:$O$17,15,)</f>
        <v>205.6795772700001</v>
      </c>
      <c r="E15" s="14"/>
      <c r="F15" s="16">
        <f t="shared" si="0"/>
        <v>0.47</v>
      </c>
      <c r="G15" s="23"/>
      <c r="H15" s="14"/>
      <c r="I15" s="14"/>
      <c r="J15" s="14">
        <f t="shared" si="1"/>
        <v>441.44</v>
      </c>
      <c r="K15" s="13">
        <f t="shared" si="2"/>
        <v>2021</v>
      </c>
      <c r="M15" s="16">
        <v>375.15</v>
      </c>
      <c r="O15" s="139">
        <f>VLOOKUP(A15,Value!$A$7:$O$18,13,FALSE)</f>
        <v>411.3591545400002</v>
      </c>
      <c r="P15" s="107"/>
    </row>
    <row r="16" spans="1:16" s="16" customFormat="1" ht="11.25">
      <c r="A16" s="17">
        <f t="shared" si="3"/>
        <v>44500</v>
      </c>
      <c r="B16" s="153">
        <v>467.42</v>
      </c>
      <c r="C16" s="14"/>
      <c r="D16" s="131">
        <f>VLOOKUP(A16,Value!$A$6:$O$17,15,)</f>
        <v>240.71187746800004</v>
      </c>
      <c r="E16" s="14"/>
      <c r="F16" s="16">
        <f t="shared" si="0"/>
        <v>0.51</v>
      </c>
      <c r="G16" s="23"/>
      <c r="H16" s="14"/>
      <c r="I16" s="14"/>
      <c r="J16" s="14">
        <f t="shared" si="1"/>
        <v>467.42</v>
      </c>
      <c r="K16" s="13">
        <f t="shared" si="2"/>
        <v>2021</v>
      </c>
      <c r="O16" s="139">
        <f>VLOOKUP(A16,Value!$A$7:$O$18,13,FALSE)</f>
        <v>481.4237549360001</v>
      </c>
      <c r="P16" s="107"/>
    </row>
    <row r="17" spans="1:16" s="16" customFormat="1" ht="11.25">
      <c r="A17" s="17">
        <f>EOMONTH(A16,1)</f>
        <v>44530</v>
      </c>
      <c r="B17" s="153">
        <v>476.08</v>
      </c>
      <c r="C17" s="14"/>
      <c r="D17" s="131">
        <f>VLOOKUP(A17,Value!$A$6:$O$17,15,)</f>
        <v>167.49694896600005</v>
      </c>
      <c r="E17" s="14"/>
      <c r="F17" s="16">
        <f aca="true" t="shared" si="4" ref="F17:F22">ROUND(D17/B17,2)</f>
        <v>0.35</v>
      </c>
      <c r="G17" s="23"/>
      <c r="H17" s="14"/>
      <c r="I17" s="14"/>
      <c r="J17" s="14">
        <f t="shared" si="1"/>
        <v>476.08</v>
      </c>
      <c r="K17" s="13">
        <f t="shared" si="2"/>
        <v>2021</v>
      </c>
      <c r="O17" s="139">
        <f>VLOOKUP(A17,Value!$A$7:$O$18,13,FALSE)</f>
        <v>334.9938979320001</v>
      </c>
      <c r="P17" s="107"/>
    </row>
    <row r="18" spans="1:25" s="16" customFormat="1" ht="11.25">
      <c r="A18" s="17">
        <f t="shared" si="3"/>
        <v>44561</v>
      </c>
      <c r="B18" s="153">
        <v>476.08</v>
      </c>
      <c r="C18" s="14"/>
      <c r="D18" s="131">
        <f>VLOOKUP(A18,Value!$A$6:$O$17,15,)</f>
        <v>94.36360676800001</v>
      </c>
      <c r="E18" s="14"/>
      <c r="F18" s="16">
        <f t="shared" si="4"/>
        <v>0.2</v>
      </c>
      <c r="G18" s="23"/>
      <c r="H18" s="14"/>
      <c r="I18" s="14"/>
      <c r="J18" s="14">
        <f t="shared" si="1"/>
        <v>476.08</v>
      </c>
      <c r="K18" s="13">
        <f t="shared" si="2"/>
        <v>2021</v>
      </c>
      <c r="O18" s="139">
        <f>VLOOKUP(A18,Value!$A$7:$O$18,13,FALSE)</f>
        <v>188.72721353600002</v>
      </c>
      <c r="P18" s="107"/>
      <c r="X18" s="14"/>
      <c r="Y18" s="14"/>
    </row>
    <row r="19" spans="1:27" s="16" customFormat="1" ht="11.25">
      <c r="A19" s="17">
        <f t="shared" si="3"/>
        <v>44592</v>
      </c>
      <c r="B19" s="153">
        <v>502.06</v>
      </c>
      <c r="C19" s="14"/>
      <c r="D19" s="131">
        <f>VLOOKUP(A19,Value!$A$6:$O$17,15,)</f>
        <v>63.284282040000065</v>
      </c>
      <c r="E19" s="14"/>
      <c r="F19" s="16">
        <f t="shared" si="4"/>
        <v>0.13</v>
      </c>
      <c r="G19" s="23"/>
      <c r="H19" s="14"/>
      <c r="I19" s="14"/>
      <c r="J19" s="14">
        <f t="shared" si="1"/>
        <v>502.06</v>
      </c>
      <c r="K19" s="13">
        <f t="shared" si="2"/>
        <v>2022</v>
      </c>
      <c r="L19" s="14"/>
      <c r="M19" s="14"/>
      <c r="N19" s="14"/>
      <c r="O19" s="139">
        <f>VLOOKUP(A19,Value!$A$7:$O$18,13,FALSE)</f>
        <v>126.56856408000013</v>
      </c>
      <c r="P19" s="107"/>
      <c r="Q19" s="14"/>
      <c r="R19" s="14"/>
      <c r="S19" s="14"/>
      <c r="T19" s="14"/>
      <c r="U19" s="14"/>
      <c r="V19" s="14"/>
      <c r="W19" s="14"/>
      <c r="Y19" s="14"/>
      <c r="AA19" s="14"/>
    </row>
    <row r="20" spans="1:16" s="16" customFormat="1" ht="11.25">
      <c r="A20" s="17">
        <f t="shared" si="3"/>
        <v>44620</v>
      </c>
      <c r="B20" s="153">
        <v>515.05</v>
      </c>
      <c r="C20" s="14"/>
      <c r="D20" s="131">
        <f>VLOOKUP(A20,Value!$A$6:$O$17,15,)</f>
        <v>79.86099924000003</v>
      </c>
      <c r="E20" s="14"/>
      <c r="F20" s="16">
        <f t="shared" si="4"/>
        <v>0.16</v>
      </c>
      <c r="G20" s="23"/>
      <c r="H20" s="14"/>
      <c r="I20" s="14"/>
      <c r="J20" s="14">
        <f t="shared" si="1"/>
        <v>515.05</v>
      </c>
      <c r="K20" s="13">
        <f t="shared" si="2"/>
        <v>2022</v>
      </c>
      <c r="O20" s="139">
        <f>VLOOKUP(A20,Value!$A$7:$O$18,13,FALSE)</f>
        <v>159.72199848000005</v>
      </c>
      <c r="P20" s="107"/>
    </row>
    <row r="21" spans="1:16" s="16" customFormat="1" ht="11.25">
      <c r="A21" s="17">
        <f t="shared" si="3"/>
        <v>44651</v>
      </c>
      <c r="B21" s="153">
        <v>376.49</v>
      </c>
      <c r="C21" s="14"/>
      <c r="D21" s="131">
        <f>VLOOKUP(A21,Value!$A$6:$O$17,15,)</f>
        <v>115.80311896000003</v>
      </c>
      <c r="E21" s="14"/>
      <c r="F21" s="16">
        <f t="shared" si="4"/>
        <v>0.31</v>
      </c>
      <c r="G21" s="23"/>
      <c r="H21" s="20"/>
      <c r="I21" s="14"/>
      <c r="J21" s="14">
        <f>+B21</f>
        <v>376.49</v>
      </c>
      <c r="K21" s="13">
        <f t="shared" si="2"/>
        <v>2022</v>
      </c>
      <c r="O21" s="139">
        <f>VLOOKUP(A21,Value!$A$7:$O$18,13,FALSE)</f>
        <v>231.60623792000007</v>
      </c>
      <c r="P21" s="35"/>
    </row>
    <row r="22" spans="1:16" s="16" customFormat="1" ht="11.25">
      <c r="A22" s="17">
        <f t="shared" si="3"/>
        <v>44681</v>
      </c>
      <c r="B22" s="153">
        <v>376.49</v>
      </c>
      <c r="C22" s="14"/>
      <c r="D22" s="131">
        <f>VLOOKUP(A22,Value!$A$6:$O$18,15,)</f>
        <v>117.71587345000003</v>
      </c>
      <c r="E22" s="14"/>
      <c r="F22" s="16">
        <f t="shared" si="4"/>
        <v>0.31</v>
      </c>
      <c r="G22" s="23"/>
      <c r="H22" s="20"/>
      <c r="I22" s="14"/>
      <c r="J22" s="14">
        <f>+B22</f>
        <v>376.49</v>
      </c>
      <c r="K22" s="13">
        <f t="shared" si="2"/>
        <v>2022</v>
      </c>
      <c r="O22" s="139">
        <f>VLOOKUP(A22,Value!$A$7:$O$18,13,FALSE)</f>
        <v>235.43174690000006</v>
      </c>
      <c r="P22" s="107"/>
    </row>
    <row r="23" spans="1:16" s="16" customFormat="1" ht="11.25">
      <c r="A23" s="17"/>
      <c r="B23" s="14"/>
      <c r="C23" s="14"/>
      <c r="D23" s="97"/>
      <c r="E23" s="14"/>
      <c r="G23" s="14"/>
      <c r="H23" s="14"/>
      <c r="I23" s="14"/>
      <c r="J23" s="14"/>
      <c r="K23" s="13"/>
      <c r="O23" s="139"/>
      <c r="P23" s="107"/>
    </row>
    <row r="24" spans="1:15" s="16" customFormat="1" ht="11.25">
      <c r="A24" s="17" t="s">
        <v>87</v>
      </c>
      <c r="B24" s="21">
        <f>SUM(B14:B22)</f>
        <v>4029.249999999999</v>
      </c>
      <c r="D24" s="132">
        <f>SUM(D14:D22)</f>
        <v>1304.0420753300004</v>
      </c>
      <c r="E24" s="14"/>
      <c r="G24" s="14"/>
      <c r="H24" s="14"/>
      <c r="I24" s="14"/>
      <c r="J24" s="14"/>
      <c r="K24" s="13"/>
      <c r="O24" s="140"/>
    </row>
    <row r="25" spans="1:16" s="16" customFormat="1" ht="12.75">
      <c r="A25" s="5"/>
      <c r="B25" s="5"/>
      <c r="C25" s="5"/>
      <c r="D25" s="133"/>
      <c r="E25" s="5"/>
      <c r="F25" s="5"/>
      <c r="G25" s="5"/>
      <c r="H25" s="5"/>
      <c r="I25" s="5"/>
      <c r="J25" s="5"/>
      <c r="K25" s="5"/>
      <c r="O25" s="140"/>
      <c r="P25" s="112" t="s">
        <v>74</v>
      </c>
    </row>
    <row r="26" spans="1:16" s="16" customFormat="1" ht="13.5" thickBot="1">
      <c r="A26" s="26" t="s">
        <v>88</v>
      </c>
      <c r="B26" s="158">
        <f>B12+B24</f>
        <v>5158.719999999999</v>
      </c>
      <c r="C26" s="20" t="s">
        <v>9</v>
      </c>
      <c r="D26" s="134">
        <f>D12+D24</f>
        <v>1738.3330093950005</v>
      </c>
      <c r="E26" s="20" t="s">
        <v>10</v>
      </c>
      <c r="F26" s="23">
        <f>ROUND(D26/B26,3)</f>
        <v>0.337</v>
      </c>
      <c r="H26" s="14"/>
      <c r="I26" s="14"/>
      <c r="J26" s="27">
        <f>SUM(J8:J25)</f>
        <v>5158.719999999999</v>
      </c>
      <c r="K26" s="20" t="s">
        <v>12</v>
      </c>
      <c r="O26" s="140">
        <f>SUM(O8:O25)</f>
        <v>3476.666018790001</v>
      </c>
      <c r="P26" s="116"/>
    </row>
    <row r="27" spans="2:16" s="16" customFormat="1" ht="12" thickTop="1">
      <c r="B27" s="14"/>
      <c r="C27" s="20"/>
      <c r="D27" s="14"/>
      <c r="E27" s="14"/>
      <c r="F27" s="14"/>
      <c r="G27" s="14"/>
      <c r="H27" s="14"/>
      <c r="I27" s="14"/>
      <c r="J27" s="14"/>
      <c r="K27" s="14"/>
      <c r="O27" s="141">
        <f>ROUND(O26/J26,3)</f>
        <v>0.674</v>
      </c>
      <c r="P27" s="107" t="s">
        <v>75</v>
      </c>
    </row>
    <row r="28" spans="2:16" s="16" customFormat="1" ht="11.25">
      <c r="B28" s="14"/>
      <c r="C28" s="14"/>
      <c r="D28" s="14"/>
      <c r="E28" s="14"/>
      <c r="F28" s="14"/>
      <c r="G28" s="14"/>
      <c r="H28" s="14"/>
      <c r="I28" s="14"/>
      <c r="J28" s="14"/>
      <c r="K28" s="14"/>
      <c r="O28" s="35"/>
      <c r="P28" s="107"/>
    </row>
    <row r="29" spans="2:16" s="16" customFormat="1" ht="11.25">
      <c r="B29" s="14"/>
      <c r="C29" s="14"/>
      <c r="D29" s="14"/>
      <c r="E29" s="14"/>
      <c r="F29" s="14"/>
      <c r="G29" s="14"/>
      <c r="H29" s="14"/>
      <c r="I29" s="14"/>
      <c r="J29" s="14"/>
      <c r="K29" s="14"/>
      <c r="O29" s="35"/>
      <c r="P29" s="107"/>
    </row>
    <row r="30" spans="2:16" s="16" customFormat="1" ht="12" thickBot="1">
      <c r="B30" s="29" t="s">
        <v>13</v>
      </c>
      <c r="C30" s="30"/>
      <c r="D30" s="30"/>
      <c r="E30" s="30"/>
      <c r="F30" s="14"/>
      <c r="G30" s="14"/>
      <c r="H30" s="14"/>
      <c r="I30" s="14"/>
      <c r="J30" s="14"/>
      <c r="K30" s="14"/>
      <c r="O30" s="107"/>
      <c r="P30" s="107" t="s">
        <v>76</v>
      </c>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59">
        <f>D26</f>
        <v>1738.3330093950005</v>
      </c>
      <c r="H32" s="20" t="s">
        <v>10</v>
      </c>
      <c r="I32" s="14"/>
      <c r="J32" s="14"/>
      <c r="K32" s="14"/>
    </row>
    <row r="33" spans="1:27" s="13" customFormat="1" ht="11.25">
      <c r="A33" s="33"/>
      <c r="B33" s="31"/>
      <c r="C33" s="14"/>
      <c r="D33" s="14"/>
      <c r="E33" s="14"/>
      <c r="F33" s="14"/>
      <c r="G33" s="14"/>
      <c r="H33" s="20"/>
      <c r="I33" s="14"/>
      <c r="J33" s="14"/>
      <c r="K33" s="14"/>
      <c r="O33" s="16"/>
      <c r="P33" s="16"/>
      <c r="W33" s="14"/>
      <c r="X33" s="16"/>
      <c r="Y33" s="16"/>
      <c r="AA33" s="14"/>
    </row>
    <row r="34" spans="2:16" s="16" customFormat="1" ht="11.25">
      <c r="B34" s="14" t="s">
        <v>67</v>
      </c>
      <c r="C34" s="14"/>
      <c r="D34" s="14"/>
      <c r="E34" s="14"/>
      <c r="F34" s="34">
        <v>0.079</v>
      </c>
      <c r="G34" s="14"/>
      <c r="H34" s="14"/>
      <c r="I34" s="14"/>
      <c r="J34" s="14"/>
      <c r="K34" s="14"/>
      <c r="O34" s="16">
        <f>Value!M20</f>
        <v>3476.6660187900006</v>
      </c>
      <c r="P34" s="13" t="s">
        <v>77</v>
      </c>
    </row>
    <row r="35" spans="2:16" s="16" customFormat="1" ht="11.25">
      <c r="B35" s="14"/>
      <c r="C35" s="14" t="str">
        <f>"Yards from "&amp;TEXT($A$8,"mm/yy")&amp;" - "&amp;TEXT($A$10,"mm/yy")</f>
        <v>Yards from 05/21 - 07/21</v>
      </c>
      <c r="D35" s="14"/>
      <c r="E35" s="14"/>
      <c r="F35" s="14">
        <f>B12</f>
        <v>1129.4699999999998</v>
      </c>
      <c r="G35" s="20" t="s">
        <v>8</v>
      </c>
      <c r="H35" s="14"/>
      <c r="I35" s="14"/>
      <c r="J35" s="14"/>
      <c r="K35" s="14"/>
      <c r="O35" s="16">
        <f>Value!O20</f>
        <v>1738.3330093950005</v>
      </c>
      <c r="P35" s="16" t="s">
        <v>78</v>
      </c>
    </row>
    <row r="36" spans="2:15" s="16" customFormat="1" ht="11.25">
      <c r="B36" s="14"/>
      <c r="C36" s="14" t="s">
        <v>16</v>
      </c>
      <c r="D36" s="14"/>
      <c r="E36" s="14"/>
      <c r="F36" s="21">
        <f>F34*F35</f>
        <v>89.22812999999998</v>
      </c>
      <c r="G36" s="20"/>
      <c r="H36" s="14"/>
      <c r="I36" s="14"/>
      <c r="J36" s="14"/>
      <c r="K36" s="14"/>
      <c r="O36" s="142">
        <f>+O35/O34</f>
        <v>0.5000000000000001</v>
      </c>
    </row>
    <row r="37" spans="2:11" s="16" customFormat="1" ht="12" thickBot="1">
      <c r="B37" s="14"/>
      <c r="C37" s="14"/>
      <c r="D37" s="14"/>
      <c r="E37" s="14"/>
      <c r="F37" s="35"/>
      <c r="G37" s="20"/>
      <c r="H37" s="14"/>
      <c r="I37" s="14"/>
      <c r="J37" s="14"/>
      <c r="K37" s="14"/>
    </row>
    <row r="38" spans="2:16" s="16" customFormat="1" ht="12" thickBot="1">
      <c r="B38" s="14" t="s">
        <v>67</v>
      </c>
      <c r="C38" s="14"/>
      <c r="D38" s="14"/>
      <c r="E38" s="14"/>
      <c r="F38" s="34">
        <v>0.059</v>
      </c>
      <c r="G38" s="14"/>
      <c r="H38" s="14"/>
      <c r="I38" s="14"/>
      <c r="J38" s="14"/>
      <c r="K38" s="14"/>
      <c r="L38" s="14"/>
      <c r="M38" s="14"/>
      <c r="N38" s="14"/>
      <c r="O38" s="168"/>
      <c r="P38" s="169"/>
    </row>
    <row r="39" spans="2:14" s="16" customFormat="1" ht="11.25">
      <c r="B39" s="14"/>
      <c r="C39" s="14" t="str">
        <f>"Yards from "&amp;TEXT($A$14,"mm/yy")&amp;" - "&amp;TEXT($A$22,"mm/yy")</f>
        <v>Yards from 08/21 - 04/22</v>
      </c>
      <c r="D39" s="14"/>
      <c r="E39" s="14"/>
      <c r="F39" s="14">
        <f>B24</f>
        <v>4029.249999999999</v>
      </c>
      <c r="G39" s="20" t="s">
        <v>9</v>
      </c>
      <c r="H39" s="14"/>
      <c r="I39" s="14"/>
      <c r="J39" s="14"/>
      <c r="K39" s="14"/>
      <c r="L39" s="14"/>
      <c r="M39" s="14"/>
      <c r="N39" s="14"/>
    </row>
    <row r="40" spans="2:11" s="16" customFormat="1" ht="11.25">
      <c r="B40" s="14"/>
      <c r="C40" s="14" t="s">
        <v>16</v>
      </c>
      <c r="D40" s="14"/>
      <c r="E40" s="14"/>
      <c r="F40" s="21">
        <f>F38*F39</f>
        <v>237.72574999999992</v>
      </c>
      <c r="G40" s="20"/>
      <c r="H40" s="14"/>
      <c r="I40" s="14"/>
      <c r="J40" s="14"/>
      <c r="K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326.9538799999999</v>
      </c>
      <c r="G42" s="37">
        <f>+F42</f>
        <v>326.9538799999999</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tr">
        <f>IF(G45&lt;=0,"Excess","Deficient")&amp;" Commodity Credits"</f>
        <v>Deficient Commodity Credits</v>
      </c>
      <c r="G45" s="38">
        <f>+G32-G42</f>
        <v>1411.3791293950007</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2023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82</v>
      </c>
      <c r="C50" s="14"/>
      <c r="D50" s="14"/>
      <c r="E50" s="14"/>
      <c r="F50" s="14"/>
      <c r="G50" s="14"/>
      <c r="H50" s="14"/>
      <c r="I50" s="14"/>
      <c r="J50" s="14"/>
      <c r="K50" s="14"/>
    </row>
    <row r="51" spans="2:11" s="16" customFormat="1" ht="11.25">
      <c r="B51" s="14"/>
      <c r="C51" s="14"/>
      <c r="D51" s="14"/>
      <c r="E51" s="14"/>
      <c r="F51" s="32" t="s">
        <v>89</v>
      </c>
      <c r="G51" s="14">
        <f>+J26</f>
        <v>5158.719999999999</v>
      </c>
      <c r="H51" s="20" t="s">
        <v>12</v>
      </c>
      <c r="I51" s="14"/>
      <c r="J51" s="14"/>
      <c r="K51" s="14"/>
    </row>
    <row r="52" spans="2:11" s="16" customFormat="1" ht="11.25">
      <c r="B52" s="14"/>
      <c r="C52" s="14"/>
      <c r="D52" s="14"/>
      <c r="E52" s="14"/>
      <c r="F52" s="32" t="str">
        <f>F45</f>
        <v>Deficient Commodity Credits</v>
      </c>
      <c r="G52" s="14">
        <f>+G45</f>
        <v>1411.3791293950007</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107</v>
      </c>
      <c r="G54" s="156">
        <f>ROUND(G52/G51,2)</f>
        <v>0.27</v>
      </c>
      <c r="H54" s="14"/>
      <c r="I54" s="23">
        <f>+G54</f>
        <v>0.27</v>
      </c>
      <c r="J54" s="14"/>
      <c r="K54" s="14"/>
    </row>
    <row r="55" spans="2:25" s="16" customFormat="1" ht="12" thickTop="1">
      <c r="B55" s="14"/>
      <c r="C55" s="14"/>
      <c r="D55" s="14"/>
      <c r="E55" s="14"/>
      <c r="F55" s="32"/>
      <c r="G55" s="14"/>
      <c r="H55" s="14"/>
      <c r="I55" s="23"/>
      <c r="J55" s="14"/>
      <c r="K55" s="14"/>
      <c r="O55" s="150" t="s">
        <v>79</v>
      </c>
      <c r="Y55" s="14"/>
    </row>
    <row r="56" spans="2:15" s="16" customFormat="1" ht="11.25">
      <c r="B56" s="14" t="s">
        <v>83</v>
      </c>
      <c r="C56" s="14"/>
      <c r="D56" s="14"/>
      <c r="E56" s="14"/>
      <c r="F56" s="32"/>
      <c r="G56" s="14"/>
      <c r="H56" s="14"/>
      <c r="I56" s="23"/>
      <c r="J56" s="14"/>
      <c r="K56" s="14"/>
      <c r="O56" s="151">
        <f>+'[1]WUTC_AW of Kent_MF'!$O$56</f>
        <v>0.5</v>
      </c>
    </row>
    <row r="57" spans="2:11" s="16" customFormat="1" ht="12" thickBot="1">
      <c r="B57" s="31"/>
      <c r="C57" s="14"/>
      <c r="D57" s="14"/>
      <c r="E57" s="14"/>
      <c r="F57" s="32" t="s">
        <v>90</v>
      </c>
      <c r="G57" s="157">
        <f>F26</f>
        <v>0.337</v>
      </c>
      <c r="H57" s="14"/>
      <c r="I57" s="23">
        <f>+G57</f>
        <v>0.337</v>
      </c>
      <c r="J57" s="20" t="s">
        <v>11</v>
      </c>
      <c r="K57" s="14"/>
    </row>
    <row r="58" spans="2:25" s="14" customFormat="1" ht="12" thickTop="1">
      <c r="B58" s="31"/>
      <c r="I58" s="23"/>
      <c r="X58" s="16"/>
      <c r="Y58" s="16"/>
    </row>
    <row r="59" spans="2:10" s="16" customFormat="1" ht="12" thickBot="1">
      <c r="B59" s="14"/>
      <c r="C59" s="14"/>
      <c r="D59" s="14"/>
      <c r="E59" s="14"/>
      <c r="F59" s="14"/>
      <c r="G59" s="32" t="s">
        <v>108</v>
      </c>
      <c r="H59" s="27"/>
      <c r="I59" s="28">
        <f>+I54+I57</f>
        <v>0.607</v>
      </c>
      <c r="J59" s="14"/>
    </row>
    <row r="60" s="16" customFormat="1" ht="12" thickTop="1">
      <c r="I60" s="23"/>
    </row>
    <row r="61" spans="7:9" s="16" customFormat="1" ht="11.25">
      <c r="G61" s="125" t="s">
        <v>69</v>
      </c>
      <c r="I61" s="16">
        <f>+I59*3.5</f>
        <v>2.1245</v>
      </c>
    </row>
    <row r="62" spans="1:7" s="16" customFormat="1" ht="11.25">
      <c r="A62" s="107"/>
      <c r="B62" s="107"/>
      <c r="C62" s="107"/>
      <c r="D62" s="107"/>
      <c r="E62" s="107"/>
      <c r="F62" s="107"/>
      <c r="G62" s="125"/>
    </row>
    <row r="63" spans="1:7" s="16" customFormat="1" ht="11.25">
      <c r="A63" s="108"/>
      <c r="B63" s="109"/>
      <c r="C63" s="110"/>
      <c r="D63" s="110"/>
      <c r="E63" s="110"/>
      <c r="F63" s="111"/>
      <c r="G63" s="125"/>
    </row>
    <row r="64" spans="1:10" s="16" customFormat="1" ht="11.25">
      <c r="A64" s="113"/>
      <c r="B64" s="125" t="s">
        <v>105</v>
      </c>
      <c r="C64" s="35"/>
      <c r="D64" s="107"/>
      <c r="E64" s="35"/>
      <c r="F64" s="107"/>
      <c r="G64" s="125" t="s">
        <v>104</v>
      </c>
      <c r="I64" s="77">
        <v>0</v>
      </c>
      <c r="J64" s="16" t="s">
        <v>109</v>
      </c>
    </row>
    <row r="65" spans="1:6" s="16" customFormat="1" ht="11.25">
      <c r="A65" s="113"/>
      <c r="B65" s="114"/>
      <c r="C65" s="35"/>
      <c r="D65" s="107"/>
      <c r="E65" s="35"/>
      <c r="F65" s="107"/>
    </row>
    <row r="66" spans="1:25" s="16" customFormat="1" ht="12" thickBot="1">
      <c r="A66" s="113"/>
      <c r="B66" s="114"/>
      <c r="C66" s="35"/>
      <c r="D66" s="107"/>
      <c r="E66" s="35"/>
      <c r="F66" s="107"/>
      <c r="G66" s="32" t="str">
        <f>G59</f>
        <v>8/1/22 - 7/31/23 Adjusted Credit</v>
      </c>
      <c r="H66" s="27"/>
      <c r="I66" s="174">
        <f>+I59+I64</f>
        <v>0.607</v>
      </c>
      <c r="Y66" s="14"/>
    </row>
    <row r="67" spans="1:6" s="16" customFormat="1" ht="12" thickTop="1">
      <c r="A67" s="113"/>
      <c r="B67" s="114"/>
      <c r="C67" s="35"/>
      <c r="D67" s="107"/>
      <c r="E67" s="35"/>
      <c r="F67" s="107"/>
    </row>
    <row r="68" spans="1:9" s="16" customFormat="1" ht="11.25">
      <c r="A68" s="113"/>
      <c r="B68" s="114"/>
      <c r="C68" s="35"/>
      <c r="D68" s="107"/>
      <c r="E68" s="35"/>
      <c r="F68" s="107"/>
      <c r="G68" s="125" t="s">
        <v>72</v>
      </c>
      <c r="I68" s="143">
        <f>+I66*3.5</f>
        <v>2.1245</v>
      </c>
    </row>
    <row r="69" spans="1:7" s="16" customFormat="1" ht="11.25">
      <c r="A69" s="113"/>
      <c r="B69" s="114"/>
      <c r="C69" s="35"/>
      <c r="D69" s="107"/>
      <c r="E69" s="35"/>
      <c r="F69" s="107"/>
      <c r="G69" s="125"/>
    </row>
    <row r="70" spans="1:27" s="16" customFormat="1" ht="11.25">
      <c r="A70" s="113"/>
      <c r="B70" s="114"/>
      <c r="C70" s="35"/>
      <c r="D70" s="107"/>
      <c r="E70" s="35"/>
      <c r="F70" s="107"/>
      <c r="J70" s="14"/>
      <c r="K70" s="13"/>
      <c r="L70" s="14"/>
      <c r="M70" s="14"/>
      <c r="N70" s="14"/>
      <c r="O70" s="14"/>
      <c r="P70" s="14"/>
      <c r="Q70" s="14"/>
      <c r="R70" s="14"/>
      <c r="S70" s="14"/>
      <c r="T70" s="14"/>
      <c r="U70" s="14"/>
      <c r="V70" s="13"/>
      <c r="W70" s="14"/>
      <c r="AA70" s="14"/>
    </row>
    <row r="71" spans="1:6" s="16" customFormat="1" ht="11.25">
      <c r="A71" s="113"/>
      <c r="B71" s="114"/>
      <c r="C71" s="35"/>
      <c r="D71" s="107"/>
      <c r="E71" s="35"/>
      <c r="F71" s="107"/>
    </row>
    <row r="72" spans="1:6" s="16" customFormat="1" ht="11.25">
      <c r="A72" s="113"/>
      <c r="B72" s="114"/>
      <c r="C72" s="35"/>
      <c r="D72" s="107"/>
      <c r="E72" s="35"/>
      <c r="F72" s="107"/>
    </row>
    <row r="73" spans="1:6" s="16" customFormat="1" ht="11.25">
      <c r="A73" s="113"/>
      <c r="B73" s="35"/>
      <c r="C73" s="35"/>
      <c r="D73" s="107"/>
      <c r="E73" s="35"/>
      <c r="F73" s="107"/>
    </row>
    <row r="74" spans="1:6" s="16" customFormat="1" ht="11.25">
      <c r="A74" s="113"/>
      <c r="B74" s="35"/>
      <c r="C74" s="115"/>
      <c r="D74" s="107"/>
      <c r="E74" s="35"/>
      <c r="F74" s="107"/>
    </row>
    <row r="75" spans="1:25" s="16" customFormat="1" ht="12.75">
      <c r="A75" s="116"/>
      <c r="B75" s="116"/>
      <c r="C75" s="116"/>
      <c r="D75" s="117"/>
      <c r="E75" s="116"/>
      <c r="F75" s="116"/>
      <c r="Y75" s="14"/>
    </row>
    <row r="76" spans="1:6" s="16" customFormat="1" ht="11.25">
      <c r="A76" s="118"/>
      <c r="B76" s="35"/>
      <c r="C76" s="115"/>
      <c r="D76" s="107"/>
      <c r="E76" s="115"/>
      <c r="F76" s="119"/>
    </row>
    <row r="77" s="16" customFormat="1" ht="11.25"/>
    <row r="78" s="16" customFormat="1" ht="11.25"/>
    <row r="79" s="16" customFormat="1" ht="11.25">
      <c r="B79" s="8"/>
    </row>
    <row r="80" spans="2:25" s="14" customFormat="1" ht="11.25">
      <c r="B80" s="31"/>
      <c r="X80" s="16"/>
      <c r="Y80" s="16"/>
    </row>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c r="A89" s="6"/>
    </row>
    <row r="90" s="16" customFormat="1" ht="12.75">
      <c r="AA90" s="5"/>
    </row>
    <row r="91" s="16" customFormat="1" ht="12.75">
      <c r="AA91" s="5"/>
    </row>
    <row r="92" s="16" customFormat="1" ht="12.75">
      <c r="AA92" s="5"/>
    </row>
    <row r="93" s="16" customFormat="1" ht="12.75">
      <c r="AA93" s="5"/>
    </row>
    <row r="94" spans="7:27" s="16" customFormat="1" ht="12.75">
      <c r="G94" s="56"/>
      <c r="I94" s="56"/>
      <c r="J94" s="56"/>
      <c r="L94" s="56"/>
      <c r="M94" s="56"/>
      <c r="N94" s="56"/>
      <c r="O94" s="56"/>
      <c r="P94" s="56"/>
      <c r="Q94" s="56"/>
      <c r="R94" s="56"/>
      <c r="S94" s="56"/>
      <c r="T94" s="56"/>
      <c r="U94" s="56"/>
      <c r="V94" s="56"/>
      <c r="W94" s="56"/>
      <c r="X94" s="56"/>
      <c r="Y94" s="56"/>
      <c r="AA94" s="5"/>
    </row>
    <row r="95" s="16" customFormat="1" ht="12.75">
      <c r="AA95" s="5"/>
    </row>
    <row r="96" spans="7:27" s="16" customFormat="1" ht="13.5" thickBot="1">
      <c r="G96" s="57"/>
      <c r="I96" s="57"/>
      <c r="J96" s="57"/>
      <c r="L96" s="57"/>
      <c r="M96" s="57"/>
      <c r="N96" s="57"/>
      <c r="O96" s="57"/>
      <c r="P96" s="57"/>
      <c r="Q96" s="57"/>
      <c r="R96" s="57"/>
      <c r="S96" s="57"/>
      <c r="T96" s="57"/>
      <c r="U96" s="57"/>
      <c r="V96" s="57"/>
      <c r="W96" s="57"/>
      <c r="X96" s="57"/>
      <c r="Y96" s="57"/>
      <c r="AA96" s="5"/>
    </row>
    <row r="97" ht="13.5" thickTop="1"/>
    <row r="98" spans="23:25" ht="12.75">
      <c r="W98" s="58"/>
      <c r="X98" s="58"/>
      <c r="Y98" s="58"/>
    </row>
    <row r="99" spans="23:27" ht="12.75">
      <c r="W99" s="58"/>
      <c r="AA99" s="58"/>
    </row>
  </sheetData>
  <sheetProtection/>
  <printOptions horizontalCentered="1"/>
  <pageMargins left="0.25" right="0.25" top="0.25" bottom="0.25" header="0" footer="0"/>
  <pageSetup fitToHeight="1" fitToWidth="1" horizontalDpi="1200" verticalDpi="1200" orientation="portrait" scale="96"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A1">
      <selection activeCell="A1" sqref="A1"/>
    </sheetView>
  </sheetViews>
  <sheetFormatPr defaultColWidth="9.140625" defaultRowHeight="12.75"/>
  <cols>
    <col min="2" max="2" width="6.57421875" style="0" customWidth="1"/>
    <col min="3" max="4" width="10.7109375" style="0" customWidth="1"/>
    <col min="5" max="5" width="10.28125" style="0" bestFit="1" customWidth="1"/>
    <col min="6"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"&amp;TEXT(A18,"mmmm")</f>
        <v>Commodity Value Timeframe:  May - April</v>
      </c>
      <c r="B1" s="60"/>
    </row>
    <row r="2" spans="1:2" ht="13.5" customHeight="1">
      <c r="A2" s="61" t="str">
        <f>WUTC_KENT_MF!A1</f>
        <v>Kent-Meridian Disposal</v>
      </c>
      <c r="B2" s="61"/>
    </row>
    <row r="3" spans="1:2" ht="13.5" customHeight="1">
      <c r="A3" s="61"/>
      <c r="B3" s="61"/>
    </row>
    <row r="4" spans="2:15" ht="12.75">
      <c r="B4" s="71"/>
      <c r="C4" s="63" t="s">
        <v>21</v>
      </c>
      <c r="D4" s="63" t="s">
        <v>22</v>
      </c>
      <c r="E4" s="63" t="s">
        <v>85</v>
      </c>
      <c r="F4" s="63" t="s">
        <v>50</v>
      </c>
      <c r="G4" s="63" t="s">
        <v>53</v>
      </c>
      <c r="H4" s="63" t="s">
        <v>24</v>
      </c>
      <c r="I4" s="63" t="s">
        <v>25</v>
      </c>
      <c r="J4" s="63" t="s">
        <v>26</v>
      </c>
      <c r="K4" s="63" t="s">
        <v>27</v>
      </c>
      <c r="L4" s="63" t="s">
        <v>28</v>
      </c>
      <c r="M4" s="63" t="s">
        <v>29</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29</v>
      </c>
      <c r="P6" s="63" t="s">
        <v>80</v>
      </c>
      <c r="Q6" s="149"/>
    </row>
    <row r="7" spans="1:18" ht="12.75">
      <c r="A7" s="66">
        <f>+Pricing!A7</f>
        <v>44347</v>
      </c>
      <c r="B7" s="71"/>
      <c r="C7" s="76">
        <f>'Commodity Tonnages'!C7*Pricing!C7</f>
        <v>105.50265497599999</v>
      </c>
      <c r="D7" s="76">
        <f>'Commodity Tonnages'!D7*Pricing!D7</f>
        <v>-16.6818688</v>
      </c>
      <c r="E7" s="76">
        <f>'Commodity Tonnages'!E7*Pricing!E7</f>
        <v>0</v>
      </c>
      <c r="F7" s="76">
        <f>'Commodity Tonnages'!F7*Pricing!F7</f>
        <v>13.509722112</v>
      </c>
      <c r="G7" s="76">
        <f>'Commodity Tonnages'!G7*Pricing!G7</f>
        <v>1.62266496</v>
      </c>
      <c r="H7" s="76">
        <f>'Commodity Tonnages'!H7*Pricing!H7</f>
        <v>81.92670464</v>
      </c>
      <c r="I7" s="76">
        <f>'Commodity Tonnages'!I7*Pricing!I7</f>
        <v>29.15137152</v>
      </c>
      <c r="J7" s="76">
        <f>'Commodity Tonnages'!J7*Pricing!J7</f>
        <v>29.15137152</v>
      </c>
      <c r="K7" s="76">
        <f>'Commodity Tonnages'!K7*Pricing!K7</f>
        <v>175.48314572799995</v>
      </c>
      <c r="L7" s="76">
        <f>'Commodity Tonnages'!L7*Pricing!L7</f>
        <v>-203.01476159999996</v>
      </c>
      <c r="M7" s="145">
        <f>SUM(C7:L7)</f>
        <v>216.651005056</v>
      </c>
      <c r="N7"/>
      <c r="O7" s="148">
        <f>M7*P7</f>
        <v>108.325502528</v>
      </c>
      <c r="P7" s="155">
        <v>0.5</v>
      </c>
      <c r="Q7" s="152"/>
      <c r="R7" s="75"/>
    </row>
    <row r="8" spans="1:18" ht="12.75">
      <c r="A8" s="66">
        <f>+Pricing!A8</f>
        <v>44377</v>
      </c>
      <c r="B8" s="71"/>
      <c r="C8" s="76">
        <f>'Commodity Tonnages'!C8*Pricing!C8</f>
        <v>112.52071907999999</v>
      </c>
      <c r="D8" s="76">
        <f>'Commodity Tonnages'!D8*Pricing!D8</f>
        <v>-6.9886152</v>
      </c>
      <c r="E8" s="76">
        <f>'Commodity Tonnages'!E8*Pricing!E8</f>
        <v>0</v>
      </c>
      <c r="F8" s="76">
        <f>'Commodity Tonnages'!F8*Pricing!F8</f>
        <v>16.722354096</v>
      </c>
      <c r="G8" s="76">
        <f>'Commodity Tonnages'!G8*Pricing!G8</f>
        <v>1.9729422720000003</v>
      </c>
      <c r="H8" s="76">
        <f>'Commodity Tonnages'!H8*Pricing!H8</f>
        <v>117.335066184</v>
      </c>
      <c r="I8" s="76">
        <f>'Commodity Tonnages'!I8*Pricing!I8</f>
        <v>45.154460232</v>
      </c>
      <c r="J8" s="76">
        <f>'Commodity Tonnages'!J8*Pricing!J8</f>
        <v>45.154460232</v>
      </c>
      <c r="K8" s="76">
        <f>'Commodity Tonnages'!K8*Pricing!K8</f>
        <v>214.32457569599998</v>
      </c>
      <c r="L8" s="76">
        <f>'Commodity Tonnages'!L8*Pricing!L8</f>
        <v>-222.09517574999998</v>
      </c>
      <c r="M8" s="145">
        <f aca="true" t="shared" si="0" ref="M8:M18">SUM(C8:L8)</f>
        <v>324.10078684200005</v>
      </c>
      <c r="N8"/>
      <c r="O8" s="148">
        <f aca="true" t="shared" si="1" ref="O8:O18">M8*P8</f>
        <v>162.05039342100002</v>
      </c>
      <c r="P8" s="155">
        <v>0.5</v>
      </c>
      <c r="Q8" s="152"/>
      <c r="R8" s="75"/>
    </row>
    <row r="9" spans="1:18" ht="12.75">
      <c r="A9" s="66">
        <f>+Pricing!A9</f>
        <v>44408</v>
      </c>
      <c r="B9" s="67"/>
      <c r="C9" s="76">
        <f>'Commodity Tonnages'!C9*Pricing!C9</f>
        <v>115.68660787200001</v>
      </c>
      <c r="D9" s="76">
        <f>'Commodity Tonnages'!D9*Pricing!D9</f>
        <v>-40.221304200000006</v>
      </c>
      <c r="E9" s="76">
        <f>'Commodity Tonnages'!E9*Pricing!E9</f>
        <v>0</v>
      </c>
      <c r="F9" s="76">
        <f>'Commodity Tonnages'!F9*Pricing!F9</f>
        <v>15.036976959999999</v>
      </c>
      <c r="G9" s="76">
        <f>'Commodity Tonnages'!G9*Pricing!G9</f>
        <v>1.641937752</v>
      </c>
      <c r="H9" s="76">
        <f>'Commodity Tonnages'!H9*Pricing!H9</f>
        <v>91.08605488000002</v>
      </c>
      <c r="I9" s="76">
        <f>'Commodity Tonnages'!I9*Pricing!I9</f>
        <v>43.076732228</v>
      </c>
      <c r="J9" s="76">
        <f>'Commodity Tonnages'!J9*Pricing!J9</f>
        <v>43.076732228</v>
      </c>
      <c r="K9" s="76">
        <f>'Commodity Tonnages'!K9*Pricing!K9</f>
        <v>187.32183631200002</v>
      </c>
      <c r="L9" s="76">
        <f>'Commodity Tonnages'!L9*Pricing!L9</f>
        <v>-128.8754978</v>
      </c>
      <c r="M9" s="145">
        <f t="shared" si="0"/>
        <v>327.830076232</v>
      </c>
      <c r="N9" s="72"/>
      <c r="O9" s="148">
        <f t="shared" si="1"/>
        <v>163.915038116</v>
      </c>
      <c r="P9" s="155">
        <v>0.5</v>
      </c>
      <c r="Q9" s="152"/>
      <c r="R9" s="75"/>
    </row>
    <row r="10" spans="1:18" ht="12.75">
      <c r="A10" s="66">
        <f>+Pricing!A10</f>
        <v>44439</v>
      </c>
      <c r="B10" s="67"/>
      <c r="C10" s="76">
        <f>'Commodity Tonnages'!C10*Pricing!C10</f>
        <v>143.666361344</v>
      </c>
      <c r="D10" s="76">
        <f>'Commodity Tonnages'!D10*Pricing!D10</f>
        <v>-55.52826576</v>
      </c>
      <c r="E10" s="76">
        <f>'Commodity Tonnages'!E10*Pricing!E10</f>
        <v>0</v>
      </c>
      <c r="F10" s="76">
        <f>'Commodity Tonnages'!F10*Pricing!F10</f>
        <v>16.502258175999998</v>
      </c>
      <c r="G10" s="76">
        <f>'Commodity Tonnages'!G10*Pricing!G10</f>
        <v>1.8428968319999997</v>
      </c>
      <c r="H10" s="76">
        <f>'Commodity Tonnages'!H10*Pricing!H10</f>
        <v>126.14809491199998</v>
      </c>
      <c r="I10" s="76">
        <f>'Commodity Tonnages'!I10*Pricing!I10</f>
        <v>62.72081507199999</v>
      </c>
      <c r="J10" s="76">
        <f>'Commodity Tonnages'!J10*Pricing!J10</f>
        <v>62.72081507199999</v>
      </c>
      <c r="K10" s="76">
        <f>'Commodity Tonnages'!K10*Pricing!K10</f>
        <v>233.82899308800003</v>
      </c>
      <c r="L10" s="76">
        <f>'Commodity Tonnages'!L10*Pricing!L10</f>
        <v>-153.65038639999997</v>
      </c>
      <c r="M10" s="145">
        <f t="shared" si="0"/>
        <v>438.25158233599996</v>
      </c>
      <c r="N10" s="72"/>
      <c r="O10" s="148">
        <f t="shared" si="1"/>
        <v>219.12579116799998</v>
      </c>
      <c r="P10" s="155">
        <v>0.5</v>
      </c>
      <c r="Q10" s="152"/>
      <c r="R10" s="75"/>
    </row>
    <row r="11" spans="1:18" ht="12.75">
      <c r="A11" s="66">
        <f>+Pricing!A11</f>
        <v>44469</v>
      </c>
      <c r="B11" s="67"/>
      <c r="C11" s="76">
        <f>'Commodity Tonnages'!C11*Pricing!C11</f>
        <v>145.37267712000002</v>
      </c>
      <c r="D11" s="76">
        <f>'Commodity Tonnages'!D11*Pricing!D11</f>
        <v>-47.657922600000006</v>
      </c>
      <c r="E11" s="76">
        <f>'Commodity Tonnages'!E11*Pricing!E11</f>
        <v>0</v>
      </c>
      <c r="F11" s="76">
        <f>'Commodity Tonnages'!F11*Pricing!F11</f>
        <v>13.8358304</v>
      </c>
      <c r="G11" s="76">
        <f>'Commodity Tonnages'!G11*Pricing!G11</f>
        <v>1.53011544</v>
      </c>
      <c r="H11" s="76">
        <f>'Commodity Tonnages'!H11*Pricing!H11</f>
        <v>109.77323824000003</v>
      </c>
      <c r="I11" s="76">
        <f>'Commodity Tonnages'!I11*Pricing!I11</f>
        <v>51.28156572000001</v>
      </c>
      <c r="J11" s="76">
        <f>'Commodity Tonnages'!J11*Pricing!J11</f>
        <v>51.28156572000001</v>
      </c>
      <c r="K11" s="76">
        <f>'Commodity Tonnages'!K11*Pricing!K11</f>
        <v>228.59125200000005</v>
      </c>
      <c r="L11" s="76">
        <f>'Commodity Tonnages'!L11*Pricing!L11</f>
        <v>-142.6491675</v>
      </c>
      <c r="M11" s="145">
        <f t="shared" si="0"/>
        <v>411.3591545400002</v>
      </c>
      <c r="N11" s="72"/>
      <c r="O11" s="148">
        <f t="shared" si="1"/>
        <v>205.6795772700001</v>
      </c>
      <c r="P11" s="155">
        <v>0.5</v>
      </c>
      <c r="Q11" s="152"/>
      <c r="R11" s="75"/>
    </row>
    <row r="12" spans="1:18" ht="12.75">
      <c r="A12" s="66">
        <f>+Pricing!A12</f>
        <v>44500</v>
      </c>
      <c r="B12" s="67"/>
      <c r="C12" s="76">
        <f>'Commodity Tonnages'!C12*Pricing!C12</f>
        <v>180.52648908800006</v>
      </c>
      <c r="D12" s="76">
        <f>'Commodity Tonnages'!D12*Pricing!D12</f>
        <v>-56.01713352</v>
      </c>
      <c r="E12" s="76">
        <f>'Commodity Tonnages'!E12*Pricing!E12</f>
        <v>0</v>
      </c>
      <c r="F12" s="76">
        <f>'Commodity Tonnages'!F12*Pricing!F12</f>
        <v>16.906398208000002</v>
      </c>
      <c r="G12" s="76">
        <f>'Commodity Tonnages'!G12*Pricing!G12</f>
        <v>2.0359946879999997</v>
      </c>
      <c r="H12" s="76">
        <f>'Commodity Tonnages'!H12*Pricing!H12</f>
        <v>151.453097152</v>
      </c>
      <c r="I12" s="76">
        <f>'Commodity Tonnages'!I12*Pricing!I12</f>
        <v>42.83539308800002</v>
      </c>
      <c r="J12" s="76">
        <f>'Commodity Tonnages'!J12*Pricing!J12</f>
        <v>42.83539308800002</v>
      </c>
      <c r="K12" s="76">
        <f>'Commodity Tonnages'!K12*Pricing!K12</f>
        <v>273.96135014400005</v>
      </c>
      <c r="L12" s="76">
        <f>'Commodity Tonnages'!L12*Pricing!L12</f>
        <v>-173.113227</v>
      </c>
      <c r="M12" s="145">
        <f t="shared" si="0"/>
        <v>481.4237549360001</v>
      </c>
      <c r="N12" s="72"/>
      <c r="O12" s="148">
        <f t="shared" si="1"/>
        <v>240.71187746800004</v>
      </c>
      <c r="P12" s="155">
        <v>0.5</v>
      </c>
      <c r="Q12" s="152"/>
      <c r="R12" s="75"/>
    </row>
    <row r="13" spans="1:18" ht="12.75">
      <c r="A13" s="66">
        <f>+Pricing!A13</f>
        <v>44530</v>
      </c>
      <c r="B13" s="67"/>
      <c r="C13" s="76">
        <f>'Commodity Tonnages'!C13*Pricing!C13</f>
        <v>151.62464064000002</v>
      </c>
      <c r="D13" s="76">
        <f>'Commodity Tonnages'!D13*Pricing!D13</f>
        <v>-68.72127864000001</v>
      </c>
      <c r="E13" s="76">
        <f>'Commodity Tonnages'!E13*Pricing!E13</f>
        <v>0</v>
      </c>
      <c r="F13" s="76">
        <f>'Commodity Tonnages'!F13*Pricing!F13</f>
        <v>17.411254656000004</v>
      </c>
      <c r="G13" s="76">
        <f>'Commodity Tonnages'!G13*Pricing!G13</f>
        <v>2.1831831839999998</v>
      </c>
      <c r="H13" s="76">
        <f>'Commodity Tonnages'!H13*Pricing!H13</f>
        <v>81.76139838400005</v>
      </c>
      <c r="I13" s="76">
        <f>'Commodity Tonnages'!I13*Pricing!I13</f>
        <v>44.66733381600001</v>
      </c>
      <c r="J13" s="76">
        <f>'Commodity Tonnages'!J13*Pricing!J13</f>
        <v>44.66733381600001</v>
      </c>
      <c r="K13" s="76">
        <f>'Commodity Tonnages'!K13*Pricing!K13</f>
        <v>232.76851257600006</v>
      </c>
      <c r="L13" s="76">
        <f>'Commodity Tonnages'!L13*Pricing!L13</f>
        <v>-171.3684805</v>
      </c>
      <c r="M13" s="145">
        <f t="shared" si="0"/>
        <v>334.9938979320001</v>
      </c>
      <c r="N13" s="72"/>
      <c r="O13" s="148">
        <f t="shared" si="1"/>
        <v>167.49694896600005</v>
      </c>
      <c r="P13" s="155">
        <v>0.5</v>
      </c>
      <c r="Q13" s="152"/>
      <c r="R13" s="75"/>
    </row>
    <row r="14" spans="1:18" ht="12.75">
      <c r="A14" s="66">
        <f>+Pricing!A14</f>
        <v>44561</v>
      </c>
      <c r="B14" s="67"/>
      <c r="C14" s="76">
        <f>'Commodity Tonnages'!C14*Pricing!C14</f>
        <v>140.77636249600002</v>
      </c>
      <c r="D14" s="76">
        <f>'Commodity Tonnages'!D14*Pricing!D14</f>
        <v>-53.83771506000001</v>
      </c>
      <c r="E14" s="76">
        <f>'Commodity Tonnages'!E14*Pricing!E14</f>
        <v>0</v>
      </c>
      <c r="F14" s="76">
        <f>'Commodity Tonnages'!F14*Pricing!F14</f>
        <v>16.202222336000002</v>
      </c>
      <c r="G14" s="76">
        <f>'Commodity Tonnages'!G14*Pricing!G14</f>
        <v>2.025070824</v>
      </c>
      <c r="H14" s="76">
        <f>'Commodity Tonnages'!H14*Pricing!H14</f>
        <v>-18.87817597</v>
      </c>
      <c r="I14" s="76">
        <f>'Commodity Tonnages'!I14*Pricing!I14</f>
        <v>33.780282119999995</v>
      </c>
      <c r="J14" s="76">
        <f>'Commodity Tonnages'!J14*Pricing!J14</f>
        <v>33.780282119999995</v>
      </c>
      <c r="K14" s="76">
        <f>'Commodity Tonnages'!K14*Pricing!K14</f>
        <v>190.34690472000003</v>
      </c>
      <c r="L14" s="76">
        <f>'Commodity Tonnages'!L14*Pricing!L14</f>
        <v>-155.46802005</v>
      </c>
      <c r="M14" s="145">
        <f t="shared" si="0"/>
        <v>188.72721353600002</v>
      </c>
      <c r="N14" s="72"/>
      <c r="O14" s="148">
        <f t="shared" si="1"/>
        <v>94.36360676800001</v>
      </c>
      <c r="P14" s="155">
        <v>0.5</v>
      </c>
      <c r="Q14" s="152"/>
      <c r="R14" s="75"/>
    </row>
    <row r="15" spans="1:18" ht="12.75">
      <c r="A15" s="66">
        <f>+Pricing!A15</f>
        <v>44592</v>
      </c>
      <c r="B15" s="67"/>
      <c r="C15" s="76">
        <f>'Commodity Tonnages'!C15*Pricing!C15</f>
        <v>184.20138329600005</v>
      </c>
      <c r="D15" s="76">
        <f>'Commodity Tonnages'!D15*Pricing!D15</f>
        <v>-94.14869799999998</v>
      </c>
      <c r="E15" s="76">
        <f>'Commodity Tonnages'!E15*Pricing!E15</f>
        <v>0</v>
      </c>
      <c r="F15" s="76">
        <f>'Commodity Tonnages'!F15*Pricing!F15</f>
        <v>11.298337680000003</v>
      </c>
      <c r="G15" s="76">
        <f>'Commodity Tonnages'!G15*Pricing!G15</f>
        <v>1.1335409120000002</v>
      </c>
      <c r="H15" s="76">
        <f>'Commodity Tonnages'!H15*Pricing!H15</f>
        <v>-7.720244000000001</v>
      </c>
      <c r="I15" s="76">
        <f>'Commodity Tonnages'!I15*Pricing!I15</f>
        <v>25.402206816000003</v>
      </c>
      <c r="J15" s="76">
        <f>'Commodity Tonnages'!J15*Pricing!J15</f>
        <v>25.402206816000003</v>
      </c>
      <c r="K15" s="76">
        <f>'Commodity Tonnages'!K15*Pricing!K15</f>
        <v>149.00924304000003</v>
      </c>
      <c r="L15" s="76">
        <f>'Commodity Tonnages'!L15*Pricing!L15</f>
        <v>-168.00941248</v>
      </c>
      <c r="M15" s="145">
        <f t="shared" si="0"/>
        <v>126.56856408000013</v>
      </c>
      <c r="N15" s="72"/>
      <c r="O15" s="148">
        <f t="shared" si="1"/>
        <v>63.284282040000065</v>
      </c>
      <c r="P15" s="155">
        <v>0.5</v>
      </c>
      <c r="Q15" s="152"/>
      <c r="R15" s="75"/>
    </row>
    <row r="16" spans="1:18" ht="12.75">
      <c r="A16" s="66">
        <f>+Pricing!A16</f>
        <v>44620</v>
      </c>
      <c r="B16" s="67"/>
      <c r="C16" s="76">
        <f>'Commodity Tonnages'!C16*Pricing!C16</f>
        <v>177.10037376000002</v>
      </c>
      <c r="D16" s="76">
        <f>'Commodity Tonnages'!D16*Pricing!D16</f>
        <v>-67.11310499999999</v>
      </c>
      <c r="E16" s="76">
        <f>'Commodity Tonnages'!E16*Pricing!E16</f>
        <v>0</v>
      </c>
      <c r="F16" s="76">
        <f>'Commodity Tonnages'!F16*Pricing!F16</f>
        <v>11.19156864</v>
      </c>
      <c r="G16" s="76">
        <f>'Commodity Tonnages'!G16*Pricing!G16</f>
        <v>1.18777968</v>
      </c>
      <c r="H16" s="76">
        <f>'Commodity Tonnages'!H16*Pricing!H16</f>
        <v>-44.692944000000004</v>
      </c>
      <c r="I16" s="76">
        <f>'Commodity Tonnages'!I16*Pricing!I16</f>
        <v>30.384077200000004</v>
      </c>
      <c r="J16" s="76">
        <f>'Commodity Tonnages'!J16*Pricing!J16</f>
        <v>30.384077200000004</v>
      </c>
      <c r="K16" s="76">
        <f>'Commodity Tonnages'!K16*Pricing!K16</f>
        <v>163.40562720000003</v>
      </c>
      <c r="L16" s="76">
        <f>'Commodity Tonnages'!L16*Pricing!L16</f>
        <v>-142.1254562</v>
      </c>
      <c r="M16" s="145">
        <f t="shared" si="0"/>
        <v>159.72199848000005</v>
      </c>
      <c r="N16" s="72"/>
      <c r="O16" s="148">
        <f t="shared" si="1"/>
        <v>79.86099924000003</v>
      </c>
      <c r="P16" s="155">
        <v>0.5</v>
      </c>
      <c r="Q16" s="152"/>
      <c r="R16" s="75"/>
    </row>
    <row r="17" spans="1:18" ht="12.75">
      <c r="A17" s="66">
        <f>+Pricing!A17</f>
        <v>44651</v>
      </c>
      <c r="B17" s="67"/>
      <c r="C17" s="76">
        <f>'Commodity Tonnages'!C17*Pricing!C17</f>
        <v>235.685362816</v>
      </c>
      <c r="D17" s="76">
        <f>'Commodity Tonnages'!D17*Pricing!D17</f>
        <v>-92.750282</v>
      </c>
      <c r="E17" s="76">
        <f>'Commodity Tonnages'!E17*Pricing!E17</f>
        <v>0</v>
      </c>
      <c r="F17" s="76">
        <f>'Commodity Tonnages'!F17*Pricing!F17</f>
        <v>14.077726655999998</v>
      </c>
      <c r="G17" s="76">
        <f>'Commodity Tonnages'!G17*Pricing!G17</f>
        <v>2.063615232</v>
      </c>
      <c r="H17" s="76">
        <f>'Commodity Tonnages'!H17*Pricing!H17</f>
        <v>-40.77125599999999</v>
      </c>
      <c r="I17" s="76">
        <f>'Commodity Tonnages'!I17*Pricing!I17</f>
        <v>46.96743884800001</v>
      </c>
      <c r="J17" s="76">
        <f>'Commodity Tonnages'!J17*Pricing!J17</f>
        <v>46.96743884800001</v>
      </c>
      <c r="K17" s="76">
        <f>'Commodity Tonnages'!K17*Pricing!K17</f>
        <v>194.17214016000005</v>
      </c>
      <c r="L17" s="76">
        <f>'Commodity Tonnages'!L17*Pricing!L17</f>
        <v>-174.80594664</v>
      </c>
      <c r="M17" s="145">
        <f t="shared" si="0"/>
        <v>231.60623792000007</v>
      </c>
      <c r="N17" s="72"/>
      <c r="O17" s="148">
        <f t="shared" si="1"/>
        <v>115.80311896000003</v>
      </c>
      <c r="P17" s="155">
        <v>0.5</v>
      </c>
      <c r="Q17" s="152"/>
      <c r="R17" s="75"/>
    </row>
    <row r="18" spans="1:18" ht="12.75">
      <c r="A18" s="66">
        <f>+Pricing!A18</f>
        <v>44681</v>
      </c>
      <c r="B18" s="67"/>
      <c r="C18" s="76">
        <f>'Commodity Tonnages'!C18*Pricing!C18</f>
        <v>183.04299632000001</v>
      </c>
      <c r="D18" s="76">
        <f>'Commodity Tonnages'!D18*Pricing!D18</f>
        <v>-55.8685865</v>
      </c>
      <c r="E18" s="76">
        <f>'Commodity Tonnages'!E18*Pricing!E18</f>
        <v>0</v>
      </c>
      <c r="F18" s="76">
        <f>'Commodity Tonnages'!F18*Pricing!F18</f>
        <v>13.158562704000001</v>
      </c>
      <c r="G18" s="76">
        <f>'Commodity Tonnages'!G18*Pricing!G18</f>
        <v>1.9946519200000001</v>
      </c>
      <c r="H18" s="76">
        <f>'Commodity Tonnages'!H18*Pricing!H18</f>
        <v>-14.819068600000001</v>
      </c>
      <c r="I18" s="76">
        <f>'Commodity Tonnages'!I18*Pricing!I18</f>
        <v>45.24466348800001</v>
      </c>
      <c r="J18" s="76">
        <f>'Commodity Tonnages'!J18*Pricing!J18</f>
        <v>45.24466348800001</v>
      </c>
      <c r="K18" s="76">
        <f>'Commodity Tonnages'!K18*Pricing!K18</f>
        <v>156.35319840000003</v>
      </c>
      <c r="L18" s="76">
        <f>'Commodity Tonnages'!L18*Pricing!L18</f>
        <v>-138.91933432000002</v>
      </c>
      <c r="M18" s="145">
        <f t="shared" si="0"/>
        <v>235.43174690000006</v>
      </c>
      <c r="N18" s="72"/>
      <c r="O18" s="148">
        <f t="shared" si="1"/>
        <v>117.71587345000003</v>
      </c>
      <c r="P18" s="155">
        <v>0.5</v>
      </c>
      <c r="Q18" s="152"/>
      <c r="R18" s="75"/>
    </row>
    <row r="19" spans="1:15" ht="6.75" customHeight="1">
      <c r="A19" s="67"/>
      <c r="B19" s="67"/>
      <c r="C19" s="76"/>
      <c r="D19" s="76"/>
      <c r="E19" s="76"/>
      <c r="F19" s="76"/>
      <c r="G19" s="76"/>
      <c r="H19" s="76"/>
      <c r="I19" s="76"/>
      <c r="J19" s="76"/>
      <c r="K19" s="76"/>
      <c r="L19" s="76"/>
      <c r="M19" s="145"/>
      <c r="N19"/>
      <c r="O19" s="72"/>
    </row>
    <row r="20" spans="1:17" ht="12.75">
      <c r="A20" s="70" t="s">
        <v>31</v>
      </c>
      <c r="B20" s="67"/>
      <c r="C20" s="126">
        <f aca="true" t="shared" si="2" ref="C20:L20">SUM(C7:C19)</f>
        <v>1875.7066288080002</v>
      </c>
      <c r="D20" s="126">
        <f t="shared" si="2"/>
        <v>-655.53477528</v>
      </c>
      <c r="E20" s="126">
        <f t="shared" si="2"/>
        <v>0</v>
      </c>
      <c r="F20" s="126">
        <f t="shared" si="2"/>
        <v>175.85321262400004</v>
      </c>
      <c r="G20" s="126">
        <f t="shared" si="2"/>
        <v>21.234393695999998</v>
      </c>
      <c r="H20" s="126">
        <f t="shared" si="2"/>
        <v>632.6019658219999</v>
      </c>
      <c r="I20" s="126">
        <f t="shared" si="2"/>
        <v>500.66634014799996</v>
      </c>
      <c r="J20" s="126">
        <f t="shared" si="2"/>
        <v>500.66634014799996</v>
      </c>
      <c r="K20" s="126">
        <f t="shared" si="2"/>
        <v>2399.5667790640005</v>
      </c>
      <c r="L20" s="126">
        <f t="shared" si="2"/>
        <v>-1974.0948662399999</v>
      </c>
      <c r="M20" s="146">
        <f>SUM(C20:L20)</f>
        <v>3476.6660187900006</v>
      </c>
      <c r="N20" s="68"/>
      <c r="O20" s="127">
        <f>SUM(O7:O19)</f>
        <v>1738.3330093950005</v>
      </c>
      <c r="P20" s="135">
        <f>+O20/M20</f>
        <v>0.5000000000000001</v>
      </c>
      <c r="Q20" s="73"/>
    </row>
    <row r="21" spans="1:15" ht="12.75">
      <c r="A21" s="67"/>
      <c r="B21" s="67"/>
      <c r="C21" s="72"/>
      <c r="D21" s="72"/>
      <c r="E21" s="72"/>
      <c r="F21" s="72"/>
      <c r="G21" s="72"/>
      <c r="H21" s="72"/>
      <c r="I21" s="72"/>
      <c r="J21" s="72"/>
      <c r="K21" s="72"/>
      <c r="L21" s="72"/>
      <c r="M21" s="145"/>
      <c r="N21"/>
      <c r="O21" s="73"/>
    </row>
    <row r="22" spans="1:15" ht="12.75">
      <c r="A22" s="67"/>
      <c r="B22" s="67"/>
      <c r="C22" s="67"/>
      <c r="D22" s="67"/>
      <c r="E22" s="67"/>
      <c r="F22" s="67"/>
      <c r="G22" s="67"/>
      <c r="H22" s="67"/>
      <c r="I22" s="67"/>
      <c r="J22" s="67"/>
      <c r="K22" s="67"/>
      <c r="L22" s="67"/>
      <c r="M22" s="147"/>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3"/>
  <legacyDrawing r:id="rId2"/>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A1" sqref="A1"/>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"&amp;TEXT(A18,"mmmm")</f>
        <v>Residential Tonnages by Commodity:  May - April</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85</v>
      </c>
      <c r="F4" s="63" t="s">
        <v>50</v>
      </c>
      <c r="G4" s="63" t="s">
        <v>53</v>
      </c>
      <c r="H4" s="63" t="s">
        <v>24</v>
      </c>
      <c r="I4" s="63" t="s">
        <v>25</v>
      </c>
      <c r="J4" s="63" t="s">
        <v>26</v>
      </c>
      <c r="K4" s="63" t="s">
        <v>27</v>
      </c>
      <c r="L4" s="63" t="s">
        <v>28</v>
      </c>
      <c r="M4" s="63"/>
      <c r="N4" s="63" t="s">
        <v>29</v>
      </c>
    </row>
    <row r="5" spans="1:12" s="65" customFormat="1" ht="12.75">
      <c r="A5" s="64"/>
      <c r="B5" s="64"/>
      <c r="C5" s="128">
        <v>55</v>
      </c>
      <c r="D5" s="129">
        <v>57</v>
      </c>
      <c r="E5" s="129">
        <v>58</v>
      </c>
      <c r="F5" s="128">
        <v>53</v>
      </c>
      <c r="G5" s="128">
        <v>56</v>
      </c>
      <c r="H5" s="128">
        <v>60</v>
      </c>
      <c r="I5" s="128">
        <v>54</v>
      </c>
      <c r="J5" s="128">
        <v>54</v>
      </c>
      <c r="K5" s="128">
        <v>51</v>
      </c>
      <c r="L5" s="128">
        <v>59</v>
      </c>
    </row>
    <row r="6" spans="1:14" ht="12.75">
      <c r="A6" s="66"/>
      <c r="B6" s="67"/>
      <c r="C6" s="68"/>
      <c r="D6" s="68"/>
      <c r="E6" s="68"/>
      <c r="F6" s="68"/>
      <c r="G6" s="68"/>
      <c r="H6" s="68"/>
      <c r="I6" s="68"/>
      <c r="J6" s="68"/>
      <c r="L6" s="67"/>
      <c r="M6" s="67"/>
      <c r="N6" s="68" t="s">
        <v>30</v>
      </c>
    </row>
    <row r="7" spans="1:16" ht="12.75">
      <c r="A7" s="66">
        <f>Multi_Family!C6</f>
        <v>44347</v>
      </c>
      <c r="B7" s="67"/>
      <c r="C7" s="72">
        <f>HLOOKUP($A7,Multi_Family!$C$6:$N$79,C$5,FALSE)</f>
        <v>0.08867199999999999</v>
      </c>
      <c r="D7" s="76">
        <f>HLOOKUP($A7,Multi_Family!$C$6:$N$79,D$5,FALSE)</f>
        <v>0.6745599999999999</v>
      </c>
      <c r="E7" s="76">
        <f>HLOOKUP($A7,Multi_Family!$C$6:$N$79,E$5,FALSE)</f>
        <v>0</v>
      </c>
      <c r="F7" s="72">
        <f>HLOOKUP($A7,Multi_Family!$C$6:$N$79,F$5,FALSE)</f>
        <v>0.076704</v>
      </c>
      <c r="G7" s="72">
        <f>HLOOKUP($A7,Multi_Family!$C$6:$N$79,G$5,FALSE)</f>
        <v>0.011423999999999998</v>
      </c>
      <c r="H7" s="72">
        <f>HLOOKUP($A7,Multi_Family!$C$6:$N$79,H$5,FALSE)</f>
        <v>1.756576</v>
      </c>
      <c r="I7" s="72">
        <f>HLOOKUP($A7,Multi_Family!$C$6:$N$79,I$5,FALSE)/2</f>
        <v>0.09737599999999999</v>
      </c>
      <c r="J7" s="72">
        <f>HLOOKUP($A7,Multi_Family!$C$6:$N$79,J$5,FALSE)/2</f>
        <v>0.09737599999999999</v>
      </c>
      <c r="K7" s="72">
        <f>HLOOKUP($A7,Multi_Family!$C$6:$N$79,K$5,FALSE)</f>
        <v>1.3344319999999998</v>
      </c>
      <c r="L7" s="76">
        <f>HLOOKUP($A7,Multi_Family!$C$6:$N$79,L$5,FALSE)</f>
        <v>1.3028799999999998</v>
      </c>
      <c r="M7" s="77"/>
      <c r="N7" s="77">
        <f aca="true" t="shared" si="0" ref="N7:N18">SUM(C7:L7)</f>
        <v>5.4399999999999995</v>
      </c>
      <c r="P7" s="69"/>
    </row>
    <row r="8" spans="1:16" ht="12.75">
      <c r="A8" s="66">
        <f aca="true" t="shared" si="1" ref="A8:A17">EOMONTH(A7,1)</f>
        <v>44377</v>
      </c>
      <c r="B8" s="67"/>
      <c r="C8" s="72">
        <f>HLOOKUP($A8,Multi_Family!$C$6:$N$79,C$5,FALSE)</f>
        <v>0.09242099999999999</v>
      </c>
      <c r="D8" s="76">
        <f>HLOOKUP($A8,Multi_Family!$C$6:$N$79,D$5,FALSE)</f>
        <v>0.70308</v>
      </c>
      <c r="E8" s="76">
        <f>HLOOKUP($A8,Multi_Family!$C$6:$N$79,E$5,FALSE)</f>
        <v>0</v>
      </c>
      <c r="F8" s="72">
        <f>HLOOKUP($A8,Multi_Family!$C$6:$N$79,F$5,FALSE)</f>
        <v>0.07994699999999999</v>
      </c>
      <c r="G8" s="72">
        <f>HLOOKUP($A8,Multi_Family!$C$6:$N$79,G$5,FALSE)</f>
        <v>0.011907</v>
      </c>
      <c r="H8" s="72">
        <f>HLOOKUP($A8,Multi_Family!$C$6:$N$79,H$5,FALSE)</f>
        <v>1.8308429999999998</v>
      </c>
      <c r="I8" s="72">
        <f>HLOOKUP($A8,Multi_Family!$C$6:$N$79,I$5,FALSE)/2</f>
        <v>0.101493</v>
      </c>
      <c r="J8" s="72">
        <f>HLOOKUP($A8,Multi_Family!$C$6:$N$79,J$5,FALSE)/2</f>
        <v>0.101493</v>
      </c>
      <c r="K8" s="72">
        <f>HLOOKUP($A8,Multi_Family!$C$6:$N$79,K$5,FALSE)</f>
        <v>1.3908509999999998</v>
      </c>
      <c r="L8" s="76">
        <f>HLOOKUP($A8,Multi_Family!$C$6:$N$79,L$5,FALSE)</f>
        <v>1.3579649999999999</v>
      </c>
      <c r="M8" s="77"/>
      <c r="N8" s="77">
        <f t="shared" si="0"/>
        <v>5.67</v>
      </c>
      <c r="P8" s="69"/>
    </row>
    <row r="9" spans="1:16" ht="12.75">
      <c r="A9" s="66">
        <f t="shared" si="1"/>
        <v>44408</v>
      </c>
      <c r="B9" s="67"/>
      <c r="C9" s="72">
        <f>HLOOKUP($A9,Multi_Family!$C$6:$N$79,C$5,FALSE)</f>
        <v>0.091696</v>
      </c>
      <c r="D9" s="76">
        <f>HLOOKUP($A9,Multi_Family!$C$6:$N$79,D$5,FALSE)</f>
        <v>0.870591</v>
      </c>
      <c r="E9" s="76">
        <f>HLOOKUP($A9,Multi_Family!$C$6:$N$79,E$5,FALSE)</f>
        <v>0</v>
      </c>
      <c r="F9" s="72">
        <f>HLOOKUP($A9,Multi_Family!$C$6:$N$79,F$5,FALSE)</f>
        <v>0.079192</v>
      </c>
      <c r="G9" s="72">
        <f>HLOOKUP($A9,Multi_Family!$C$6:$N$79,G$5,FALSE)</f>
        <v>0.010941</v>
      </c>
      <c r="H9" s="72">
        <f>HLOOKUP($A9,Multi_Family!$C$6:$N$79,H$5,FALSE)</f>
        <v>1.8188110000000002</v>
      </c>
      <c r="I9" s="72">
        <f>HLOOKUP($A9,Multi_Family!$C$6:$N$79,I$5,FALSE)/2</f>
        <v>0.1185275</v>
      </c>
      <c r="J9" s="72">
        <f>HLOOKUP($A9,Multi_Family!$C$6:$N$79,J$5,FALSE)/2</f>
        <v>0.1185275</v>
      </c>
      <c r="K9" s="72">
        <f>HLOOKUP($A9,Multi_Family!$C$6:$N$79,K$5,FALSE)</f>
        <v>1.317609</v>
      </c>
      <c r="L9" s="76">
        <f>HLOOKUP($A9,Multi_Family!$C$6:$N$79,L$5,FALSE)</f>
        <v>0.7841049999999999</v>
      </c>
      <c r="M9" s="77"/>
      <c r="N9" s="77">
        <f t="shared" si="0"/>
        <v>5.210000000000001</v>
      </c>
      <c r="P9" s="69"/>
    </row>
    <row r="10" spans="1:16" ht="12.75">
      <c r="A10" s="66">
        <f t="shared" si="1"/>
        <v>44439</v>
      </c>
      <c r="B10" s="67"/>
      <c r="C10" s="72">
        <f>HLOOKUP($A10,Multi_Family!$C$6:$N$79,C$5,FALSE)</f>
        <v>0.111232</v>
      </c>
      <c r="D10" s="76">
        <f>HLOOKUP($A10,Multi_Family!$C$6:$N$79,D$5,FALSE)</f>
        <v>1.056072</v>
      </c>
      <c r="E10" s="76">
        <f>HLOOKUP($A10,Multi_Family!$C$6:$N$79,E$5,FALSE)</f>
        <v>0</v>
      </c>
      <c r="F10" s="72">
        <f>HLOOKUP($A10,Multi_Family!$C$6:$N$79,F$5,FALSE)</f>
        <v>0.096064</v>
      </c>
      <c r="G10" s="72">
        <f>HLOOKUP($A10,Multi_Family!$C$6:$N$79,G$5,FALSE)</f>
        <v>0.013271999999999997</v>
      </c>
      <c r="H10" s="72">
        <f>HLOOKUP($A10,Multi_Family!$C$6:$N$79,H$5,FALSE)</f>
        <v>2.2063119999999996</v>
      </c>
      <c r="I10" s="72">
        <f>HLOOKUP($A10,Multi_Family!$C$6:$N$79,I$5,FALSE)/2</f>
        <v>0.14378</v>
      </c>
      <c r="J10" s="72">
        <f>HLOOKUP($A10,Multi_Family!$C$6:$N$79,J$5,FALSE)/2</f>
        <v>0.14378</v>
      </c>
      <c r="K10" s="72">
        <f>HLOOKUP($A10,Multi_Family!$C$6:$N$79,K$5,FALSE)</f>
        <v>1.598328</v>
      </c>
      <c r="L10" s="76">
        <f>HLOOKUP($A10,Multi_Family!$C$6:$N$79,L$5,FALSE)</f>
        <v>0.9511599999999999</v>
      </c>
      <c r="M10" s="77"/>
      <c r="N10" s="77">
        <f t="shared" si="0"/>
        <v>6.3199999999999985</v>
      </c>
      <c r="P10" s="69"/>
    </row>
    <row r="11" spans="1:16" ht="12.75">
      <c r="A11" s="66">
        <f t="shared" si="1"/>
        <v>44469</v>
      </c>
      <c r="B11" s="67"/>
      <c r="C11" s="72">
        <f>HLOOKUP($A11,Multi_Family!$C$6:$N$79,C$5,FALSE)</f>
        <v>0.10384000000000002</v>
      </c>
      <c r="D11" s="76">
        <f>HLOOKUP($A11,Multi_Family!$C$6:$N$79,D$5,FALSE)</f>
        <v>0.98589</v>
      </c>
      <c r="E11" s="76">
        <f>HLOOKUP($A11,Multi_Family!$C$6:$N$79,E$5,FALSE)</f>
        <v>0</v>
      </c>
      <c r="F11" s="72">
        <f>HLOOKUP($A11,Multi_Family!$C$6:$N$79,F$5,FALSE)</f>
        <v>0.08968000000000001</v>
      </c>
      <c r="G11" s="72">
        <f>HLOOKUP($A11,Multi_Family!$C$6:$N$79,G$5,FALSE)</f>
        <v>0.01239</v>
      </c>
      <c r="H11" s="72">
        <f>HLOOKUP($A11,Multi_Family!$C$6:$N$79,H$5,FALSE)</f>
        <v>2.0596900000000002</v>
      </c>
      <c r="I11" s="72">
        <f>HLOOKUP($A11,Multi_Family!$C$6:$N$79,I$5,FALSE)/2</f>
        <v>0.134225</v>
      </c>
      <c r="J11" s="72">
        <f>HLOOKUP($A11,Multi_Family!$C$6:$N$79,J$5,FALSE)/2</f>
        <v>0.134225</v>
      </c>
      <c r="K11" s="72">
        <f>HLOOKUP($A11,Multi_Family!$C$6:$N$79,K$5,FALSE)</f>
        <v>1.4921100000000003</v>
      </c>
      <c r="L11" s="76">
        <f>HLOOKUP($A11,Multi_Family!$C$6:$N$79,L$5,FALSE)</f>
        <v>0.88795</v>
      </c>
      <c r="M11" s="77"/>
      <c r="N11" s="77">
        <f t="shared" si="0"/>
        <v>5.9</v>
      </c>
      <c r="P11" s="69"/>
    </row>
    <row r="12" spans="1:16" ht="12.75">
      <c r="A12" s="66">
        <f t="shared" si="1"/>
        <v>44500</v>
      </c>
      <c r="B12" s="67"/>
      <c r="C12" s="72">
        <f>HLOOKUP($A12,Multi_Family!$C$6:$N$79,C$5,FALSE)</f>
        <v>0.12601600000000002</v>
      </c>
      <c r="D12" s="76">
        <f>HLOOKUP($A12,Multi_Family!$C$6:$N$79,D$5,FALSE)</f>
        <v>1.196436</v>
      </c>
      <c r="E12" s="76">
        <f>HLOOKUP($A12,Multi_Family!$C$6:$N$79,E$5,FALSE)</f>
        <v>0</v>
      </c>
      <c r="F12" s="72">
        <f>HLOOKUP($A12,Multi_Family!$C$6:$N$79,F$5,FALSE)</f>
        <v>0.108832</v>
      </c>
      <c r="G12" s="72">
        <f>HLOOKUP($A12,Multi_Family!$C$6:$N$79,G$5,FALSE)</f>
        <v>0.015035999999999999</v>
      </c>
      <c r="H12" s="72">
        <f>HLOOKUP($A12,Multi_Family!$C$6:$N$79,H$5,FALSE)</f>
        <v>2.499556</v>
      </c>
      <c r="I12" s="72">
        <f>HLOOKUP($A12,Multi_Family!$C$6:$N$79,I$5,FALSE)/2</f>
        <v>0.16289</v>
      </c>
      <c r="J12" s="72">
        <f>HLOOKUP($A12,Multi_Family!$C$6:$N$79,J$5,FALSE)/2</f>
        <v>0.16289</v>
      </c>
      <c r="K12" s="72">
        <f>HLOOKUP($A12,Multi_Family!$C$6:$N$79,K$5,FALSE)</f>
        <v>1.810764</v>
      </c>
      <c r="L12" s="76">
        <f>HLOOKUP($A12,Multi_Family!$C$6:$N$79,L$5,FALSE)</f>
        <v>1.07758</v>
      </c>
      <c r="M12" s="77"/>
      <c r="N12" s="77">
        <f t="shared" si="0"/>
        <v>7.16</v>
      </c>
      <c r="P12" s="69"/>
    </row>
    <row r="13" spans="1:16" ht="12.75">
      <c r="A13" s="66">
        <f t="shared" si="1"/>
        <v>44530</v>
      </c>
      <c r="B13" s="67"/>
      <c r="C13" s="72">
        <f>HLOOKUP($A13,Multi_Family!$C$6:$N$79,C$5,FALSE)</f>
        <v>0.12548800000000002</v>
      </c>
      <c r="D13" s="76">
        <f>HLOOKUP($A13,Multi_Family!$C$6:$N$79,D$5,FALSE)</f>
        <v>1.1914230000000001</v>
      </c>
      <c r="E13" s="76">
        <f>HLOOKUP($A13,Multi_Family!$C$6:$N$79,E$5,FALSE)</f>
        <v>0</v>
      </c>
      <c r="F13" s="72">
        <f>HLOOKUP($A13,Multi_Family!$C$6:$N$79,F$5,FALSE)</f>
        <v>0.10837600000000001</v>
      </c>
      <c r="G13" s="72">
        <f>HLOOKUP($A13,Multi_Family!$C$6:$N$79,G$5,FALSE)</f>
        <v>0.014973</v>
      </c>
      <c r="H13" s="72">
        <f>HLOOKUP($A13,Multi_Family!$C$6:$N$79,H$5,FALSE)</f>
        <v>2.489083000000001</v>
      </c>
      <c r="I13" s="72">
        <f>HLOOKUP($A13,Multi_Family!$C$6:$N$79,I$5,FALSE)/2</f>
        <v>0.1622075</v>
      </c>
      <c r="J13" s="72">
        <f>HLOOKUP($A13,Multi_Family!$C$6:$N$79,J$5,FALSE)/2</f>
        <v>0.1622075</v>
      </c>
      <c r="K13" s="72">
        <f>HLOOKUP($A13,Multi_Family!$C$6:$N$79,K$5,FALSE)</f>
        <v>1.8031770000000003</v>
      </c>
      <c r="L13" s="76">
        <f>HLOOKUP($A13,Multi_Family!$C$6:$N$79,L$5,FALSE)</f>
        <v>1.0730650000000002</v>
      </c>
      <c r="M13" s="77"/>
      <c r="N13" s="77">
        <f t="shared" si="0"/>
        <v>7.130000000000001</v>
      </c>
      <c r="P13" s="69"/>
    </row>
    <row r="14" spans="1:16" ht="12.75">
      <c r="A14" s="66">
        <f t="shared" si="1"/>
        <v>44561</v>
      </c>
      <c r="B14" s="67"/>
      <c r="C14" s="72">
        <f>HLOOKUP($A14,Multi_Family!$C$6:$N$79,C$5,FALSE)</f>
        <v>0.11105600000000002</v>
      </c>
      <c r="D14" s="76">
        <f>HLOOKUP($A14,Multi_Family!$C$6:$N$79,D$5,FALSE)</f>
        <v>1.0544010000000001</v>
      </c>
      <c r="E14" s="76">
        <f>HLOOKUP($A14,Multi_Family!$C$6:$N$79,E$5,FALSE)</f>
        <v>0</v>
      </c>
      <c r="F14" s="72">
        <f>HLOOKUP($A14,Multi_Family!$C$6:$N$79,F$5,FALSE)</f>
        <v>0.09591200000000001</v>
      </c>
      <c r="G14" s="72">
        <f>HLOOKUP($A14,Multi_Family!$C$6:$N$79,G$5,FALSE)</f>
        <v>0.013251</v>
      </c>
      <c r="H14" s="72">
        <f>HLOOKUP($A14,Multi_Family!$C$6:$N$79,H$5,FALSE)</f>
        <v>2.202821</v>
      </c>
      <c r="I14" s="72">
        <f>HLOOKUP($A14,Multi_Family!$C$6:$N$79,I$5,FALSE)/2</f>
        <v>0.1435525</v>
      </c>
      <c r="J14" s="72">
        <f>HLOOKUP($A14,Multi_Family!$C$6:$N$79,J$5,FALSE)/2</f>
        <v>0.1435525</v>
      </c>
      <c r="K14" s="72">
        <f>HLOOKUP($A14,Multi_Family!$C$6:$N$79,K$5,FALSE)</f>
        <v>1.5957990000000002</v>
      </c>
      <c r="L14" s="76">
        <f>HLOOKUP($A14,Multi_Family!$C$6:$N$79,L$5,FALSE)</f>
        <v>0.949655</v>
      </c>
      <c r="M14" s="77"/>
      <c r="N14" s="77">
        <f t="shared" si="0"/>
        <v>6.3100000000000005</v>
      </c>
      <c r="P14" s="69"/>
    </row>
    <row r="15" spans="1:16" ht="12.75">
      <c r="A15" s="66">
        <f t="shared" si="1"/>
        <v>44592</v>
      </c>
      <c r="B15" s="67"/>
      <c r="C15" s="72">
        <f>HLOOKUP($A15,Multi_Family!$C$6:$N$79,C$5,FALSE)</f>
        <v>0.12210800000000001</v>
      </c>
      <c r="D15" s="76">
        <f>HLOOKUP($A15,Multi_Family!$C$6:$N$79,D$5,FALSE)</f>
        <v>1.21765</v>
      </c>
      <c r="E15" s="76">
        <f>HLOOKUP($A15,Multi_Family!$C$6:$N$79,E$5,FALSE)</f>
        <v>0</v>
      </c>
      <c r="F15" s="72">
        <f>HLOOKUP($A15,Multi_Family!$C$6:$N$79,F$5,FALSE)</f>
        <v>0.100842</v>
      </c>
      <c r="G15" s="72">
        <f>HLOOKUP($A15,Multi_Family!$C$6:$N$79,G$5,FALSE)</f>
        <v>0.013034</v>
      </c>
      <c r="H15" s="72">
        <f>HLOOKUP($A15,Multi_Family!$C$6:$N$79,H$5,FALSE)</f>
        <v>2.2706600000000003</v>
      </c>
      <c r="I15" s="72">
        <f>HLOOKUP($A15,Multi_Family!$C$6:$N$79,I$5,FALSE)/2</f>
        <v>0.16875600000000002</v>
      </c>
      <c r="J15" s="72">
        <f>HLOOKUP($A15,Multi_Family!$C$6:$N$79,J$5,FALSE)/2</f>
        <v>0.16875600000000002</v>
      </c>
      <c r="K15" s="72">
        <f>HLOOKUP($A15,Multi_Family!$C$6:$N$79,K$5,FALSE)</f>
        <v>1.7904600000000002</v>
      </c>
      <c r="L15" s="76">
        <f>HLOOKUP($A15,Multi_Family!$C$6:$N$79,L$5,FALSE)</f>
        <v>1.0077340000000001</v>
      </c>
      <c r="M15" s="77"/>
      <c r="N15" s="77">
        <f t="shared" si="0"/>
        <v>6.860000000000001</v>
      </c>
      <c r="P15" s="69"/>
    </row>
    <row r="16" spans="1:16" ht="12.75">
      <c r="A16" s="66">
        <f t="shared" si="1"/>
        <v>44620</v>
      </c>
      <c r="B16" s="67"/>
      <c r="C16" s="72">
        <f>HLOOKUP($A16,Multi_Family!$C$6:$N$79,C$5,FALSE)</f>
        <v>0.10324</v>
      </c>
      <c r="D16" s="76">
        <f>HLOOKUP($A16,Multi_Family!$C$6:$N$79,D$5,FALSE)</f>
        <v>1.0294999999999999</v>
      </c>
      <c r="E16" s="76">
        <f>HLOOKUP($A16,Multi_Family!$C$6:$N$79,E$5,FALSE)</f>
        <v>0</v>
      </c>
      <c r="F16" s="72">
        <f>HLOOKUP($A16,Multi_Family!$C$6:$N$79,F$5,FALSE)</f>
        <v>0.08525999999999999</v>
      </c>
      <c r="G16" s="72">
        <f>HLOOKUP($A16,Multi_Family!$C$6:$N$79,G$5,FALSE)</f>
        <v>0.01102</v>
      </c>
      <c r="H16" s="72">
        <f>HLOOKUP($A16,Multi_Family!$C$6:$N$79,H$5,FALSE)</f>
        <v>1.9198</v>
      </c>
      <c r="I16" s="72">
        <f>HLOOKUP($A16,Multi_Family!$C$6:$N$79,I$5,FALSE)/2</f>
        <v>0.14268</v>
      </c>
      <c r="J16" s="72">
        <f>HLOOKUP($A16,Multi_Family!$C$6:$N$79,J$5,FALSE)/2</f>
        <v>0.14268</v>
      </c>
      <c r="K16" s="72">
        <f>HLOOKUP($A16,Multi_Family!$C$6:$N$79,K$5,FALSE)</f>
        <v>1.5138</v>
      </c>
      <c r="L16" s="76">
        <f>HLOOKUP($A16,Multi_Family!$C$6:$N$79,L$5,FALSE)</f>
        <v>0.85202</v>
      </c>
      <c r="M16" s="77"/>
      <c r="N16" s="77">
        <f t="shared" si="0"/>
        <v>5.799999999999999</v>
      </c>
      <c r="P16" s="69"/>
    </row>
    <row r="17" spans="1:16" ht="12.75">
      <c r="A17" s="66">
        <f t="shared" si="1"/>
        <v>44651</v>
      </c>
      <c r="B17" s="67"/>
      <c r="C17" s="72">
        <f>HLOOKUP($A17,Multi_Family!$C$6:$N$79,C$5,FALSE)</f>
        <v>0.126736</v>
      </c>
      <c r="D17" s="76">
        <f>HLOOKUP($A17,Multi_Family!$C$6:$N$79,D$5,FALSE)</f>
        <v>1.2638</v>
      </c>
      <c r="E17" s="76">
        <f>HLOOKUP($A17,Multi_Family!$C$6:$N$79,E$5,FALSE)</f>
        <v>0</v>
      </c>
      <c r="F17" s="72">
        <f>HLOOKUP($A17,Multi_Family!$C$6:$N$79,F$5,FALSE)</f>
        <v>0.104664</v>
      </c>
      <c r="G17" s="72">
        <f>HLOOKUP($A17,Multi_Family!$C$6:$N$79,G$5,FALSE)</f>
        <v>0.013528</v>
      </c>
      <c r="H17" s="72">
        <f>HLOOKUP($A17,Multi_Family!$C$6:$N$79,H$5,FALSE)</f>
        <v>2.3567199999999993</v>
      </c>
      <c r="I17" s="72">
        <f>HLOOKUP($A17,Multi_Family!$C$6:$N$79,I$5,FALSE)/2</f>
        <v>0.175152</v>
      </c>
      <c r="J17" s="72">
        <f>HLOOKUP($A17,Multi_Family!$C$6:$N$79,J$5,FALSE)/2</f>
        <v>0.175152</v>
      </c>
      <c r="K17" s="72">
        <f>HLOOKUP($A17,Multi_Family!$C$6:$N$79,K$5,FALSE)</f>
        <v>1.8583200000000002</v>
      </c>
      <c r="L17" s="76">
        <f>HLOOKUP($A17,Multi_Family!$C$6:$N$79,L$5,FALSE)</f>
        <v>1.045928</v>
      </c>
      <c r="M17" s="77"/>
      <c r="N17" s="77">
        <f t="shared" si="0"/>
        <v>7.119999999999999</v>
      </c>
      <c r="P17" s="69"/>
    </row>
    <row r="18" spans="1:16" ht="12.75">
      <c r="A18" s="66">
        <f>EOMONTH(A17,1)</f>
        <v>44681</v>
      </c>
      <c r="B18" s="67"/>
      <c r="C18" s="72">
        <f>HLOOKUP($A18,Multi_Family!$C$6:$N$79,C$5,FALSE)</f>
        <v>0.100748</v>
      </c>
      <c r="D18" s="76">
        <f>HLOOKUP($A18,Multi_Family!$C$6:$N$79,D$5,FALSE)</f>
        <v>1.00465</v>
      </c>
      <c r="E18" s="76">
        <f>HLOOKUP($A18,Multi_Family!$C$6:$N$79,E$5,FALSE)</f>
        <v>0</v>
      </c>
      <c r="F18" s="72">
        <f>HLOOKUP($A18,Multi_Family!$C$6:$N$79,F$5,FALSE)</f>
        <v>0.083202</v>
      </c>
      <c r="G18" s="72">
        <f>HLOOKUP($A18,Multi_Family!$C$6:$N$79,G$5,FALSE)</f>
        <v>0.010754</v>
      </c>
      <c r="H18" s="72">
        <f>HLOOKUP($A18,Multi_Family!$C$6:$N$79,H$5,FALSE)</f>
        <v>1.8734600000000001</v>
      </c>
      <c r="I18" s="72">
        <f>HLOOKUP($A18,Multi_Family!$C$6:$N$79,I$5,FALSE)/2</f>
        <v>0.139236</v>
      </c>
      <c r="J18" s="72">
        <f>HLOOKUP($A18,Multi_Family!$C$6:$N$79,J$5,FALSE)/2</f>
        <v>0.139236</v>
      </c>
      <c r="K18" s="72">
        <f>HLOOKUP($A18,Multi_Family!$C$6:$N$79,K$5,FALSE)</f>
        <v>1.47726</v>
      </c>
      <c r="L18" s="76">
        <f>HLOOKUP($A18,Multi_Family!$C$6:$N$79,L$5,FALSE)</f>
        <v>0.831454</v>
      </c>
      <c r="M18" s="77"/>
      <c r="N18" s="77">
        <f t="shared" si="0"/>
        <v>5.66</v>
      </c>
      <c r="P18" s="69"/>
    </row>
    <row r="19" spans="1:15" ht="13.5" customHeight="1">
      <c r="A19" s="66"/>
      <c r="B19" s="67"/>
      <c r="C19" s="77"/>
      <c r="D19" s="77"/>
      <c r="E19" s="77"/>
      <c r="F19" s="77"/>
      <c r="G19" s="77"/>
      <c r="H19" s="77"/>
      <c r="I19" s="77"/>
      <c r="J19" s="77"/>
      <c r="K19" s="77"/>
      <c r="L19" s="77"/>
      <c r="M19" s="77"/>
      <c r="N19" s="77"/>
      <c r="O19" t="s">
        <v>70</v>
      </c>
    </row>
    <row r="20" spans="1:15" ht="12.75">
      <c r="A20" s="70" t="s">
        <v>31</v>
      </c>
      <c r="B20" s="67"/>
      <c r="C20" s="130">
        <f aca="true" t="shared" si="2" ref="C20:J20">SUM(C7:C19)</f>
        <v>1.3032530000000002</v>
      </c>
      <c r="D20" s="130">
        <f t="shared" si="2"/>
        <v>12.248053000000002</v>
      </c>
      <c r="E20" s="130">
        <f t="shared" si="2"/>
        <v>0</v>
      </c>
      <c r="F20" s="130">
        <f t="shared" si="2"/>
        <v>1.108675</v>
      </c>
      <c r="G20" s="130">
        <f t="shared" si="2"/>
        <v>0.15153</v>
      </c>
      <c r="H20" s="130">
        <f t="shared" si="2"/>
        <v>25.284332</v>
      </c>
      <c r="I20" s="130">
        <f t="shared" si="2"/>
        <v>1.6898754999999996</v>
      </c>
      <c r="J20" s="130">
        <f t="shared" si="2"/>
        <v>1.6898754999999996</v>
      </c>
      <c r="K20" s="130">
        <f>SUM(K7:K19)</f>
        <v>18.98291</v>
      </c>
      <c r="L20" s="130">
        <f>SUM(L7:L19)</f>
        <v>12.121496</v>
      </c>
      <c r="M20" s="77"/>
      <c r="N20" s="130">
        <f>SUM(N7:N18)</f>
        <v>74.58</v>
      </c>
      <c r="O20" s="68">
        <f>N20/15</f>
        <v>4.9719999999999995</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A1" sqref="A1"/>
    </sheetView>
  </sheetViews>
  <sheetFormatPr defaultColWidth="9.140625" defaultRowHeight="12.75"/>
  <cols>
    <col min="3" max="3" width="13.28125" style="0" customWidth="1"/>
    <col min="4" max="5" width="11.57421875" style="0" customWidth="1"/>
    <col min="6" max="6" width="12.28125" style="0" customWidth="1"/>
    <col min="7" max="7" width="11.7109375" style="0" bestFit="1"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"&amp;TEXT(A18,"mmm-yy")</f>
        <v>Commodity Pricing:  May-21 - Apr-22</v>
      </c>
      <c r="B1" s="60"/>
    </row>
    <row r="2" spans="1:2" ht="13.5" customHeight="1">
      <c r="A2" s="61" t="str">
        <f>WUTC_KENT_MF!A1</f>
        <v>Kent-Meridian Disposal</v>
      </c>
      <c r="B2" s="61"/>
    </row>
    <row r="3" spans="1:2" ht="13.5" customHeight="1">
      <c r="A3" s="61"/>
      <c r="B3" s="61"/>
    </row>
    <row r="4" spans="2:13" ht="12.75">
      <c r="B4" s="71"/>
      <c r="C4" s="63" t="s">
        <v>21</v>
      </c>
      <c r="D4" s="63" t="s">
        <v>22</v>
      </c>
      <c r="E4" s="63" t="s">
        <v>85</v>
      </c>
      <c r="F4" s="63" t="s">
        <v>50</v>
      </c>
      <c r="G4" s="63" t="s">
        <v>53</v>
      </c>
      <c r="H4" s="63" t="s">
        <v>24</v>
      </c>
      <c r="I4" s="63" t="s">
        <v>25</v>
      </c>
      <c r="J4" s="63" t="s">
        <v>26</v>
      </c>
      <c r="K4" s="63" t="s">
        <v>27</v>
      </c>
      <c r="L4" s="63" t="s">
        <v>28</v>
      </c>
      <c r="M4" s="63"/>
    </row>
    <row r="5" spans="2:13" ht="12.75">
      <c r="B5" s="71"/>
      <c r="C5" s="128">
        <v>69</v>
      </c>
      <c r="D5" s="128">
        <v>71</v>
      </c>
      <c r="E5" s="128">
        <v>72</v>
      </c>
      <c r="F5" s="128">
        <v>67</v>
      </c>
      <c r="G5" s="128">
        <v>70</v>
      </c>
      <c r="H5" s="128">
        <v>74</v>
      </c>
      <c r="I5" s="128">
        <v>68</v>
      </c>
      <c r="J5" s="128">
        <v>68</v>
      </c>
      <c r="K5" s="128">
        <v>65</v>
      </c>
      <c r="L5" s="128">
        <v>73</v>
      </c>
      <c r="M5" s="71"/>
    </row>
    <row r="6" spans="2:13" ht="12.75">
      <c r="B6" s="71"/>
      <c r="C6" s="71"/>
      <c r="D6" s="71"/>
      <c r="E6" s="71"/>
      <c r="F6" s="71"/>
      <c r="G6" s="71"/>
      <c r="H6" s="71"/>
      <c r="I6" s="71"/>
      <c r="J6" s="71"/>
      <c r="K6" s="71"/>
      <c r="L6" s="71"/>
      <c r="M6" s="71"/>
    </row>
    <row r="7" spans="1:13" ht="12.75">
      <c r="A7" s="66">
        <f>+'Commodity Tonnages'!A7</f>
        <v>44347</v>
      </c>
      <c r="B7" s="71"/>
      <c r="C7" s="72">
        <f>HLOOKUP($A7,Multi_Family!$C$6:$N$79,C$5,FALSE)</f>
        <v>1189.808</v>
      </c>
      <c r="D7" s="76">
        <f>HLOOKUP($A7,Multi_Family!$C$6:$N$79,D$5,FALSE)</f>
        <v>-24.73</v>
      </c>
      <c r="E7" s="76">
        <f>HLOOKUP($A7,Multi_Family!$C$6:$N$79,E$5,FALSE)</f>
        <v>0</v>
      </c>
      <c r="F7" s="72">
        <f>HLOOKUP($A7,Multi_Family!$C$6:$N$79,F$5,FALSE)</f>
        <v>176.12800000000001</v>
      </c>
      <c r="G7" s="72">
        <f>HLOOKUP($A7,Multi_Family!$C$6:$N$79,G$5,FALSE)</f>
        <v>142.04000000000002</v>
      </c>
      <c r="H7" s="72">
        <f>HLOOKUP($A7,Multi_Family!$C$6:$N$79,H$5,FALSE)</f>
        <v>46.64</v>
      </c>
      <c r="I7" s="72">
        <f>HLOOKUP($A7,Multi_Family!$C$6:$N$79,I$5,FALSE)</f>
        <v>299.3691620111732</v>
      </c>
      <c r="J7" s="72">
        <f>HLOOKUP($A7,Multi_Family!$C$6:$N$79,J$5,FALSE)</f>
        <v>299.3691620111732</v>
      </c>
      <c r="K7" s="72">
        <f>HLOOKUP($A7,Multi_Family!$C$6:$N$79,K$5,FALSE)</f>
        <v>131.504</v>
      </c>
      <c r="L7" s="76">
        <f>HLOOKUP($A7,Multi_Family!$C$6:$N$79,L$5,FALSE)</f>
        <v>-155.82</v>
      </c>
      <c r="M7" s="71"/>
    </row>
    <row r="8" spans="1:13" ht="12.75">
      <c r="A8" s="66">
        <f>+'Commodity Tonnages'!A8</f>
        <v>44377</v>
      </c>
      <c r="B8" s="71"/>
      <c r="C8" s="72">
        <f>HLOOKUP($A8,Multi_Family!$C$6:$N$79,C$5,FALSE)</f>
        <v>1217.48</v>
      </c>
      <c r="D8" s="76">
        <f>HLOOKUP($A8,Multi_Family!$C$6:$N$79,D$5,FALSE)</f>
        <v>-9.94</v>
      </c>
      <c r="E8" s="76">
        <f>HLOOKUP($A8,Multi_Family!$C$6:$N$79,E$5,FALSE)</f>
        <v>0</v>
      </c>
      <c r="F8" s="72">
        <f>HLOOKUP($A8,Multi_Family!$C$6:$N$79,F$5,FALSE)</f>
        <v>209.168</v>
      </c>
      <c r="G8" s="72">
        <f>HLOOKUP($A8,Multi_Family!$C$6:$N$79,G$5,FALSE)</f>
        <v>165.69600000000003</v>
      </c>
      <c r="H8" s="72">
        <f>HLOOKUP($A8,Multi_Family!$C$6:$N$79,H$5,FALSE)</f>
        <v>64.08800000000001</v>
      </c>
      <c r="I8" s="72">
        <f>HLOOKUP($A8,Multi_Family!$C$6:$N$79,I$5,FALSE)</f>
        <v>444.90221229050275</v>
      </c>
      <c r="J8" s="72">
        <f>HLOOKUP($A8,Multi_Family!$C$6:$N$79,J$5,FALSE)</f>
        <v>444.90221229050275</v>
      </c>
      <c r="K8" s="72">
        <f>HLOOKUP($A8,Multi_Family!$C$6:$N$79,K$5,FALSE)</f>
        <v>154.096</v>
      </c>
      <c r="L8" s="76">
        <f>HLOOKUP($A8,Multi_Family!$C$6:$N$79,L$5,FALSE)</f>
        <v>-163.55</v>
      </c>
      <c r="M8" s="71"/>
    </row>
    <row r="9" spans="1:13" ht="12.75">
      <c r="A9" s="66">
        <f>+'Commodity Tonnages'!A9</f>
        <v>44408</v>
      </c>
      <c r="B9" s="67"/>
      <c r="C9" s="72">
        <f>HLOOKUP($A9,Multi_Family!$C$6:$N$79,C$5,FALSE)</f>
        <v>1261.632</v>
      </c>
      <c r="D9" s="76">
        <f>HLOOKUP($A9,Multi_Family!$C$6:$N$79,D$5,FALSE)</f>
        <v>-46.2</v>
      </c>
      <c r="E9" s="76">
        <f>HLOOKUP($A9,Multi_Family!$C$6:$N$79,E$5,FALSE)</f>
        <v>0</v>
      </c>
      <c r="F9" s="72">
        <f>HLOOKUP($A9,Multi_Family!$C$6:$N$79,F$5,FALSE)</f>
        <v>189.88</v>
      </c>
      <c r="G9" s="72">
        <f>HLOOKUP($A9,Multi_Family!$C$6:$N$79,G$5,FALSE)</f>
        <v>150.072</v>
      </c>
      <c r="H9" s="72">
        <f>HLOOKUP($A9,Multi_Family!$C$6:$N$79,H$5,FALSE)</f>
        <v>50.080000000000005</v>
      </c>
      <c r="I9" s="72">
        <f>HLOOKUP($A9,Multi_Family!$C$6:$N$79,I$5,FALSE)</f>
        <v>363.43238681318684</v>
      </c>
      <c r="J9" s="72">
        <f>HLOOKUP($A9,Multi_Family!$C$6:$N$79,J$5,FALSE)</f>
        <v>363.43238681318684</v>
      </c>
      <c r="K9" s="72">
        <f>HLOOKUP($A9,Multi_Family!$C$6:$N$79,K$5,FALSE)</f>
        <v>142.168</v>
      </c>
      <c r="L9" s="76">
        <f>HLOOKUP($A9,Multi_Family!$C$6:$N$79,L$5,FALSE)</f>
        <v>-164.36</v>
      </c>
      <c r="M9" s="68"/>
    </row>
    <row r="10" spans="1:13" ht="12.75">
      <c r="A10" s="66">
        <f>+'Commodity Tonnages'!A10</f>
        <v>44439</v>
      </c>
      <c r="B10" s="67"/>
      <c r="C10" s="72">
        <f>HLOOKUP($A10,Multi_Family!$C$6:$N$79,C$5,FALSE)</f>
        <v>1291.592</v>
      </c>
      <c r="D10" s="76">
        <f>HLOOKUP($A10,Multi_Family!$C$6:$N$79,D$5,FALSE)</f>
        <v>-52.58</v>
      </c>
      <c r="E10" s="76">
        <f>HLOOKUP($A10,Multi_Family!$C$6:$N$79,E$5,FALSE)</f>
        <v>0</v>
      </c>
      <c r="F10" s="72">
        <f>HLOOKUP($A10,Multi_Family!$C$6:$N$79,F$5,FALSE)</f>
        <v>171.784</v>
      </c>
      <c r="G10" s="72">
        <f>HLOOKUP($A10,Multi_Family!$C$6:$N$79,G$5,FALSE)</f>
        <v>138.856</v>
      </c>
      <c r="H10" s="72">
        <f>HLOOKUP($A10,Multi_Family!$C$6:$N$79,H$5,FALSE)</f>
        <v>57.176</v>
      </c>
      <c r="I10" s="72">
        <f>HLOOKUP($A10,Multi_Family!$C$6:$N$79,I$5,FALSE)</f>
        <v>436.2276747252747</v>
      </c>
      <c r="J10" s="72">
        <f>HLOOKUP($A10,Multi_Family!$C$6:$N$79,J$5,FALSE)</f>
        <v>436.2276747252747</v>
      </c>
      <c r="K10" s="72">
        <f>HLOOKUP($A10,Multi_Family!$C$6:$N$79,K$5,FALSE)</f>
        <v>146.29600000000002</v>
      </c>
      <c r="L10" s="76">
        <f>HLOOKUP($A10,Multi_Family!$C$6:$N$79,L$5,FALSE)</f>
        <v>-161.54</v>
      </c>
      <c r="M10" s="68"/>
    </row>
    <row r="11" spans="1:13" ht="12.75">
      <c r="A11" s="66">
        <f>+'Commodity Tonnages'!A11</f>
        <v>44469</v>
      </c>
      <c r="B11" s="67"/>
      <c r="C11" s="72">
        <f>HLOOKUP($A11,Multi_Family!$C$6:$N$79,C$5,FALSE)</f>
        <v>1399.968</v>
      </c>
      <c r="D11" s="76">
        <f>HLOOKUP($A11,Multi_Family!$C$6:$N$79,D$5,FALSE)</f>
        <v>-48.34</v>
      </c>
      <c r="E11" s="76">
        <f>HLOOKUP($A11,Multi_Family!$C$6:$N$79,E$5,FALSE)</f>
        <v>0</v>
      </c>
      <c r="F11" s="72">
        <f>HLOOKUP($A11,Multi_Family!$C$6:$N$79,F$5,FALSE)</f>
        <v>154.28</v>
      </c>
      <c r="G11" s="72">
        <f>HLOOKUP($A11,Multi_Family!$C$6:$N$79,G$5,FALSE)</f>
        <v>123.49600000000001</v>
      </c>
      <c r="H11" s="72">
        <f>HLOOKUP($A11,Multi_Family!$C$6:$N$79,H$5,FALSE)</f>
        <v>53.29600000000001</v>
      </c>
      <c r="I11" s="72">
        <f>HLOOKUP($A11,Multi_Family!$C$6:$N$79,I$5,FALSE)</f>
        <v>382.0567384615385</v>
      </c>
      <c r="J11" s="72">
        <f>HLOOKUP($A11,Multi_Family!$C$6:$N$79,J$5,FALSE)</f>
        <v>382.0567384615385</v>
      </c>
      <c r="K11" s="72">
        <f>HLOOKUP($A11,Multi_Family!$C$6:$N$79,K$5,FALSE)</f>
        <v>153.20000000000002</v>
      </c>
      <c r="L11" s="76">
        <f>HLOOKUP($A11,Multi_Family!$C$6:$N$79,L$5,FALSE)</f>
        <v>-160.65</v>
      </c>
      <c r="M11" s="68"/>
    </row>
    <row r="12" spans="1:13" ht="12.75">
      <c r="A12" s="66">
        <f>+'Commodity Tonnages'!A12</f>
        <v>44500</v>
      </c>
      <c r="B12" s="67"/>
      <c r="C12" s="72">
        <f>HLOOKUP($A12,Multi_Family!$C$6:$N$79,C$5,FALSE)</f>
        <v>1432.5680000000002</v>
      </c>
      <c r="D12" s="76">
        <f>HLOOKUP($A12,Multi_Family!$C$6:$N$79,D$5,FALSE)</f>
        <v>-46.82</v>
      </c>
      <c r="E12" s="76">
        <f>HLOOKUP($A12,Multi_Family!$C$6:$N$79,E$5,FALSE)</f>
        <v>0</v>
      </c>
      <c r="F12" s="72">
        <f>HLOOKUP($A12,Multi_Family!$C$6:$N$79,F$5,FALSE)</f>
        <v>155.34400000000002</v>
      </c>
      <c r="G12" s="72">
        <f>HLOOKUP($A12,Multi_Family!$C$6:$N$79,G$5,FALSE)</f>
        <v>135.408</v>
      </c>
      <c r="H12" s="72">
        <f>HLOOKUP($A12,Multi_Family!$C$6:$N$79,H$5,FALSE)</f>
        <v>60.592</v>
      </c>
      <c r="I12" s="72">
        <f>HLOOKUP($A12,Multi_Family!$C$6:$N$79,I$5,FALSE)</f>
        <v>262.97128791208803</v>
      </c>
      <c r="J12" s="72">
        <f>HLOOKUP($A12,Multi_Family!$C$6:$N$79,J$5,FALSE)</f>
        <v>262.97128791208803</v>
      </c>
      <c r="K12" s="72">
        <f>HLOOKUP($A12,Multi_Family!$C$6:$N$79,K$5,FALSE)</f>
        <v>151.29600000000002</v>
      </c>
      <c r="L12" s="76">
        <f>HLOOKUP($A12,Multi_Family!$C$6:$N$79,L$5,FALSE)</f>
        <v>-160.65</v>
      </c>
      <c r="M12" s="68"/>
    </row>
    <row r="13" spans="1:13" ht="12.75">
      <c r="A13" s="66">
        <f>+'Commodity Tonnages'!A13</f>
        <v>44530</v>
      </c>
      <c r="B13" s="67"/>
      <c r="C13" s="72">
        <f>HLOOKUP($A13,Multi_Family!$C$6:$N$79,C$5,FALSE)</f>
        <v>1208.28</v>
      </c>
      <c r="D13" s="76">
        <f>HLOOKUP($A13,Multi_Family!$C$6:$N$79,D$5,FALSE)</f>
        <v>-57.68</v>
      </c>
      <c r="E13" s="76">
        <f>HLOOKUP($A13,Multi_Family!$C$6:$N$79,E$5,FALSE)</f>
        <v>0</v>
      </c>
      <c r="F13" s="72">
        <f>HLOOKUP($A13,Multi_Family!$C$6:$N$79,F$5,FALSE)</f>
        <v>160.656</v>
      </c>
      <c r="G13" s="72">
        <f>HLOOKUP($A13,Multi_Family!$C$6:$N$79,G$5,FALSE)</f>
        <v>145.808</v>
      </c>
      <c r="H13" s="72">
        <f>HLOOKUP($A13,Multi_Family!$C$6:$N$79,H$5,FALSE)</f>
        <v>32.848000000000006</v>
      </c>
      <c r="I13" s="72">
        <f>HLOOKUP($A13,Multi_Family!$C$6:$N$79,I$5,FALSE)</f>
        <v>275.3715692307693</v>
      </c>
      <c r="J13" s="72">
        <f>HLOOKUP($A13,Multi_Family!$C$6:$N$79,J$5,FALSE)</f>
        <v>275.3715692307693</v>
      </c>
      <c r="K13" s="72">
        <f>HLOOKUP($A13,Multi_Family!$C$6:$N$79,K$5,FALSE)</f>
        <v>129.08800000000002</v>
      </c>
      <c r="L13" s="76">
        <f>HLOOKUP($A13,Multi_Family!$C$6:$N$79,L$5,FALSE)</f>
        <v>-159.7</v>
      </c>
      <c r="M13" s="68"/>
    </row>
    <row r="14" spans="1:13" ht="12.75">
      <c r="A14" s="66">
        <f>+'Commodity Tonnages'!A14</f>
        <v>44561</v>
      </c>
      <c r="B14" s="67"/>
      <c r="C14" s="72">
        <f>HLOOKUP($A14,Multi_Family!$C$6:$N$79,C$5,FALSE)</f>
        <v>1267.616</v>
      </c>
      <c r="D14" s="76">
        <f>HLOOKUP($A14,Multi_Family!$C$6:$N$79,D$5,FALSE)</f>
        <v>-51.06</v>
      </c>
      <c r="E14" s="76">
        <f>HLOOKUP($A14,Multi_Family!$C$6:$N$79,E$5,FALSE)</f>
        <v>0</v>
      </c>
      <c r="F14" s="72">
        <f>HLOOKUP($A14,Multi_Family!$C$6:$N$79,F$5,FALSE)</f>
        <v>168.928</v>
      </c>
      <c r="G14" s="72">
        <f>HLOOKUP($A14,Multi_Family!$C$6:$N$79,G$5,FALSE)</f>
        <v>152.824</v>
      </c>
      <c r="H14" s="72">
        <f>HLOOKUP($A14,Multi_Family!$C$6:$N$79,H$5,FALSE)</f>
        <v>-8.57</v>
      </c>
      <c r="I14" s="72">
        <f>HLOOKUP($A14,Multi_Family!$C$6:$N$79,I$5,FALSE)</f>
        <v>235.3165714285714</v>
      </c>
      <c r="J14" s="72">
        <f>HLOOKUP($A14,Multi_Family!$C$6:$N$79,J$5,FALSE)</f>
        <v>235.3165714285714</v>
      </c>
      <c r="K14" s="72">
        <f>HLOOKUP($A14,Multi_Family!$C$6:$N$79,K$5,FALSE)</f>
        <v>119.28</v>
      </c>
      <c r="L14" s="76">
        <f>HLOOKUP($A14,Multi_Family!$C$6:$N$79,L$5,FALSE)</f>
        <v>-163.71</v>
      </c>
      <c r="M14" s="68"/>
    </row>
    <row r="15" spans="1:13" ht="12.75">
      <c r="A15" s="66">
        <f>+'Commodity Tonnages'!A15</f>
        <v>44592</v>
      </c>
      <c r="B15" s="67"/>
      <c r="C15" s="72">
        <f>HLOOKUP($A15,Multi_Family!$C$6:$N$79,C$5,FALSE)</f>
        <v>1508.5120000000002</v>
      </c>
      <c r="D15" s="76">
        <f>HLOOKUP($A15,Multi_Family!$C$6:$N$79,D$5,FALSE)</f>
        <v>-77.32</v>
      </c>
      <c r="E15" s="76">
        <f>HLOOKUP($A15,Multi_Family!$C$6:$N$79,E$5,FALSE)</f>
        <v>0</v>
      </c>
      <c r="F15" s="72">
        <f>HLOOKUP($A15,Multi_Family!$C$6:$N$79,F$5,FALSE)</f>
        <v>112.04000000000002</v>
      </c>
      <c r="G15" s="72">
        <f>HLOOKUP($A15,Multi_Family!$C$6:$N$79,G$5,FALSE)</f>
        <v>86.968</v>
      </c>
      <c r="H15" s="72">
        <f>HLOOKUP($A15,Multi_Family!$C$6:$N$79,H$5,FALSE)</f>
        <v>-3.4</v>
      </c>
      <c r="I15" s="72">
        <f>HLOOKUP($A15,Multi_Family!$C$6:$N$79,I$5,FALSE)</f>
        <v>150.52624390243903</v>
      </c>
      <c r="J15" s="72">
        <f>HLOOKUP($A15,Multi_Family!$C$6:$N$79,J$5,FALSE)</f>
        <v>150.52624390243903</v>
      </c>
      <c r="K15" s="72">
        <f>HLOOKUP($A15,Multi_Family!$C$6:$N$79,K$5,FALSE)</f>
        <v>83.224</v>
      </c>
      <c r="L15" s="76">
        <f>HLOOKUP($A15,Multi_Family!$C$6:$N$79,L$5,FALSE)</f>
        <v>-166.72</v>
      </c>
      <c r="M15" s="68"/>
    </row>
    <row r="16" spans="1:13" ht="12.75">
      <c r="A16" s="66">
        <f>+'Commodity Tonnages'!A16</f>
        <v>44620</v>
      </c>
      <c r="B16" s="67"/>
      <c r="C16" s="72">
        <f>HLOOKUP($A16,Multi_Family!$C$6:$N$79,C$5,FALSE)</f>
        <v>1715.4240000000002</v>
      </c>
      <c r="D16" s="76">
        <f>HLOOKUP($A16,Multi_Family!$C$6:$N$79,D$5,FALSE)</f>
        <v>-65.19</v>
      </c>
      <c r="E16" s="76">
        <f>HLOOKUP($A16,Multi_Family!$C$6:$N$79,E$5,FALSE)</f>
        <v>0</v>
      </c>
      <c r="F16" s="72">
        <f>HLOOKUP($A16,Multi_Family!$C$6:$N$79,F$5,FALSE)</f>
        <v>131.264</v>
      </c>
      <c r="G16" s="72">
        <f>HLOOKUP($A16,Multi_Family!$C$6:$N$79,G$5,FALSE)</f>
        <v>107.78399999999999</v>
      </c>
      <c r="H16" s="72">
        <f>HLOOKUP($A16,Multi_Family!$C$6:$N$79,H$5,FALSE)</f>
        <v>-23.28</v>
      </c>
      <c r="I16" s="72">
        <f>HLOOKUP($A16,Multi_Family!$C$6:$N$79,I$5,FALSE)</f>
        <v>212.95260162601627</v>
      </c>
      <c r="J16" s="72">
        <f>HLOOKUP($A16,Multi_Family!$C$6:$N$79,J$5,FALSE)</f>
        <v>212.95260162601627</v>
      </c>
      <c r="K16" s="72">
        <f>HLOOKUP($A16,Multi_Family!$C$6:$N$79,K$5,FALSE)</f>
        <v>107.94400000000002</v>
      </c>
      <c r="L16" s="76">
        <f>HLOOKUP($A16,Multi_Family!$C$6:$N$79,L$5,FALSE)</f>
        <v>-166.81</v>
      </c>
      <c r="M16" s="68"/>
    </row>
    <row r="17" spans="1:13" ht="12.75">
      <c r="A17" s="66">
        <f>+'Commodity Tonnages'!A17</f>
        <v>44651</v>
      </c>
      <c r="B17" s="67"/>
      <c r="C17" s="72">
        <f>HLOOKUP($A17,Multi_Family!$C$6:$N$79,C$5,FALSE)</f>
        <v>1859.6560000000002</v>
      </c>
      <c r="D17" s="76">
        <f>HLOOKUP($A17,Multi_Family!$C$6:$N$79,D$5,FALSE)</f>
        <v>-73.39</v>
      </c>
      <c r="E17" s="76">
        <f>HLOOKUP($A17,Multi_Family!$C$6:$N$79,E$5,FALSE)</f>
        <v>0</v>
      </c>
      <c r="F17" s="72">
        <f>HLOOKUP($A17,Multi_Family!$C$6:$N$79,F$5,FALSE)</f>
        <v>134.504</v>
      </c>
      <c r="G17" s="72">
        <f>HLOOKUP($A17,Multi_Family!$C$6:$N$79,G$5,FALSE)</f>
        <v>152.544</v>
      </c>
      <c r="H17" s="72">
        <f>HLOOKUP($A17,Multi_Family!$C$6:$N$79,H$5,FALSE)</f>
        <v>-17.3</v>
      </c>
      <c r="I17" s="72">
        <f>HLOOKUP($A17,Multi_Family!$C$6:$N$79,I$5,FALSE)</f>
        <v>268.1524552845529</v>
      </c>
      <c r="J17" s="72">
        <f>HLOOKUP($A17,Multi_Family!$C$6:$N$79,J$5,FALSE)</f>
        <v>268.1524552845529</v>
      </c>
      <c r="K17" s="72">
        <f>HLOOKUP($A17,Multi_Family!$C$6:$N$79,K$5,FALSE)</f>
        <v>104.48800000000001</v>
      </c>
      <c r="L17" s="76">
        <f>HLOOKUP($A17,Multi_Family!$C$6:$N$79,L$5,FALSE)</f>
        <v>-167.13</v>
      </c>
      <c r="M17" s="68"/>
    </row>
    <row r="18" spans="1:13" ht="12.75">
      <c r="A18" s="66">
        <f>+'Commodity Tonnages'!A18</f>
        <v>44681</v>
      </c>
      <c r="B18" s="67"/>
      <c r="C18" s="72">
        <f>HLOOKUP($A18,Multi_Family!$C$6:$N$79,C$5,FALSE)</f>
        <v>1816.8400000000001</v>
      </c>
      <c r="D18" s="76">
        <f>HLOOKUP($A18,Multi_Family!$C$6:$N$79,D$5,FALSE)</f>
        <v>-55.61</v>
      </c>
      <c r="E18" s="76">
        <f>HLOOKUP($A18,Multi_Family!$C$6:$N$79,E$5,FALSE)</f>
        <v>0</v>
      </c>
      <c r="F18" s="72">
        <f>HLOOKUP($A18,Multi_Family!$C$6:$N$79,F$5,FALSE)</f>
        <v>158.15200000000002</v>
      </c>
      <c r="G18" s="72">
        <f>HLOOKUP($A18,Multi_Family!$C$6:$N$79,G$5,FALSE)</f>
        <v>185.48000000000002</v>
      </c>
      <c r="H18" s="72">
        <f>HLOOKUP($A18,Multi_Family!$C$6:$N$79,H$5,FALSE)</f>
        <v>-7.91</v>
      </c>
      <c r="I18" s="72">
        <f>HLOOKUP($A18,Multi_Family!$C$6:$N$79,I$5,FALSE)</f>
        <v>324.9494634146342</v>
      </c>
      <c r="J18" s="72">
        <f>HLOOKUP($A18,Multi_Family!$C$6:$N$79,J$5,FALSE)</f>
        <v>324.9494634146342</v>
      </c>
      <c r="K18" s="72">
        <f>HLOOKUP($A18,Multi_Family!$C$6:$N$79,K$5,FALSE)</f>
        <v>105.84000000000002</v>
      </c>
      <c r="L18" s="76">
        <f>HLOOKUP($A18,Multi_Family!$C$6:$N$79,L$5,FALSE)</f>
        <v>-167.08</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30</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AD102"/>
  <sheetViews>
    <sheetView zoomScalePageLayoutView="0" workbookViewId="0" topLeftCell="A1">
      <pane xSplit="2" ySplit="6" topLeftCell="C7" activePane="bottomRight" state="frozen"/>
      <selection pane="topLeft" activeCell="L58" sqref="L58:L61"/>
      <selection pane="topRight" activeCell="L58" sqref="L58:L61"/>
      <selection pane="bottomLeft" activeCell="L58" sqref="L58:L61"/>
      <selection pane="bottomRight" activeCell="A1" sqref="A1"/>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44" t="s">
        <v>81</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0">
        <v>44347</v>
      </c>
      <c r="D6" s="86">
        <f aca="true" t="shared" si="0" ref="D6:N6">EOMONTH(C6,1)</f>
        <v>44377</v>
      </c>
      <c r="E6" s="86">
        <f t="shared" si="0"/>
        <v>44408</v>
      </c>
      <c r="F6" s="86">
        <f t="shared" si="0"/>
        <v>44439</v>
      </c>
      <c r="G6" s="86">
        <f t="shared" si="0"/>
        <v>44469</v>
      </c>
      <c r="H6" s="86">
        <f t="shared" si="0"/>
        <v>44500</v>
      </c>
      <c r="I6" s="86">
        <f t="shared" si="0"/>
        <v>44530</v>
      </c>
      <c r="J6" s="86">
        <f t="shared" si="0"/>
        <v>44561</v>
      </c>
      <c r="K6" s="86">
        <f t="shared" si="0"/>
        <v>44592</v>
      </c>
      <c r="L6" s="86">
        <f t="shared" si="0"/>
        <v>44620</v>
      </c>
      <c r="M6" s="86">
        <f t="shared" si="0"/>
        <v>44651</v>
      </c>
      <c r="N6" s="86">
        <f t="shared" si="0"/>
        <v>44681</v>
      </c>
    </row>
    <row r="7" spans="1:30" s="68" customFormat="1" ht="11.25">
      <c r="A7" s="87" t="s">
        <v>44</v>
      </c>
      <c r="C7" s="121">
        <v>5.4399999999999995</v>
      </c>
      <c r="D7" s="121">
        <v>5.67</v>
      </c>
      <c r="E7" s="121">
        <v>5.21</v>
      </c>
      <c r="F7" s="121">
        <v>6.319999999999999</v>
      </c>
      <c r="G7" s="121">
        <v>5.9</v>
      </c>
      <c r="H7" s="121">
        <v>7.16</v>
      </c>
      <c r="I7" s="121">
        <v>7.130000000000001</v>
      </c>
      <c r="J7" s="121">
        <v>6.3100000000000005</v>
      </c>
      <c r="K7" s="121">
        <v>6.86</v>
      </c>
      <c r="L7" s="121">
        <v>5.8</v>
      </c>
      <c r="M7" s="121">
        <v>7.12</v>
      </c>
      <c r="N7" s="121">
        <v>5.66</v>
      </c>
      <c r="T7" s="67"/>
      <c r="U7" s="67"/>
      <c r="V7" s="67"/>
      <c r="W7" s="67"/>
      <c r="X7" s="67"/>
      <c r="Y7" s="91"/>
      <c r="Z7" s="91"/>
      <c r="AA7" s="91"/>
      <c r="AB7" s="91"/>
      <c r="AC7" s="91"/>
      <c r="AD7" s="91"/>
    </row>
    <row r="8" spans="1:14" ht="11.25">
      <c r="A8" s="67" t="s">
        <v>45</v>
      </c>
      <c r="C8" s="88">
        <v>0</v>
      </c>
      <c r="D8" s="88">
        <v>0</v>
      </c>
      <c r="E8" s="88">
        <v>0</v>
      </c>
      <c r="F8" s="88">
        <v>0</v>
      </c>
      <c r="G8" s="88">
        <v>0</v>
      </c>
      <c r="H8" s="88">
        <v>0</v>
      </c>
      <c r="I8" s="88">
        <v>0</v>
      </c>
      <c r="J8" s="88">
        <v>0</v>
      </c>
      <c r="K8" s="88">
        <v>0</v>
      </c>
      <c r="L8" s="88">
        <v>0</v>
      </c>
      <c r="M8" s="88">
        <v>0</v>
      </c>
      <c r="N8" s="88">
        <v>0</v>
      </c>
    </row>
    <row r="9" spans="1:14" ht="11.25">
      <c r="A9" s="67"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47</v>
      </c>
      <c r="C10" s="90">
        <f aca="true" t="shared" si="2" ref="C10:N10">+C7-C9</f>
        <v>5.4399999999999995</v>
      </c>
      <c r="D10" s="90">
        <f t="shared" si="2"/>
        <v>5.67</v>
      </c>
      <c r="E10" s="90">
        <f t="shared" si="2"/>
        <v>5.21</v>
      </c>
      <c r="F10" s="90">
        <f t="shared" si="2"/>
        <v>6.319999999999999</v>
      </c>
      <c r="G10" s="90">
        <f t="shared" si="2"/>
        <v>5.9</v>
      </c>
      <c r="H10" s="90">
        <f t="shared" si="2"/>
        <v>7.16</v>
      </c>
      <c r="I10" s="90">
        <f t="shared" si="2"/>
        <v>7.130000000000001</v>
      </c>
      <c r="J10" s="90">
        <f t="shared" si="2"/>
        <v>6.3100000000000005</v>
      </c>
      <c r="K10" s="90">
        <f t="shared" si="2"/>
        <v>6.86</v>
      </c>
      <c r="L10" s="90">
        <f t="shared" si="2"/>
        <v>5.8</v>
      </c>
      <c r="M10" s="90">
        <f t="shared" si="2"/>
        <v>7.12</v>
      </c>
      <c r="N10" s="90">
        <f t="shared" si="2"/>
        <v>5.66</v>
      </c>
    </row>
    <row r="11" ht="11.25"/>
    <row r="12" ht="11.25">
      <c r="A12" s="82" t="s">
        <v>48</v>
      </c>
    </row>
    <row r="13" spans="2:14" s="91" customFormat="1" ht="11.25">
      <c r="B13" s="91" t="s">
        <v>23</v>
      </c>
      <c r="C13" s="122">
        <v>0</v>
      </c>
      <c r="D13" s="122">
        <f>+C13</f>
        <v>0</v>
      </c>
      <c r="E13" s="122">
        <v>0</v>
      </c>
      <c r="F13" s="122">
        <f aca="true" t="shared" si="3" ref="F13:M13">+E13</f>
        <v>0</v>
      </c>
      <c r="G13" s="122">
        <f t="shared" si="3"/>
        <v>0</v>
      </c>
      <c r="H13" s="122">
        <f t="shared" si="3"/>
        <v>0</v>
      </c>
      <c r="I13" s="122">
        <f t="shared" si="3"/>
        <v>0</v>
      </c>
      <c r="J13" s="122">
        <f t="shared" si="3"/>
        <v>0</v>
      </c>
      <c r="K13" s="122">
        <v>0</v>
      </c>
      <c r="L13" s="122">
        <f t="shared" si="3"/>
        <v>0</v>
      </c>
      <c r="M13" s="122">
        <f t="shared" si="3"/>
        <v>0</v>
      </c>
      <c r="N13" s="122">
        <v>0</v>
      </c>
    </row>
    <row r="14" spans="2:14" s="91" customFormat="1" ht="11.25">
      <c r="B14" s="91" t="s">
        <v>27</v>
      </c>
      <c r="C14" s="122">
        <v>0.2453</v>
      </c>
      <c r="D14" s="122">
        <f aca="true" t="shared" si="4" ref="D14:N23">+C14</f>
        <v>0.2453</v>
      </c>
      <c r="E14" s="122">
        <v>0.2529</v>
      </c>
      <c r="F14" s="122">
        <f t="shared" si="4"/>
        <v>0.2529</v>
      </c>
      <c r="G14" s="122">
        <f t="shared" si="4"/>
        <v>0.2529</v>
      </c>
      <c r="H14" s="122">
        <f t="shared" si="4"/>
        <v>0.2529</v>
      </c>
      <c r="I14" s="122">
        <f t="shared" si="4"/>
        <v>0.2529</v>
      </c>
      <c r="J14" s="122">
        <f t="shared" si="4"/>
        <v>0.2529</v>
      </c>
      <c r="K14" s="122">
        <v>0.261</v>
      </c>
      <c r="L14" s="122">
        <f t="shared" si="4"/>
        <v>0.261</v>
      </c>
      <c r="M14" s="122">
        <f t="shared" si="4"/>
        <v>0.261</v>
      </c>
      <c r="N14" s="122">
        <f t="shared" si="4"/>
        <v>0.261</v>
      </c>
    </row>
    <row r="15" spans="2:14" s="91" customFormat="1" ht="11.25">
      <c r="B15" s="91" t="s">
        <v>49</v>
      </c>
      <c r="C15" s="122">
        <v>0</v>
      </c>
      <c r="D15" s="122">
        <f t="shared" si="4"/>
        <v>0</v>
      </c>
      <c r="E15" s="122">
        <v>0</v>
      </c>
      <c r="F15" s="122">
        <f t="shared" si="4"/>
        <v>0</v>
      </c>
      <c r="G15" s="122">
        <f t="shared" si="4"/>
        <v>0</v>
      </c>
      <c r="H15" s="122">
        <f t="shared" si="4"/>
        <v>0</v>
      </c>
      <c r="I15" s="122">
        <f t="shared" si="4"/>
        <v>0</v>
      </c>
      <c r="J15" s="122">
        <f t="shared" si="4"/>
        <v>0</v>
      </c>
      <c r="K15" s="122">
        <v>0</v>
      </c>
      <c r="L15" s="122">
        <f t="shared" si="4"/>
        <v>0</v>
      </c>
      <c r="M15" s="122">
        <f t="shared" si="4"/>
        <v>0</v>
      </c>
      <c r="N15" s="122">
        <f t="shared" si="4"/>
        <v>0</v>
      </c>
    </row>
    <row r="16" spans="2:14" s="91" customFormat="1" ht="11.25">
      <c r="B16" s="91" t="s">
        <v>50</v>
      </c>
      <c r="C16" s="122">
        <v>0.0141</v>
      </c>
      <c r="D16" s="122">
        <f t="shared" si="4"/>
        <v>0.0141</v>
      </c>
      <c r="E16" s="122">
        <v>0.0152</v>
      </c>
      <c r="F16" s="122">
        <f t="shared" si="4"/>
        <v>0.0152</v>
      </c>
      <c r="G16" s="122">
        <f t="shared" si="4"/>
        <v>0.0152</v>
      </c>
      <c r="H16" s="122">
        <f t="shared" si="4"/>
        <v>0.0152</v>
      </c>
      <c r="I16" s="122">
        <f t="shared" si="4"/>
        <v>0.0152</v>
      </c>
      <c r="J16" s="122">
        <f t="shared" si="4"/>
        <v>0.0152</v>
      </c>
      <c r="K16" s="122">
        <v>0.0147</v>
      </c>
      <c r="L16" s="122">
        <f t="shared" si="4"/>
        <v>0.0147</v>
      </c>
      <c r="M16" s="122">
        <f t="shared" si="4"/>
        <v>0.0147</v>
      </c>
      <c r="N16" s="122">
        <f t="shared" si="4"/>
        <v>0.0147</v>
      </c>
    </row>
    <row r="17" spans="2:14" s="91" customFormat="1" ht="11.25">
      <c r="B17" s="91" t="s">
        <v>51</v>
      </c>
      <c r="C17" s="122">
        <v>0.0358</v>
      </c>
      <c r="D17" s="122">
        <f t="shared" si="4"/>
        <v>0.0358</v>
      </c>
      <c r="E17" s="122">
        <v>0.0455</v>
      </c>
      <c r="F17" s="122">
        <f t="shared" si="4"/>
        <v>0.0455</v>
      </c>
      <c r="G17" s="122">
        <f t="shared" si="4"/>
        <v>0.0455</v>
      </c>
      <c r="H17" s="122">
        <f t="shared" si="4"/>
        <v>0.0455</v>
      </c>
      <c r="I17" s="122">
        <f t="shared" si="4"/>
        <v>0.0455</v>
      </c>
      <c r="J17" s="122">
        <f t="shared" si="4"/>
        <v>0.0455</v>
      </c>
      <c r="K17" s="122">
        <v>0.0492</v>
      </c>
      <c r="L17" s="122">
        <f t="shared" si="4"/>
        <v>0.0492</v>
      </c>
      <c r="M17" s="122">
        <f t="shared" si="4"/>
        <v>0.0492</v>
      </c>
      <c r="N17" s="122">
        <f t="shared" si="4"/>
        <v>0.0492</v>
      </c>
    </row>
    <row r="18" spans="2:14" s="91" customFormat="1" ht="11.25">
      <c r="B18" s="91" t="s">
        <v>52</v>
      </c>
      <c r="C18" s="122">
        <v>0.0163</v>
      </c>
      <c r="D18" s="122">
        <f t="shared" si="4"/>
        <v>0.0163</v>
      </c>
      <c r="E18" s="122">
        <v>0.0176</v>
      </c>
      <c r="F18" s="122">
        <f t="shared" si="4"/>
        <v>0.0176</v>
      </c>
      <c r="G18" s="122">
        <f t="shared" si="4"/>
        <v>0.0176</v>
      </c>
      <c r="H18" s="122">
        <f t="shared" si="4"/>
        <v>0.0176</v>
      </c>
      <c r="I18" s="122">
        <f t="shared" si="4"/>
        <v>0.0176</v>
      </c>
      <c r="J18" s="122">
        <f t="shared" si="4"/>
        <v>0.0176</v>
      </c>
      <c r="K18" s="122">
        <v>0.0178</v>
      </c>
      <c r="L18" s="122">
        <f t="shared" si="4"/>
        <v>0.0178</v>
      </c>
      <c r="M18" s="122">
        <f t="shared" si="4"/>
        <v>0.0178</v>
      </c>
      <c r="N18" s="122">
        <f t="shared" si="4"/>
        <v>0.0178</v>
      </c>
    </row>
    <row r="19" spans="2:14" s="91" customFormat="1" ht="11.25">
      <c r="B19" s="67" t="s">
        <v>53</v>
      </c>
      <c r="C19" s="122">
        <v>0.0021</v>
      </c>
      <c r="D19" s="122">
        <f t="shared" si="4"/>
        <v>0.0021</v>
      </c>
      <c r="E19" s="122">
        <v>0.0021</v>
      </c>
      <c r="F19" s="122">
        <f t="shared" si="4"/>
        <v>0.0021</v>
      </c>
      <c r="G19" s="122">
        <f t="shared" si="4"/>
        <v>0.0021</v>
      </c>
      <c r="H19" s="122">
        <f t="shared" si="4"/>
        <v>0.0021</v>
      </c>
      <c r="I19" s="122">
        <f t="shared" si="4"/>
        <v>0.0021</v>
      </c>
      <c r="J19" s="122">
        <f t="shared" si="4"/>
        <v>0.0021</v>
      </c>
      <c r="K19" s="122">
        <v>0.0019</v>
      </c>
      <c r="L19" s="122">
        <f t="shared" si="4"/>
        <v>0.0019</v>
      </c>
      <c r="M19" s="122">
        <f t="shared" si="4"/>
        <v>0.0019</v>
      </c>
      <c r="N19" s="122">
        <f t="shared" si="4"/>
        <v>0.0019</v>
      </c>
    </row>
    <row r="20" spans="2:14" s="91" customFormat="1" ht="11.25">
      <c r="B20" s="67" t="s">
        <v>22</v>
      </c>
      <c r="C20" s="122">
        <v>0.124</v>
      </c>
      <c r="D20" s="122">
        <f t="shared" si="4"/>
        <v>0.124</v>
      </c>
      <c r="E20" s="122">
        <v>0.1671</v>
      </c>
      <c r="F20" s="122">
        <f t="shared" si="4"/>
        <v>0.1671</v>
      </c>
      <c r="G20" s="122">
        <f t="shared" si="4"/>
        <v>0.1671</v>
      </c>
      <c r="H20" s="122">
        <f t="shared" si="4"/>
        <v>0.1671</v>
      </c>
      <c r="I20" s="122">
        <f t="shared" si="4"/>
        <v>0.1671</v>
      </c>
      <c r="J20" s="122">
        <f t="shared" si="4"/>
        <v>0.1671</v>
      </c>
      <c r="K20" s="122">
        <v>0.1775</v>
      </c>
      <c r="L20" s="122">
        <f t="shared" si="4"/>
        <v>0.1775</v>
      </c>
      <c r="M20" s="122">
        <f t="shared" si="4"/>
        <v>0.1775</v>
      </c>
      <c r="N20" s="122">
        <f t="shared" si="4"/>
        <v>0.1775</v>
      </c>
    </row>
    <row r="21" spans="2:14" s="91" customFormat="1" ht="11.25">
      <c r="B21" s="91" t="s">
        <v>84</v>
      </c>
      <c r="C21" s="122">
        <v>0</v>
      </c>
      <c r="D21" s="122">
        <f t="shared" si="4"/>
        <v>0</v>
      </c>
      <c r="E21" s="122">
        <v>0</v>
      </c>
      <c r="F21" s="122">
        <f t="shared" si="4"/>
        <v>0</v>
      </c>
      <c r="G21" s="122">
        <f t="shared" si="4"/>
        <v>0</v>
      </c>
      <c r="H21" s="122">
        <f t="shared" si="4"/>
        <v>0</v>
      </c>
      <c r="I21" s="122">
        <f t="shared" si="4"/>
        <v>0</v>
      </c>
      <c r="J21" s="122">
        <f t="shared" si="4"/>
        <v>0</v>
      </c>
      <c r="K21" s="122">
        <v>0</v>
      </c>
      <c r="L21" s="122">
        <f t="shared" si="4"/>
        <v>0</v>
      </c>
      <c r="M21" s="122">
        <f t="shared" si="4"/>
        <v>0</v>
      </c>
      <c r="N21" s="122">
        <f t="shared" si="4"/>
        <v>0</v>
      </c>
    </row>
    <row r="22" spans="2:14" s="91" customFormat="1" ht="11.25">
      <c r="B22" s="91" t="s">
        <v>54</v>
      </c>
      <c r="C22" s="122">
        <v>0.2395</v>
      </c>
      <c r="D22" s="122">
        <f t="shared" si="4"/>
        <v>0.2395</v>
      </c>
      <c r="E22" s="122">
        <v>0.1505</v>
      </c>
      <c r="F22" s="122">
        <f t="shared" si="4"/>
        <v>0.1505</v>
      </c>
      <c r="G22" s="122">
        <f t="shared" si="4"/>
        <v>0.1505</v>
      </c>
      <c r="H22" s="122">
        <f t="shared" si="4"/>
        <v>0.1505</v>
      </c>
      <c r="I22" s="122">
        <f t="shared" si="4"/>
        <v>0.1505</v>
      </c>
      <c r="J22" s="122">
        <f t="shared" si="4"/>
        <v>0.1505</v>
      </c>
      <c r="K22" s="122">
        <v>0.1469</v>
      </c>
      <c r="L22" s="122">
        <f t="shared" si="4"/>
        <v>0.1469</v>
      </c>
      <c r="M22" s="122">
        <f t="shared" si="4"/>
        <v>0.1469</v>
      </c>
      <c r="N22" s="122">
        <f t="shared" si="4"/>
        <v>0.1469</v>
      </c>
    </row>
    <row r="23" spans="2:14" s="91" customFormat="1" ht="11.25">
      <c r="B23" s="91" t="s">
        <v>55</v>
      </c>
      <c r="C23" s="123">
        <v>0.3229</v>
      </c>
      <c r="D23" s="122">
        <f t="shared" si="4"/>
        <v>0.3229</v>
      </c>
      <c r="E23" s="122">
        <v>0.3491</v>
      </c>
      <c r="F23" s="122">
        <f t="shared" si="4"/>
        <v>0.3491</v>
      </c>
      <c r="G23" s="122">
        <f t="shared" si="4"/>
        <v>0.3491</v>
      </c>
      <c r="H23" s="122">
        <f t="shared" si="4"/>
        <v>0.3491</v>
      </c>
      <c r="I23" s="122">
        <f t="shared" si="4"/>
        <v>0.3491</v>
      </c>
      <c r="J23" s="122">
        <f t="shared" si="4"/>
        <v>0.3491</v>
      </c>
      <c r="K23" s="122">
        <v>0.331</v>
      </c>
      <c r="L23" s="122">
        <f t="shared" si="4"/>
        <v>0.331</v>
      </c>
      <c r="M23" s="122">
        <f t="shared" si="4"/>
        <v>0.331</v>
      </c>
      <c r="N23" s="122">
        <f t="shared" si="4"/>
        <v>0.331</v>
      </c>
    </row>
    <row r="24" spans="3:14" ht="11.25">
      <c r="C24" s="92">
        <v>1</v>
      </c>
      <c r="D24" s="92">
        <v>1</v>
      </c>
      <c r="E24" s="92">
        <v>1</v>
      </c>
      <c r="F24" s="92">
        <v>1</v>
      </c>
      <c r="G24" s="92">
        <v>1</v>
      </c>
      <c r="H24" s="92">
        <v>1</v>
      </c>
      <c r="I24" s="92">
        <v>1</v>
      </c>
      <c r="J24" s="92">
        <v>1</v>
      </c>
      <c r="K24" s="92">
        <v>1</v>
      </c>
      <c r="L24" s="92">
        <v>1</v>
      </c>
      <c r="M24" s="92">
        <v>1</v>
      </c>
      <c r="N24" s="92">
        <v>1</v>
      </c>
    </row>
    <row r="26" ht="11.25">
      <c r="A26" s="82" t="s">
        <v>56</v>
      </c>
    </row>
    <row r="27" spans="2:14" ht="11.25">
      <c r="B27" s="67" t="s">
        <v>23</v>
      </c>
      <c r="C27" s="77">
        <f>+C$10*C13</f>
        <v>0</v>
      </c>
      <c r="D27" s="77">
        <f aca="true" t="shared" si="5" ref="D27:N27">+D$10*D13</f>
        <v>0</v>
      </c>
      <c r="E27" s="77">
        <f t="shared" si="5"/>
        <v>0</v>
      </c>
      <c r="F27" s="77">
        <f t="shared" si="5"/>
        <v>0</v>
      </c>
      <c r="G27" s="77">
        <f t="shared" si="5"/>
        <v>0</v>
      </c>
      <c r="H27" s="77">
        <f t="shared" si="5"/>
        <v>0</v>
      </c>
      <c r="I27" s="77">
        <f t="shared" si="5"/>
        <v>0</v>
      </c>
      <c r="J27" s="77">
        <f t="shared" si="5"/>
        <v>0</v>
      </c>
      <c r="K27" s="77">
        <f t="shared" si="5"/>
        <v>0</v>
      </c>
      <c r="L27" s="77">
        <f t="shared" si="5"/>
        <v>0</v>
      </c>
      <c r="M27" s="77">
        <f t="shared" si="5"/>
        <v>0</v>
      </c>
      <c r="N27" s="77">
        <f t="shared" si="5"/>
        <v>0</v>
      </c>
    </row>
    <row r="28" spans="2:14" ht="11.25">
      <c r="B28" s="67" t="s">
        <v>27</v>
      </c>
      <c r="C28" s="77">
        <f aca="true" t="shared" si="6" ref="C28:N28">+C$10*C14</f>
        <v>1.3344319999999998</v>
      </c>
      <c r="D28" s="77">
        <f t="shared" si="6"/>
        <v>1.3908509999999998</v>
      </c>
      <c r="E28" s="77">
        <f t="shared" si="6"/>
        <v>1.317609</v>
      </c>
      <c r="F28" s="77">
        <f t="shared" si="6"/>
        <v>1.598328</v>
      </c>
      <c r="G28" s="77">
        <f t="shared" si="6"/>
        <v>1.4921100000000003</v>
      </c>
      <c r="H28" s="77">
        <f t="shared" si="6"/>
        <v>1.810764</v>
      </c>
      <c r="I28" s="77">
        <f t="shared" si="6"/>
        <v>1.8031770000000003</v>
      </c>
      <c r="J28" s="77">
        <f t="shared" si="6"/>
        <v>1.5957990000000002</v>
      </c>
      <c r="K28" s="77">
        <f t="shared" si="6"/>
        <v>1.7904600000000002</v>
      </c>
      <c r="L28" s="77">
        <f t="shared" si="6"/>
        <v>1.5138</v>
      </c>
      <c r="M28" s="77">
        <f t="shared" si="6"/>
        <v>1.8583200000000002</v>
      </c>
      <c r="N28" s="77">
        <f t="shared" si="6"/>
        <v>1.47726</v>
      </c>
    </row>
    <row r="29" spans="2:14" ht="11.25">
      <c r="B29" s="67" t="s">
        <v>49</v>
      </c>
      <c r="C29" s="77">
        <f aca="true" t="shared" si="7" ref="C29:N29">+C$10*C15</f>
        <v>0</v>
      </c>
      <c r="D29" s="77">
        <f t="shared" si="7"/>
        <v>0</v>
      </c>
      <c r="E29" s="77">
        <f t="shared" si="7"/>
        <v>0</v>
      </c>
      <c r="F29" s="77">
        <f t="shared" si="7"/>
        <v>0</v>
      </c>
      <c r="G29" s="77">
        <f t="shared" si="7"/>
        <v>0</v>
      </c>
      <c r="H29" s="77">
        <f t="shared" si="7"/>
        <v>0</v>
      </c>
      <c r="I29" s="77">
        <f t="shared" si="7"/>
        <v>0</v>
      </c>
      <c r="J29" s="77">
        <f t="shared" si="7"/>
        <v>0</v>
      </c>
      <c r="K29" s="77">
        <f t="shared" si="7"/>
        <v>0</v>
      </c>
      <c r="L29" s="77">
        <f t="shared" si="7"/>
        <v>0</v>
      </c>
      <c r="M29" s="77">
        <f t="shared" si="7"/>
        <v>0</v>
      </c>
      <c r="N29" s="77">
        <f t="shared" si="7"/>
        <v>0</v>
      </c>
    </row>
    <row r="30" spans="2:14" ht="11.25">
      <c r="B30" s="67" t="s">
        <v>50</v>
      </c>
      <c r="C30" s="77">
        <f aca="true" t="shared" si="8" ref="C30:N30">+C$10*C16</f>
        <v>0.076704</v>
      </c>
      <c r="D30" s="77">
        <f t="shared" si="8"/>
        <v>0.07994699999999999</v>
      </c>
      <c r="E30" s="77">
        <f t="shared" si="8"/>
        <v>0.079192</v>
      </c>
      <c r="F30" s="77">
        <f t="shared" si="8"/>
        <v>0.096064</v>
      </c>
      <c r="G30" s="77">
        <f t="shared" si="8"/>
        <v>0.08968000000000001</v>
      </c>
      <c r="H30" s="77">
        <f t="shared" si="8"/>
        <v>0.108832</v>
      </c>
      <c r="I30" s="77">
        <f t="shared" si="8"/>
        <v>0.10837600000000001</v>
      </c>
      <c r="J30" s="77">
        <f t="shared" si="8"/>
        <v>0.09591200000000001</v>
      </c>
      <c r="K30" s="77">
        <f t="shared" si="8"/>
        <v>0.100842</v>
      </c>
      <c r="L30" s="77">
        <f t="shared" si="8"/>
        <v>0.08525999999999999</v>
      </c>
      <c r="M30" s="77">
        <f t="shared" si="8"/>
        <v>0.104664</v>
      </c>
      <c r="N30" s="77">
        <f t="shared" si="8"/>
        <v>0.083202</v>
      </c>
    </row>
    <row r="31" spans="2:14" ht="11.25">
      <c r="B31" s="67" t="s">
        <v>51</v>
      </c>
      <c r="C31" s="77">
        <f aca="true" t="shared" si="9" ref="C31:N31">+C$10*C17</f>
        <v>0.19475199999999998</v>
      </c>
      <c r="D31" s="77">
        <f t="shared" si="9"/>
        <v>0.202986</v>
      </c>
      <c r="E31" s="77">
        <f t="shared" si="9"/>
        <v>0.237055</v>
      </c>
      <c r="F31" s="77">
        <f t="shared" si="9"/>
        <v>0.28756</v>
      </c>
      <c r="G31" s="77">
        <f t="shared" si="9"/>
        <v>0.26845</v>
      </c>
      <c r="H31" s="77">
        <f t="shared" si="9"/>
        <v>0.32578</v>
      </c>
      <c r="I31" s="77">
        <f t="shared" si="9"/>
        <v>0.324415</v>
      </c>
      <c r="J31" s="77">
        <f t="shared" si="9"/>
        <v>0.287105</v>
      </c>
      <c r="K31" s="77">
        <f t="shared" si="9"/>
        <v>0.33751200000000003</v>
      </c>
      <c r="L31" s="77">
        <f t="shared" si="9"/>
        <v>0.28536</v>
      </c>
      <c r="M31" s="77">
        <f t="shared" si="9"/>
        <v>0.350304</v>
      </c>
      <c r="N31" s="77">
        <f t="shared" si="9"/>
        <v>0.278472</v>
      </c>
    </row>
    <row r="32" spans="2:14" ht="11.25">
      <c r="B32" s="67" t="s">
        <v>52</v>
      </c>
      <c r="C32" s="77">
        <f aca="true" t="shared" si="10" ref="C32:N32">+C$10*C18</f>
        <v>0.08867199999999999</v>
      </c>
      <c r="D32" s="77">
        <f t="shared" si="10"/>
        <v>0.09242099999999999</v>
      </c>
      <c r="E32" s="77">
        <f t="shared" si="10"/>
        <v>0.091696</v>
      </c>
      <c r="F32" s="77">
        <f t="shared" si="10"/>
        <v>0.111232</v>
      </c>
      <c r="G32" s="77">
        <f t="shared" si="10"/>
        <v>0.10384000000000002</v>
      </c>
      <c r="H32" s="77">
        <f t="shared" si="10"/>
        <v>0.12601600000000002</v>
      </c>
      <c r="I32" s="77">
        <f t="shared" si="10"/>
        <v>0.12548800000000002</v>
      </c>
      <c r="J32" s="77">
        <f t="shared" si="10"/>
        <v>0.11105600000000002</v>
      </c>
      <c r="K32" s="77">
        <f t="shared" si="10"/>
        <v>0.12210800000000001</v>
      </c>
      <c r="L32" s="77">
        <f t="shared" si="10"/>
        <v>0.10324</v>
      </c>
      <c r="M32" s="77">
        <f t="shared" si="10"/>
        <v>0.126736</v>
      </c>
      <c r="N32" s="77">
        <f t="shared" si="10"/>
        <v>0.100748</v>
      </c>
    </row>
    <row r="33" spans="2:14" ht="11.25">
      <c r="B33" s="67" t="s">
        <v>53</v>
      </c>
      <c r="C33" s="77">
        <f aca="true" t="shared" si="11" ref="C33:N33">+C$10*C19</f>
        <v>0.011423999999999998</v>
      </c>
      <c r="D33" s="77">
        <f t="shared" si="11"/>
        <v>0.011907</v>
      </c>
      <c r="E33" s="77">
        <f t="shared" si="11"/>
        <v>0.010941</v>
      </c>
      <c r="F33" s="77">
        <f t="shared" si="11"/>
        <v>0.013271999999999997</v>
      </c>
      <c r="G33" s="77">
        <f t="shared" si="11"/>
        <v>0.01239</v>
      </c>
      <c r="H33" s="77">
        <f t="shared" si="11"/>
        <v>0.015035999999999999</v>
      </c>
      <c r="I33" s="77">
        <f t="shared" si="11"/>
        <v>0.014973</v>
      </c>
      <c r="J33" s="77">
        <f t="shared" si="11"/>
        <v>0.013251</v>
      </c>
      <c r="K33" s="77">
        <f t="shared" si="11"/>
        <v>0.013034</v>
      </c>
      <c r="L33" s="77">
        <f t="shared" si="11"/>
        <v>0.01102</v>
      </c>
      <c r="M33" s="77">
        <f t="shared" si="11"/>
        <v>0.013528</v>
      </c>
      <c r="N33" s="77">
        <f t="shared" si="11"/>
        <v>0.010754</v>
      </c>
    </row>
    <row r="34" spans="2:14" ht="11.25">
      <c r="B34" s="67" t="s">
        <v>22</v>
      </c>
      <c r="C34" s="77">
        <f aca="true" t="shared" si="12" ref="C34:N34">+C$10*C20</f>
        <v>0.6745599999999999</v>
      </c>
      <c r="D34" s="77">
        <f t="shared" si="12"/>
        <v>0.70308</v>
      </c>
      <c r="E34" s="77">
        <f t="shared" si="12"/>
        <v>0.870591</v>
      </c>
      <c r="F34" s="77">
        <f t="shared" si="12"/>
        <v>1.056072</v>
      </c>
      <c r="G34" s="77">
        <f t="shared" si="12"/>
        <v>0.98589</v>
      </c>
      <c r="H34" s="77">
        <f t="shared" si="12"/>
        <v>1.196436</v>
      </c>
      <c r="I34" s="77">
        <f t="shared" si="12"/>
        <v>1.1914230000000001</v>
      </c>
      <c r="J34" s="77">
        <f t="shared" si="12"/>
        <v>1.0544010000000001</v>
      </c>
      <c r="K34" s="77">
        <f t="shared" si="12"/>
        <v>1.21765</v>
      </c>
      <c r="L34" s="77">
        <f t="shared" si="12"/>
        <v>1.0294999999999999</v>
      </c>
      <c r="M34" s="77">
        <f t="shared" si="12"/>
        <v>1.2638</v>
      </c>
      <c r="N34" s="77">
        <f t="shared" si="12"/>
        <v>1.00465</v>
      </c>
    </row>
    <row r="35" spans="2:14" ht="11.25">
      <c r="B35" s="91" t="s">
        <v>84</v>
      </c>
      <c r="C35" s="77">
        <f aca="true" t="shared" si="13" ref="C35:N35">+C$10*C21</f>
        <v>0</v>
      </c>
      <c r="D35" s="77">
        <f t="shared" si="13"/>
        <v>0</v>
      </c>
      <c r="E35" s="77">
        <f t="shared" si="13"/>
        <v>0</v>
      </c>
      <c r="F35" s="77">
        <f t="shared" si="13"/>
        <v>0</v>
      </c>
      <c r="G35" s="77">
        <f t="shared" si="13"/>
        <v>0</v>
      </c>
      <c r="H35" s="77">
        <f t="shared" si="13"/>
        <v>0</v>
      </c>
      <c r="I35" s="77">
        <f t="shared" si="13"/>
        <v>0</v>
      </c>
      <c r="J35" s="77">
        <f t="shared" si="13"/>
        <v>0</v>
      </c>
      <c r="K35" s="77">
        <f t="shared" si="13"/>
        <v>0</v>
      </c>
      <c r="L35" s="77">
        <f t="shared" si="13"/>
        <v>0</v>
      </c>
      <c r="M35" s="77">
        <f t="shared" si="13"/>
        <v>0</v>
      </c>
      <c r="N35" s="77">
        <f t="shared" si="13"/>
        <v>0</v>
      </c>
    </row>
    <row r="36" spans="2:14" ht="11.25">
      <c r="B36" s="67" t="s">
        <v>54</v>
      </c>
      <c r="C36" s="77">
        <f aca="true" t="shared" si="14" ref="C36:N36">+C$10*C22</f>
        <v>1.3028799999999998</v>
      </c>
      <c r="D36" s="77">
        <f t="shared" si="14"/>
        <v>1.3579649999999999</v>
      </c>
      <c r="E36" s="77">
        <f t="shared" si="14"/>
        <v>0.7841049999999999</v>
      </c>
      <c r="F36" s="77">
        <f t="shared" si="14"/>
        <v>0.9511599999999999</v>
      </c>
      <c r="G36" s="77">
        <f t="shared" si="14"/>
        <v>0.88795</v>
      </c>
      <c r="H36" s="77">
        <f t="shared" si="14"/>
        <v>1.07758</v>
      </c>
      <c r="I36" s="77">
        <f t="shared" si="14"/>
        <v>1.0730650000000002</v>
      </c>
      <c r="J36" s="77">
        <f t="shared" si="14"/>
        <v>0.949655</v>
      </c>
      <c r="K36" s="77">
        <f t="shared" si="14"/>
        <v>1.0077340000000001</v>
      </c>
      <c r="L36" s="77">
        <f t="shared" si="14"/>
        <v>0.85202</v>
      </c>
      <c r="M36" s="77">
        <f t="shared" si="14"/>
        <v>1.045928</v>
      </c>
      <c r="N36" s="77">
        <f t="shared" si="14"/>
        <v>0.831454</v>
      </c>
    </row>
    <row r="37" spans="2:14" ht="11.25">
      <c r="B37" s="67" t="s">
        <v>55</v>
      </c>
      <c r="C37" s="89">
        <f aca="true" t="shared" si="15" ref="C37:N37">+C$10*C23</f>
        <v>1.756576</v>
      </c>
      <c r="D37" s="89">
        <f t="shared" si="15"/>
        <v>1.830843</v>
      </c>
      <c r="E37" s="89">
        <f t="shared" si="15"/>
        <v>1.8188110000000002</v>
      </c>
      <c r="F37" s="89">
        <f t="shared" si="15"/>
        <v>2.206312</v>
      </c>
      <c r="G37" s="89">
        <f t="shared" si="15"/>
        <v>2.0596900000000002</v>
      </c>
      <c r="H37" s="89">
        <f t="shared" si="15"/>
        <v>2.499556</v>
      </c>
      <c r="I37" s="89">
        <f t="shared" si="15"/>
        <v>2.4890830000000004</v>
      </c>
      <c r="J37" s="89">
        <f t="shared" si="15"/>
        <v>2.202821</v>
      </c>
      <c r="K37" s="89">
        <f t="shared" si="15"/>
        <v>2.2706600000000003</v>
      </c>
      <c r="L37" s="89">
        <f t="shared" si="15"/>
        <v>1.9198</v>
      </c>
      <c r="M37" s="89">
        <f t="shared" si="15"/>
        <v>2.35672</v>
      </c>
      <c r="N37" s="89">
        <f t="shared" si="15"/>
        <v>1.8734600000000001</v>
      </c>
    </row>
    <row r="38" spans="3:14" ht="11.25">
      <c r="C38" s="77">
        <f>SUM(C27:C37)</f>
        <v>5.4399999999999995</v>
      </c>
      <c r="D38" s="77">
        <f aca="true" t="shared" si="16" ref="D38:N38">SUM(D27:D37)</f>
        <v>5.67</v>
      </c>
      <c r="E38" s="77">
        <f t="shared" si="16"/>
        <v>5.21</v>
      </c>
      <c r="F38" s="77">
        <f t="shared" si="16"/>
        <v>6.32</v>
      </c>
      <c r="G38" s="77">
        <f t="shared" si="16"/>
        <v>5.9</v>
      </c>
      <c r="H38" s="77">
        <f t="shared" si="16"/>
        <v>7.16</v>
      </c>
      <c r="I38" s="77">
        <f t="shared" si="16"/>
        <v>7.130000000000001</v>
      </c>
      <c r="J38" s="77">
        <f t="shared" si="16"/>
        <v>6.3100000000000005</v>
      </c>
      <c r="K38" s="77">
        <f t="shared" si="16"/>
        <v>6.86</v>
      </c>
      <c r="L38" s="77">
        <f t="shared" si="16"/>
        <v>5.8</v>
      </c>
      <c r="M38" s="77">
        <f t="shared" si="16"/>
        <v>7.120000000000001</v>
      </c>
      <c r="N38" s="77">
        <f t="shared" si="16"/>
        <v>5.66</v>
      </c>
    </row>
    <row r="40" ht="11.25">
      <c r="A40" s="82" t="s">
        <v>57</v>
      </c>
    </row>
    <row r="41" spans="2:14" ht="11.25">
      <c r="B41" s="67" t="s">
        <v>23</v>
      </c>
      <c r="C41" s="93">
        <v>1</v>
      </c>
      <c r="D41" s="94">
        <v>1</v>
      </c>
      <c r="E41" s="94">
        <v>1</v>
      </c>
      <c r="F41" s="94">
        <v>1</v>
      </c>
      <c r="G41" s="94">
        <v>1</v>
      </c>
      <c r="H41" s="94">
        <v>1</v>
      </c>
      <c r="I41" s="94">
        <v>1</v>
      </c>
      <c r="J41" s="94">
        <v>1</v>
      </c>
      <c r="K41" s="94">
        <v>1</v>
      </c>
      <c r="L41" s="94">
        <v>1</v>
      </c>
      <c r="M41" s="94">
        <v>1</v>
      </c>
      <c r="N41" s="94">
        <v>1</v>
      </c>
    </row>
    <row r="42" spans="2:14" ht="11.25">
      <c r="B42" s="67" t="s">
        <v>27</v>
      </c>
      <c r="C42" s="93">
        <v>1</v>
      </c>
      <c r="D42" s="94">
        <v>1</v>
      </c>
      <c r="E42" s="94">
        <v>1</v>
      </c>
      <c r="F42" s="94">
        <v>1</v>
      </c>
      <c r="G42" s="94">
        <v>1</v>
      </c>
      <c r="H42" s="94">
        <v>1</v>
      </c>
      <c r="I42" s="94">
        <v>1</v>
      </c>
      <c r="J42" s="94">
        <v>1</v>
      </c>
      <c r="K42" s="94">
        <v>1</v>
      </c>
      <c r="L42" s="94">
        <v>1</v>
      </c>
      <c r="M42" s="94">
        <v>1</v>
      </c>
      <c r="N42" s="94">
        <v>1</v>
      </c>
    </row>
    <row r="43" spans="2:14" ht="11.25">
      <c r="B43" s="67" t="s">
        <v>49</v>
      </c>
      <c r="C43" s="93">
        <v>1</v>
      </c>
      <c r="D43" s="94">
        <v>1</v>
      </c>
      <c r="E43" s="94">
        <v>1</v>
      </c>
      <c r="F43" s="94">
        <v>1</v>
      </c>
      <c r="G43" s="94">
        <v>1</v>
      </c>
      <c r="H43" s="94">
        <v>1</v>
      </c>
      <c r="I43" s="94">
        <v>1</v>
      </c>
      <c r="J43" s="94">
        <v>1</v>
      </c>
      <c r="K43" s="94">
        <v>1</v>
      </c>
      <c r="L43" s="94">
        <v>1</v>
      </c>
      <c r="M43" s="94">
        <v>1</v>
      </c>
      <c r="N43" s="94">
        <v>1</v>
      </c>
    </row>
    <row r="44" spans="2:14" ht="11.25">
      <c r="B44" s="67" t="s">
        <v>50</v>
      </c>
      <c r="C44" s="93">
        <v>1</v>
      </c>
      <c r="D44" s="94">
        <v>1</v>
      </c>
      <c r="E44" s="94">
        <v>1</v>
      </c>
      <c r="F44" s="94">
        <v>1</v>
      </c>
      <c r="G44" s="94">
        <v>1</v>
      </c>
      <c r="H44" s="94">
        <v>1</v>
      </c>
      <c r="I44" s="94">
        <v>1</v>
      </c>
      <c r="J44" s="94">
        <v>1</v>
      </c>
      <c r="K44" s="94">
        <v>1</v>
      </c>
      <c r="L44" s="94">
        <v>1</v>
      </c>
      <c r="M44" s="94">
        <v>1</v>
      </c>
      <c r="N44" s="94">
        <v>1</v>
      </c>
    </row>
    <row r="45" spans="2:14" ht="11.25">
      <c r="B45" s="67" t="s">
        <v>51</v>
      </c>
      <c r="C45" s="93">
        <v>1</v>
      </c>
      <c r="D45" s="94">
        <v>1</v>
      </c>
      <c r="E45" s="94">
        <v>1</v>
      </c>
      <c r="F45" s="94">
        <v>1</v>
      </c>
      <c r="G45" s="94">
        <v>1</v>
      </c>
      <c r="H45" s="94">
        <v>1</v>
      </c>
      <c r="I45" s="94">
        <v>1</v>
      </c>
      <c r="J45" s="94">
        <v>1</v>
      </c>
      <c r="K45" s="94">
        <v>1</v>
      </c>
      <c r="L45" s="94">
        <v>1</v>
      </c>
      <c r="M45" s="94">
        <v>1</v>
      </c>
      <c r="N45" s="94">
        <v>1</v>
      </c>
    </row>
    <row r="46" spans="2:14" ht="11.25">
      <c r="B46" s="67" t="s">
        <v>52</v>
      </c>
      <c r="C46" s="93">
        <v>1</v>
      </c>
      <c r="D46" s="94">
        <v>1</v>
      </c>
      <c r="E46" s="94">
        <v>1</v>
      </c>
      <c r="F46" s="94">
        <v>1</v>
      </c>
      <c r="G46" s="94">
        <v>1</v>
      </c>
      <c r="H46" s="94">
        <v>1</v>
      </c>
      <c r="I46" s="94">
        <v>1</v>
      </c>
      <c r="J46" s="94">
        <v>1</v>
      </c>
      <c r="K46" s="94">
        <v>1</v>
      </c>
      <c r="L46" s="94">
        <v>1</v>
      </c>
      <c r="M46" s="94">
        <v>1</v>
      </c>
      <c r="N46" s="94">
        <v>1</v>
      </c>
    </row>
    <row r="47" spans="2:14" ht="11.25">
      <c r="B47" s="67" t="s">
        <v>53</v>
      </c>
      <c r="C47" s="93">
        <v>1</v>
      </c>
      <c r="D47" s="94">
        <v>1</v>
      </c>
      <c r="E47" s="94">
        <v>1</v>
      </c>
      <c r="F47" s="94">
        <v>1</v>
      </c>
      <c r="G47" s="94">
        <v>1</v>
      </c>
      <c r="H47" s="94">
        <v>1</v>
      </c>
      <c r="I47" s="94">
        <v>1</v>
      </c>
      <c r="J47" s="94">
        <v>1</v>
      </c>
      <c r="K47" s="94">
        <v>1</v>
      </c>
      <c r="L47" s="94">
        <v>1</v>
      </c>
      <c r="M47" s="94">
        <v>1</v>
      </c>
      <c r="N47" s="94">
        <v>1</v>
      </c>
    </row>
    <row r="48" spans="2:14" ht="11.25">
      <c r="B48" s="67" t="s">
        <v>22</v>
      </c>
      <c r="C48" s="93">
        <v>1</v>
      </c>
      <c r="D48" s="94">
        <v>1</v>
      </c>
      <c r="E48" s="94">
        <v>1</v>
      </c>
      <c r="F48" s="94">
        <v>1</v>
      </c>
      <c r="G48" s="94">
        <v>1</v>
      </c>
      <c r="H48" s="94">
        <v>1</v>
      </c>
      <c r="I48" s="94">
        <v>1</v>
      </c>
      <c r="J48" s="94">
        <v>1</v>
      </c>
      <c r="K48" s="94">
        <v>1</v>
      </c>
      <c r="L48" s="94">
        <v>1</v>
      </c>
      <c r="M48" s="94">
        <v>1</v>
      </c>
      <c r="N48" s="94">
        <v>1</v>
      </c>
    </row>
    <row r="49" spans="2:14" ht="11.25">
      <c r="B49" s="91" t="s">
        <v>84</v>
      </c>
      <c r="C49" s="93">
        <v>1</v>
      </c>
      <c r="D49" s="94">
        <v>1</v>
      </c>
      <c r="E49" s="94">
        <v>1</v>
      </c>
      <c r="F49" s="94">
        <v>1</v>
      </c>
      <c r="G49" s="94">
        <v>1</v>
      </c>
      <c r="H49" s="94">
        <v>1</v>
      </c>
      <c r="I49" s="94">
        <v>1</v>
      </c>
      <c r="J49" s="94">
        <v>1</v>
      </c>
      <c r="K49" s="94">
        <v>1</v>
      </c>
      <c r="L49" s="94">
        <v>1</v>
      </c>
      <c r="M49" s="94">
        <v>1</v>
      </c>
      <c r="N49" s="94">
        <v>1</v>
      </c>
    </row>
    <row r="50" spans="2:14" ht="11.25">
      <c r="B50" s="67"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7" t="s">
        <v>55</v>
      </c>
      <c r="C52" s="92">
        <f>+C65/C37</f>
        <v>1</v>
      </c>
      <c r="D52" s="94">
        <v>1</v>
      </c>
      <c r="E52" s="94">
        <v>1</v>
      </c>
      <c r="F52" s="94">
        <v>1</v>
      </c>
      <c r="G52" s="94">
        <v>1</v>
      </c>
      <c r="H52" s="94">
        <v>1</v>
      </c>
      <c r="I52" s="94">
        <v>1</v>
      </c>
      <c r="J52" s="94">
        <v>1</v>
      </c>
      <c r="K52" s="94">
        <v>1</v>
      </c>
      <c r="L52" s="94">
        <v>1</v>
      </c>
      <c r="M52" s="94">
        <v>1</v>
      </c>
      <c r="N52" s="94">
        <v>1</v>
      </c>
    </row>
    <row r="53" spans="12:14" ht="11.25">
      <c r="L53" s="92"/>
      <c r="N53" s="94"/>
    </row>
    <row r="54" spans="1:14" ht="11.25">
      <c r="A54" s="82" t="s">
        <v>58</v>
      </c>
      <c r="L54" s="92"/>
      <c r="N54" s="94"/>
    </row>
    <row r="55" spans="2:14" ht="11.25">
      <c r="B55" s="67" t="s">
        <v>23</v>
      </c>
      <c r="C55" s="77">
        <f>+C27*C41</f>
        <v>0</v>
      </c>
      <c r="D55" s="77">
        <f aca="true" t="shared" si="17" ref="D55:N55">+D27*D41</f>
        <v>0</v>
      </c>
      <c r="E55" s="77">
        <f t="shared" si="17"/>
        <v>0</v>
      </c>
      <c r="F55" s="77">
        <f t="shared" si="17"/>
        <v>0</v>
      </c>
      <c r="G55" s="77">
        <f t="shared" si="17"/>
        <v>0</v>
      </c>
      <c r="H55" s="77">
        <f t="shared" si="17"/>
        <v>0</v>
      </c>
      <c r="I55" s="77">
        <f t="shared" si="17"/>
        <v>0</v>
      </c>
      <c r="J55" s="77">
        <f t="shared" si="17"/>
        <v>0</v>
      </c>
      <c r="K55" s="77">
        <f t="shared" si="17"/>
        <v>0</v>
      </c>
      <c r="L55" s="77">
        <f t="shared" si="17"/>
        <v>0</v>
      </c>
      <c r="M55" s="77">
        <f t="shared" si="17"/>
        <v>0</v>
      </c>
      <c r="N55" s="77">
        <f t="shared" si="17"/>
        <v>0</v>
      </c>
    </row>
    <row r="56" spans="2:14" ht="11.25">
      <c r="B56" s="67" t="s">
        <v>27</v>
      </c>
      <c r="C56" s="77">
        <f aca="true" t="shared" si="18" ref="C56:N56">+C28*C42</f>
        <v>1.3344319999999998</v>
      </c>
      <c r="D56" s="77">
        <f t="shared" si="18"/>
        <v>1.3908509999999998</v>
      </c>
      <c r="E56" s="77">
        <f t="shared" si="18"/>
        <v>1.317609</v>
      </c>
      <c r="F56" s="77">
        <f t="shared" si="18"/>
        <v>1.598328</v>
      </c>
      <c r="G56" s="77">
        <f t="shared" si="18"/>
        <v>1.4921100000000003</v>
      </c>
      <c r="H56" s="77">
        <f t="shared" si="18"/>
        <v>1.810764</v>
      </c>
      <c r="I56" s="77">
        <f t="shared" si="18"/>
        <v>1.8031770000000003</v>
      </c>
      <c r="J56" s="77">
        <f t="shared" si="18"/>
        <v>1.5957990000000002</v>
      </c>
      <c r="K56" s="77">
        <f t="shared" si="18"/>
        <v>1.7904600000000002</v>
      </c>
      <c r="L56" s="77">
        <f t="shared" si="18"/>
        <v>1.5138</v>
      </c>
      <c r="M56" s="77">
        <f t="shared" si="18"/>
        <v>1.8583200000000002</v>
      </c>
      <c r="N56" s="77">
        <f t="shared" si="18"/>
        <v>1.47726</v>
      </c>
    </row>
    <row r="57" spans="2:14" ht="11.25">
      <c r="B57" s="67" t="s">
        <v>49</v>
      </c>
      <c r="C57" s="77">
        <f aca="true" t="shared" si="19" ref="C57:N57">+C29*C43</f>
        <v>0</v>
      </c>
      <c r="D57" s="77">
        <f t="shared" si="19"/>
        <v>0</v>
      </c>
      <c r="E57" s="77">
        <f t="shared" si="19"/>
        <v>0</v>
      </c>
      <c r="F57" s="77">
        <f t="shared" si="19"/>
        <v>0</v>
      </c>
      <c r="G57" s="77">
        <f t="shared" si="19"/>
        <v>0</v>
      </c>
      <c r="H57" s="77">
        <f t="shared" si="19"/>
        <v>0</v>
      </c>
      <c r="I57" s="77">
        <f t="shared" si="19"/>
        <v>0</v>
      </c>
      <c r="J57" s="77">
        <f t="shared" si="19"/>
        <v>0</v>
      </c>
      <c r="K57" s="77">
        <f t="shared" si="19"/>
        <v>0</v>
      </c>
      <c r="L57" s="77">
        <f t="shared" si="19"/>
        <v>0</v>
      </c>
      <c r="M57" s="77">
        <f t="shared" si="19"/>
        <v>0</v>
      </c>
      <c r="N57" s="77">
        <f t="shared" si="19"/>
        <v>0</v>
      </c>
    </row>
    <row r="58" spans="2:14" ht="11.25">
      <c r="B58" s="67" t="s">
        <v>50</v>
      </c>
      <c r="C58" s="77">
        <f aca="true" t="shared" si="20" ref="C58:N58">+C30*C44</f>
        <v>0.076704</v>
      </c>
      <c r="D58" s="77">
        <f t="shared" si="20"/>
        <v>0.07994699999999999</v>
      </c>
      <c r="E58" s="77">
        <f t="shared" si="20"/>
        <v>0.079192</v>
      </c>
      <c r="F58" s="77">
        <f t="shared" si="20"/>
        <v>0.096064</v>
      </c>
      <c r="G58" s="77">
        <f t="shared" si="20"/>
        <v>0.08968000000000001</v>
      </c>
      <c r="H58" s="77">
        <f t="shared" si="20"/>
        <v>0.108832</v>
      </c>
      <c r="I58" s="77">
        <f t="shared" si="20"/>
        <v>0.10837600000000001</v>
      </c>
      <c r="J58" s="77">
        <f t="shared" si="20"/>
        <v>0.09591200000000001</v>
      </c>
      <c r="K58" s="77">
        <f t="shared" si="20"/>
        <v>0.100842</v>
      </c>
      <c r="L58" s="77">
        <f t="shared" si="20"/>
        <v>0.08525999999999999</v>
      </c>
      <c r="M58" s="77">
        <f t="shared" si="20"/>
        <v>0.104664</v>
      </c>
      <c r="N58" s="77">
        <f t="shared" si="20"/>
        <v>0.083202</v>
      </c>
    </row>
    <row r="59" spans="2:14" ht="11.25">
      <c r="B59" s="67" t="s">
        <v>51</v>
      </c>
      <c r="C59" s="77">
        <f aca="true" t="shared" si="21" ref="C59:N59">+C31*C45</f>
        <v>0.19475199999999998</v>
      </c>
      <c r="D59" s="77">
        <f t="shared" si="21"/>
        <v>0.202986</v>
      </c>
      <c r="E59" s="77">
        <f t="shared" si="21"/>
        <v>0.237055</v>
      </c>
      <c r="F59" s="77">
        <f t="shared" si="21"/>
        <v>0.28756</v>
      </c>
      <c r="G59" s="77">
        <f t="shared" si="21"/>
        <v>0.26845</v>
      </c>
      <c r="H59" s="77">
        <f t="shared" si="21"/>
        <v>0.32578</v>
      </c>
      <c r="I59" s="77">
        <f t="shared" si="21"/>
        <v>0.324415</v>
      </c>
      <c r="J59" s="77">
        <f t="shared" si="21"/>
        <v>0.287105</v>
      </c>
      <c r="K59" s="77">
        <f t="shared" si="21"/>
        <v>0.33751200000000003</v>
      </c>
      <c r="L59" s="77">
        <f t="shared" si="21"/>
        <v>0.28536</v>
      </c>
      <c r="M59" s="77">
        <f t="shared" si="21"/>
        <v>0.350304</v>
      </c>
      <c r="N59" s="77">
        <f t="shared" si="21"/>
        <v>0.278472</v>
      </c>
    </row>
    <row r="60" spans="2:14" ht="11.25">
      <c r="B60" s="67" t="s">
        <v>52</v>
      </c>
      <c r="C60" s="95">
        <f aca="true" t="shared" si="22" ref="C60:N60">+C32*C46</f>
        <v>0.08867199999999999</v>
      </c>
      <c r="D60" s="95">
        <f t="shared" si="22"/>
        <v>0.09242099999999999</v>
      </c>
      <c r="E60" s="95">
        <f t="shared" si="22"/>
        <v>0.091696</v>
      </c>
      <c r="F60" s="95">
        <f t="shared" si="22"/>
        <v>0.111232</v>
      </c>
      <c r="G60" s="95">
        <f t="shared" si="22"/>
        <v>0.10384000000000002</v>
      </c>
      <c r="H60" s="95">
        <f t="shared" si="22"/>
        <v>0.12601600000000002</v>
      </c>
      <c r="I60" s="95">
        <f t="shared" si="22"/>
        <v>0.12548800000000002</v>
      </c>
      <c r="J60" s="95">
        <f t="shared" si="22"/>
        <v>0.11105600000000002</v>
      </c>
      <c r="K60" s="95">
        <f t="shared" si="22"/>
        <v>0.12210800000000001</v>
      </c>
      <c r="L60" s="95">
        <f t="shared" si="22"/>
        <v>0.10324</v>
      </c>
      <c r="M60" s="95">
        <f t="shared" si="22"/>
        <v>0.126736</v>
      </c>
      <c r="N60" s="95">
        <f t="shared" si="22"/>
        <v>0.100748</v>
      </c>
    </row>
    <row r="61" spans="2:14" ht="11.25">
      <c r="B61" s="67" t="s">
        <v>53</v>
      </c>
      <c r="C61" s="77">
        <f aca="true" t="shared" si="23" ref="C61:N61">+C33*C47</f>
        <v>0.011423999999999998</v>
      </c>
      <c r="D61" s="77">
        <f t="shared" si="23"/>
        <v>0.011907</v>
      </c>
      <c r="E61" s="77">
        <f t="shared" si="23"/>
        <v>0.010941</v>
      </c>
      <c r="F61" s="77">
        <f t="shared" si="23"/>
        <v>0.013271999999999997</v>
      </c>
      <c r="G61" s="77">
        <f t="shared" si="23"/>
        <v>0.01239</v>
      </c>
      <c r="H61" s="77">
        <f t="shared" si="23"/>
        <v>0.015035999999999999</v>
      </c>
      <c r="I61" s="77">
        <f t="shared" si="23"/>
        <v>0.014973</v>
      </c>
      <c r="J61" s="77">
        <f t="shared" si="23"/>
        <v>0.013251</v>
      </c>
      <c r="K61" s="77">
        <f t="shared" si="23"/>
        <v>0.013034</v>
      </c>
      <c r="L61" s="77">
        <f t="shared" si="23"/>
        <v>0.01102</v>
      </c>
      <c r="M61" s="77">
        <f t="shared" si="23"/>
        <v>0.013528</v>
      </c>
      <c r="N61" s="77">
        <f t="shared" si="23"/>
        <v>0.010754</v>
      </c>
    </row>
    <row r="62" spans="2:14" ht="11.25">
      <c r="B62" s="67" t="s">
        <v>46</v>
      </c>
      <c r="C62" s="77">
        <f aca="true" t="shared" si="24" ref="C62:N62">+C34*C48</f>
        <v>0.6745599999999999</v>
      </c>
      <c r="D62" s="77">
        <f t="shared" si="24"/>
        <v>0.70308</v>
      </c>
      <c r="E62" s="77">
        <f t="shared" si="24"/>
        <v>0.870591</v>
      </c>
      <c r="F62" s="77">
        <f t="shared" si="24"/>
        <v>1.056072</v>
      </c>
      <c r="G62" s="77">
        <f t="shared" si="24"/>
        <v>0.98589</v>
      </c>
      <c r="H62" s="77">
        <f t="shared" si="24"/>
        <v>1.196436</v>
      </c>
      <c r="I62" s="77">
        <f t="shared" si="24"/>
        <v>1.1914230000000001</v>
      </c>
      <c r="J62" s="77">
        <f t="shared" si="24"/>
        <v>1.0544010000000001</v>
      </c>
      <c r="K62" s="77">
        <f t="shared" si="24"/>
        <v>1.21765</v>
      </c>
      <c r="L62" s="77">
        <f t="shared" si="24"/>
        <v>1.0294999999999999</v>
      </c>
      <c r="M62" s="77">
        <f t="shared" si="24"/>
        <v>1.2638</v>
      </c>
      <c r="N62" s="77">
        <f t="shared" si="24"/>
        <v>1.00465</v>
      </c>
    </row>
    <row r="63" spans="2:14" ht="11.25">
      <c r="B63" s="91" t="s">
        <v>84</v>
      </c>
      <c r="C63" s="77">
        <f aca="true" t="shared" si="25" ref="C63:N63">+C35*C49</f>
        <v>0</v>
      </c>
      <c r="D63" s="77">
        <f t="shared" si="25"/>
        <v>0</v>
      </c>
      <c r="E63" s="77">
        <f t="shared" si="25"/>
        <v>0</v>
      </c>
      <c r="F63" s="77">
        <f t="shared" si="25"/>
        <v>0</v>
      </c>
      <c r="G63" s="77">
        <f t="shared" si="25"/>
        <v>0</v>
      </c>
      <c r="H63" s="77">
        <f t="shared" si="25"/>
        <v>0</v>
      </c>
      <c r="I63" s="77">
        <f t="shared" si="25"/>
        <v>0</v>
      </c>
      <c r="J63" s="77">
        <f t="shared" si="25"/>
        <v>0</v>
      </c>
      <c r="K63" s="77">
        <f t="shared" si="25"/>
        <v>0</v>
      </c>
      <c r="L63" s="77">
        <f t="shared" si="25"/>
        <v>0</v>
      </c>
      <c r="M63" s="77">
        <f t="shared" si="25"/>
        <v>0</v>
      </c>
      <c r="N63" s="77">
        <f t="shared" si="25"/>
        <v>0</v>
      </c>
    </row>
    <row r="64" spans="2:14" ht="11.25">
      <c r="B64" s="67" t="s">
        <v>54</v>
      </c>
      <c r="C64" s="77">
        <f aca="true" t="shared" si="26" ref="C64:N64">+C36*C50</f>
        <v>1.3028799999999998</v>
      </c>
      <c r="D64" s="77">
        <f t="shared" si="26"/>
        <v>1.3579649999999999</v>
      </c>
      <c r="E64" s="77">
        <f t="shared" si="26"/>
        <v>0.7841049999999999</v>
      </c>
      <c r="F64" s="77">
        <f t="shared" si="26"/>
        <v>0.9511599999999999</v>
      </c>
      <c r="G64" s="77">
        <f t="shared" si="26"/>
        <v>0.88795</v>
      </c>
      <c r="H64" s="77">
        <f t="shared" si="26"/>
        <v>1.07758</v>
      </c>
      <c r="I64" s="77">
        <f t="shared" si="26"/>
        <v>1.0730650000000002</v>
      </c>
      <c r="J64" s="77">
        <f t="shared" si="26"/>
        <v>0.949655</v>
      </c>
      <c r="K64" s="77">
        <f t="shared" si="26"/>
        <v>1.0077340000000001</v>
      </c>
      <c r="L64" s="77">
        <f t="shared" si="26"/>
        <v>0.85202</v>
      </c>
      <c r="M64" s="77">
        <f t="shared" si="26"/>
        <v>1.045928</v>
      </c>
      <c r="N64" s="77">
        <f t="shared" si="26"/>
        <v>0.831454</v>
      </c>
    </row>
    <row r="65" spans="2:14" ht="11.25">
      <c r="B65" s="67" t="s">
        <v>55</v>
      </c>
      <c r="C65" s="89">
        <f aca="true" t="shared" si="27" ref="C65:N65">+C7-SUM(C55:C64)</f>
        <v>1.756576</v>
      </c>
      <c r="D65" s="89">
        <f t="shared" si="27"/>
        <v>1.8308429999999998</v>
      </c>
      <c r="E65" s="89">
        <f t="shared" si="27"/>
        <v>1.8188110000000002</v>
      </c>
      <c r="F65" s="89">
        <f t="shared" si="27"/>
        <v>2.2063119999999996</v>
      </c>
      <c r="G65" s="89">
        <f t="shared" si="27"/>
        <v>2.0596900000000002</v>
      </c>
      <c r="H65" s="89">
        <f t="shared" si="27"/>
        <v>2.499556</v>
      </c>
      <c r="I65" s="89">
        <f t="shared" si="27"/>
        <v>2.489083000000001</v>
      </c>
      <c r="J65" s="89">
        <f t="shared" si="27"/>
        <v>2.202821</v>
      </c>
      <c r="K65" s="89">
        <f t="shared" si="27"/>
        <v>2.2706600000000003</v>
      </c>
      <c r="L65" s="89">
        <f t="shared" si="27"/>
        <v>1.9198</v>
      </c>
      <c r="M65" s="89">
        <f t="shared" si="27"/>
        <v>2.3567199999999993</v>
      </c>
      <c r="N65" s="89">
        <f t="shared" si="27"/>
        <v>1.8734600000000001</v>
      </c>
    </row>
    <row r="66" spans="3:14" ht="11.25">
      <c r="C66" s="77">
        <f aca="true" t="shared" si="28" ref="C66:N66">SUM(C55:C65)</f>
        <v>5.4399999999999995</v>
      </c>
      <c r="D66" s="77">
        <f t="shared" si="28"/>
        <v>5.67</v>
      </c>
      <c r="E66" s="77">
        <f t="shared" si="28"/>
        <v>5.21</v>
      </c>
      <c r="F66" s="77">
        <f t="shared" si="28"/>
        <v>6.319999999999999</v>
      </c>
      <c r="G66" s="77">
        <f t="shared" si="28"/>
        <v>5.9</v>
      </c>
      <c r="H66" s="77">
        <f t="shared" si="28"/>
        <v>7.16</v>
      </c>
      <c r="I66" s="77">
        <f t="shared" si="28"/>
        <v>7.130000000000001</v>
      </c>
      <c r="J66" s="77">
        <f t="shared" si="28"/>
        <v>6.3100000000000005</v>
      </c>
      <c r="K66" s="77">
        <f t="shared" si="28"/>
        <v>6.86</v>
      </c>
      <c r="L66" s="77">
        <f t="shared" si="28"/>
        <v>5.8</v>
      </c>
      <c r="M66" s="77">
        <f t="shared" si="28"/>
        <v>7.12</v>
      </c>
      <c r="N66" s="77">
        <f t="shared" si="28"/>
        <v>5.66</v>
      </c>
    </row>
    <row r="67" ht="7.5" customHeight="1"/>
    <row r="68" spans="1:5" ht="11.25">
      <c r="A68" s="96" t="s">
        <v>59</v>
      </c>
      <c r="C68" s="67">
        <v>0.8</v>
      </c>
      <c r="E68" s="67" t="s">
        <v>68</v>
      </c>
    </row>
    <row r="69" spans="2:14" ht="11.25">
      <c r="B69" s="67" t="s">
        <v>23</v>
      </c>
      <c r="C69" s="170">
        <v>0</v>
      </c>
      <c r="D69" s="170">
        <v>0</v>
      </c>
      <c r="E69" s="170">
        <v>0</v>
      </c>
      <c r="F69" s="170">
        <v>0</v>
      </c>
      <c r="G69" s="171">
        <v>0</v>
      </c>
      <c r="H69" s="171">
        <v>0</v>
      </c>
      <c r="I69" s="170">
        <v>0</v>
      </c>
      <c r="J69" s="170">
        <v>0</v>
      </c>
      <c r="K69" s="170">
        <v>0</v>
      </c>
      <c r="L69" s="172">
        <v>0</v>
      </c>
      <c r="M69" s="172">
        <v>0</v>
      </c>
      <c r="N69" s="170">
        <v>0</v>
      </c>
    </row>
    <row r="70" spans="2:14" ht="11.25">
      <c r="B70" s="67" t="s">
        <v>27</v>
      </c>
      <c r="C70" s="170">
        <v>131.504</v>
      </c>
      <c r="D70" s="170">
        <v>154.096</v>
      </c>
      <c r="E70" s="170">
        <v>142.168</v>
      </c>
      <c r="F70" s="170">
        <v>146.29600000000002</v>
      </c>
      <c r="G70" s="171">
        <v>153.20000000000002</v>
      </c>
      <c r="H70" s="171">
        <v>151.29600000000002</v>
      </c>
      <c r="I70" s="170">
        <v>129.08800000000002</v>
      </c>
      <c r="J70" s="170">
        <v>119.28</v>
      </c>
      <c r="K70" s="170">
        <v>83.224</v>
      </c>
      <c r="L70" s="170">
        <v>107.94400000000002</v>
      </c>
      <c r="M70" s="170">
        <v>104.48800000000001</v>
      </c>
      <c r="N70" s="170">
        <v>105.84000000000002</v>
      </c>
    </row>
    <row r="71" spans="2:14" ht="11.25">
      <c r="B71" s="67" t="s">
        <v>49</v>
      </c>
      <c r="C71" s="170">
        <v>0</v>
      </c>
      <c r="D71" s="170">
        <v>0</v>
      </c>
      <c r="E71" s="170">
        <v>0</v>
      </c>
      <c r="F71" s="170">
        <v>0</v>
      </c>
      <c r="G71" s="171">
        <v>0</v>
      </c>
      <c r="H71" s="171">
        <v>0</v>
      </c>
      <c r="I71" s="170">
        <v>0</v>
      </c>
      <c r="J71" s="170">
        <v>0</v>
      </c>
      <c r="K71" s="170">
        <v>0</v>
      </c>
      <c r="L71" s="170">
        <v>0</v>
      </c>
      <c r="M71" s="170">
        <v>0</v>
      </c>
      <c r="N71" s="170">
        <v>0</v>
      </c>
    </row>
    <row r="72" spans="2:14" ht="11.25">
      <c r="B72" s="67" t="s">
        <v>50</v>
      </c>
      <c r="C72" s="170">
        <v>176.12800000000001</v>
      </c>
      <c r="D72" s="170">
        <v>209.168</v>
      </c>
      <c r="E72" s="170">
        <v>189.88</v>
      </c>
      <c r="F72" s="170">
        <v>171.784</v>
      </c>
      <c r="G72" s="171">
        <v>154.28</v>
      </c>
      <c r="H72" s="171">
        <v>155.34400000000002</v>
      </c>
      <c r="I72" s="170">
        <v>160.656</v>
      </c>
      <c r="J72" s="170">
        <v>168.928</v>
      </c>
      <c r="K72" s="170">
        <v>112.04000000000002</v>
      </c>
      <c r="L72" s="170">
        <v>131.264</v>
      </c>
      <c r="M72" s="170">
        <v>134.504</v>
      </c>
      <c r="N72" s="170">
        <v>158.15200000000002</v>
      </c>
    </row>
    <row r="73" spans="2:14" ht="11.25">
      <c r="B73" s="67" t="s">
        <v>51</v>
      </c>
      <c r="C73" s="170">
        <v>299.3691620111732</v>
      </c>
      <c r="D73" s="170">
        <v>444.90221229050275</v>
      </c>
      <c r="E73" s="170">
        <v>363.43238681318684</v>
      </c>
      <c r="F73" s="170">
        <v>436.2276747252747</v>
      </c>
      <c r="G73" s="171">
        <v>382.0567384615385</v>
      </c>
      <c r="H73" s="171">
        <v>262.97128791208803</v>
      </c>
      <c r="I73" s="170">
        <v>275.3715692307693</v>
      </c>
      <c r="J73" s="170">
        <v>235.3165714285714</v>
      </c>
      <c r="K73" s="170">
        <v>150.52624390243903</v>
      </c>
      <c r="L73" s="170">
        <v>212.95260162601627</v>
      </c>
      <c r="M73" s="170">
        <v>268.1524552845529</v>
      </c>
      <c r="N73" s="170">
        <v>324.9494634146342</v>
      </c>
    </row>
    <row r="74" spans="2:14" ht="11.25">
      <c r="B74" s="67" t="s">
        <v>52</v>
      </c>
      <c r="C74" s="170">
        <v>1189.808</v>
      </c>
      <c r="D74" s="170">
        <v>1217.48</v>
      </c>
      <c r="E74" s="170">
        <v>1261.632</v>
      </c>
      <c r="F74" s="170">
        <v>1291.592</v>
      </c>
      <c r="G74" s="171">
        <v>1399.968</v>
      </c>
      <c r="H74" s="171">
        <v>1432.5680000000002</v>
      </c>
      <c r="I74" s="170">
        <v>1208.28</v>
      </c>
      <c r="J74" s="170">
        <v>1267.616</v>
      </c>
      <c r="K74" s="170">
        <v>1508.5120000000002</v>
      </c>
      <c r="L74" s="170">
        <v>1715.4240000000002</v>
      </c>
      <c r="M74" s="170">
        <v>1859.6560000000002</v>
      </c>
      <c r="N74" s="170">
        <v>1816.8400000000001</v>
      </c>
    </row>
    <row r="75" spans="2:14" ht="11.25">
      <c r="B75" s="67" t="s">
        <v>53</v>
      </c>
      <c r="C75" s="170">
        <v>142.04000000000002</v>
      </c>
      <c r="D75" s="170">
        <v>165.69600000000003</v>
      </c>
      <c r="E75" s="170">
        <v>150.072</v>
      </c>
      <c r="F75" s="170">
        <v>138.856</v>
      </c>
      <c r="G75" s="171">
        <v>123.49600000000001</v>
      </c>
      <c r="H75" s="171">
        <v>135.408</v>
      </c>
      <c r="I75" s="170">
        <v>145.808</v>
      </c>
      <c r="J75" s="170">
        <v>152.824</v>
      </c>
      <c r="K75" s="170">
        <v>86.968</v>
      </c>
      <c r="L75" s="170">
        <v>107.78399999999999</v>
      </c>
      <c r="M75" s="170">
        <v>152.544</v>
      </c>
      <c r="N75" s="170">
        <v>185.48000000000002</v>
      </c>
    </row>
    <row r="76" spans="2:14" ht="11.25">
      <c r="B76" s="67" t="s">
        <v>46</v>
      </c>
      <c r="C76" s="170">
        <v>-24.73</v>
      </c>
      <c r="D76" s="170">
        <v>-9.94</v>
      </c>
      <c r="E76" s="170">
        <v>-46.2</v>
      </c>
      <c r="F76" s="170">
        <v>-52.58</v>
      </c>
      <c r="G76" s="171">
        <v>-48.34</v>
      </c>
      <c r="H76" s="171">
        <v>-46.82</v>
      </c>
      <c r="I76" s="170">
        <v>-57.68</v>
      </c>
      <c r="J76" s="170">
        <v>-51.06</v>
      </c>
      <c r="K76" s="170">
        <v>-77.32</v>
      </c>
      <c r="L76" s="170">
        <v>-65.19</v>
      </c>
      <c r="M76" s="170">
        <v>-73.39</v>
      </c>
      <c r="N76" s="170">
        <v>-55.61</v>
      </c>
    </row>
    <row r="77" spans="2:14" ht="11.25">
      <c r="B77" s="91" t="s">
        <v>84</v>
      </c>
      <c r="C77" s="172">
        <v>0</v>
      </c>
      <c r="D77" s="172">
        <v>0</v>
      </c>
      <c r="E77" s="172">
        <v>0</v>
      </c>
      <c r="F77" s="172">
        <v>0</v>
      </c>
      <c r="G77" s="173">
        <v>0</v>
      </c>
      <c r="H77" s="173">
        <v>0</v>
      </c>
      <c r="I77" s="172">
        <v>0</v>
      </c>
      <c r="J77" s="172">
        <v>0</v>
      </c>
      <c r="K77" s="172">
        <v>0</v>
      </c>
      <c r="L77" s="172">
        <v>0</v>
      </c>
      <c r="M77" s="172">
        <v>0</v>
      </c>
      <c r="N77" s="172">
        <v>0</v>
      </c>
    </row>
    <row r="78" spans="2:14" ht="11.25">
      <c r="B78" s="67" t="s">
        <v>54</v>
      </c>
      <c r="C78" s="172">
        <v>-155.82</v>
      </c>
      <c r="D78" s="172">
        <v>-163.55</v>
      </c>
      <c r="E78" s="172">
        <v>-164.36</v>
      </c>
      <c r="F78" s="172">
        <v>-161.54</v>
      </c>
      <c r="G78" s="173">
        <v>-160.65</v>
      </c>
      <c r="H78" s="173">
        <v>-160.65</v>
      </c>
      <c r="I78" s="172">
        <v>-159.7</v>
      </c>
      <c r="J78" s="172">
        <v>-163.71</v>
      </c>
      <c r="K78" s="172">
        <v>-166.72</v>
      </c>
      <c r="L78" s="172">
        <v>-166.81</v>
      </c>
      <c r="M78" s="172">
        <v>-167.13</v>
      </c>
      <c r="N78" s="172">
        <v>-167.08</v>
      </c>
    </row>
    <row r="79" spans="2:15" ht="11.25">
      <c r="B79" s="67" t="s">
        <v>55</v>
      </c>
      <c r="C79" s="170">
        <v>46.64</v>
      </c>
      <c r="D79" s="170">
        <v>64.08800000000001</v>
      </c>
      <c r="E79" s="170">
        <v>50.080000000000005</v>
      </c>
      <c r="F79" s="170">
        <v>57.176</v>
      </c>
      <c r="G79" s="171">
        <v>53.29600000000001</v>
      </c>
      <c r="H79" s="171">
        <v>60.592</v>
      </c>
      <c r="I79" s="170">
        <v>32.848000000000006</v>
      </c>
      <c r="J79" s="170">
        <v>-8.57</v>
      </c>
      <c r="K79" s="170">
        <v>-3.4</v>
      </c>
      <c r="L79" s="170">
        <v>-23.28</v>
      </c>
      <c r="M79" s="170">
        <v>-17.3</v>
      </c>
      <c r="N79" s="172">
        <v>-7.91</v>
      </c>
      <c r="O79" s="106">
        <f>SUM(C69:N79)</f>
        <v>23700.81236710074</v>
      </c>
    </row>
    <row r="80" ht="7.5" customHeight="1"/>
    <row r="81" ht="11.25">
      <c r="A81" s="82" t="s">
        <v>60</v>
      </c>
    </row>
    <row r="82" spans="2:15" ht="11.25">
      <c r="B82" s="67" t="s">
        <v>23</v>
      </c>
      <c r="C82" s="97">
        <f>+C69*C55</f>
        <v>0</v>
      </c>
      <c r="D82" s="77">
        <f aca="true" t="shared" si="29" ref="D82:N82">+D69*D55</f>
        <v>0</v>
      </c>
      <c r="E82" s="77">
        <f t="shared" si="29"/>
        <v>0</v>
      </c>
      <c r="F82" s="77">
        <f t="shared" si="29"/>
        <v>0</v>
      </c>
      <c r="G82" s="77">
        <f t="shared" si="29"/>
        <v>0</v>
      </c>
      <c r="H82" s="77">
        <f t="shared" si="29"/>
        <v>0</v>
      </c>
      <c r="I82" s="77">
        <f t="shared" si="29"/>
        <v>0</v>
      </c>
      <c r="J82" s="77">
        <f t="shared" si="29"/>
        <v>0</v>
      </c>
      <c r="K82" s="77">
        <f t="shared" si="29"/>
        <v>0</v>
      </c>
      <c r="L82" s="77">
        <f t="shared" si="29"/>
        <v>0</v>
      </c>
      <c r="M82" s="77">
        <f t="shared" si="29"/>
        <v>0</v>
      </c>
      <c r="N82" s="77">
        <f t="shared" si="29"/>
        <v>0</v>
      </c>
      <c r="O82" s="106">
        <f aca="true" t="shared" si="30" ref="O82:O92">SUM(C82:N82)</f>
        <v>0</v>
      </c>
    </row>
    <row r="83" spans="2:15" ht="11.25">
      <c r="B83" s="67" t="s">
        <v>27</v>
      </c>
      <c r="C83" s="97">
        <f aca="true" t="shared" si="31" ref="C83:N83">+C70*C56</f>
        <v>175.48314572799995</v>
      </c>
      <c r="D83" s="77">
        <f t="shared" si="31"/>
        <v>214.32457569599998</v>
      </c>
      <c r="E83" s="77">
        <f t="shared" si="31"/>
        <v>187.32183631200002</v>
      </c>
      <c r="F83" s="77">
        <f t="shared" si="31"/>
        <v>233.82899308800003</v>
      </c>
      <c r="G83" s="77">
        <f t="shared" si="31"/>
        <v>228.59125200000005</v>
      </c>
      <c r="H83" s="77">
        <f t="shared" si="31"/>
        <v>273.96135014400005</v>
      </c>
      <c r="I83" s="77">
        <f t="shared" si="31"/>
        <v>232.76851257600006</v>
      </c>
      <c r="J83" s="77">
        <f t="shared" si="31"/>
        <v>190.34690472000003</v>
      </c>
      <c r="K83" s="77">
        <f t="shared" si="31"/>
        <v>149.00924304000003</v>
      </c>
      <c r="L83" s="77">
        <f t="shared" si="31"/>
        <v>163.40562720000003</v>
      </c>
      <c r="M83" s="77">
        <f t="shared" si="31"/>
        <v>194.17214016000005</v>
      </c>
      <c r="N83" s="77">
        <f t="shared" si="31"/>
        <v>156.35319840000003</v>
      </c>
      <c r="O83" s="106">
        <f t="shared" si="30"/>
        <v>2399.5667790640005</v>
      </c>
    </row>
    <row r="84" spans="2:15" ht="11.25">
      <c r="B84" s="67" t="s">
        <v>49</v>
      </c>
      <c r="C84" s="97">
        <f aca="true" t="shared" si="32" ref="C84:N84">+C71*C57</f>
        <v>0</v>
      </c>
      <c r="D84" s="77">
        <f t="shared" si="32"/>
        <v>0</v>
      </c>
      <c r="E84" s="77">
        <f t="shared" si="32"/>
        <v>0</v>
      </c>
      <c r="F84" s="77">
        <f t="shared" si="32"/>
        <v>0</v>
      </c>
      <c r="G84" s="77">
        <f t="shared" si="32"/>
        <v>0</v>
      </c>
      <c r="H84" s="77">
        <f t="shared" si="32"/>
        <v>0</v>
      </c>
      <c r="I84" s="77"/>
      <c r="J84" s="77">
        <f t="shared" si="32"/>
        <v>0</v>
      </c>
      <c r="K84" s="77">
        <f t="shared" si="32"/>
        <v>0</v>
      </c>
      <c r="L84" s="77">
        <f t="shared" si="32"/>
        <v>0</v>
      </c>
      <c r="M84" s="77">
        <f t="shared" si="32"/>
        <v>0</v>
      </c>
      <c r="N84" s="77">
        <f t="shared" si="32"/>
        <v>0</v>
      </c>
      <c r="O84" s="106">
        <f t="shared" si="30"/>
        <v>0</v>
      </c>
    </row>
    <row r="85" spans="2:15" ht="11.25">
      <c r="B85" s="67" t="s">
        <v>50</v>
      </c>
      <c r="C85" s="97">
        <f aca="true" t="shared" si="33" ref="C85:N85">+C72*C58</f>
        <v>13.509722112</v>
      </c>
      <c r="D85" s="77">
        <f t="shared" si="33"/>
        <v>16.722354096</v>
      </c>
      <c r="E85" s="77">
        <f t="shared" si="33"/>
        <v>15.036976959999999</v>
      </c>
      <c r="F85" s="77">
        <f t="shared" si="33"/>
        <v>16.502258175999998</v>
      </c>
      <c r="G85" s="77">
        <f t="shared" si="33"/>
        <v>13.8358304</v>
      </c>
      <c r="H85" s="77">
        <f t="shared" si="33"/>
        <v>16.906398208000002</v>
      </c>
      <c r="I85" s="77">
        <f t="shared" si="33"/>
        <v>17.411254656000004</v>
      </c>
      <c r="J85" s="77">
        <f t="shared" si="33"/>
        <v>16.202222336000002</v>
      </c>
      <c r="K85" s="77">
        <f t="shared" si="33"/>
        <v>11.298337680000003</v>
      </c>
      <c r="L85" s="77">
        <f t="shared" si="33"/>
        <v>11.19156864</v>
      </c>
      <c r="M85" s="77">
        <f t="shared" si="33"/>
        <v>14.077726655999998</v>
      </c>
      <c r="N85" s="77">
        <f t="shared" si="33"/>
        <v>13.158562704000001</v>
      </c>
      <c r="O85" s="106">
        <f t="shared" si="30"/>
        <v>175.85321262400004</v>
      </c>
    </row>
    <row r="86" spans="2:15" ht="11.25">
      <c r="B86" s="67" t="s">
        <v>51</v>
      </c>
      <c r="C86" s="97">
        <f aca="true" t="shared" si="34" ref="C86:N86">+C73*C59</f>
        <v>58.30274304</v>
      </c>
      <c r="D86" s="77">
        <f t="shared" si="34"/>
        <v>90.308920464</v>
      </c>
      <c r="E86" s="77">
        <f t="shared" si="34"/>
        <v>86.153464456</v>
      </c>
      <c r="F86" s="77">
        <f t="shared" si="34"/>
        <v>125.44163014399999</v>
      </c>
      <c r="G86" s="77">
        <f t="shared" si="34"/>
        <v>102.56313144000002</v>
      </c>
      <c r="H86" s="77">
        <f t="shared" si="34"/>
        <v>85.67078617600004</v>
      </c>
      <c r="I86" s="77">
        <f t="shared" si="34"/>
        <v>89.33466763200002</v>
      </c>
      <c r="J86" s="77">
        <f t="shared" si="34"/>
        <v>67.56056423999999</v>
      </c>
      <c r="K86" s="77">
        <f t="shared" si="34"/>
        <v>50.804413632000006</v>
      </c>
      <c r="L86" s="77">
        <f t="shared" si="34"/>
        <v>60.76815440000001</v>
      </c>
      <c r="M86" s="77">
        <f t="shared" si="34"/>
        <v>93.93487769600002</v>
      </c>
      <c r="N86" s="77">
        <f t="shared" si="34"/>
        <v>90.48932697600002</v>
      </c>
      <c r="O86" s="106">
        <f t="shared" si="30"/>
        <v>1001.3326802959999</v>
      </c>
    </row>
    <row r="87" spans="2:15" ht="11.25">
      <c r="B87" s="67" t="s">
        <v>52</v>
      </c>
      <c r="C87" s="97">
        <f aca="true" t="shared" si="35" ref="C87:N87">+C74*C60</f>
        <v>105.50265497599999</v>
      </c>
      <c r="D87" s="77">
        <f t="shared" si="35"/>
        <v>112.52071907999999</v>
      </c>
      <c r="E87" s="77">
        <f t="shared" si="35"/>
        <v>115.68660787200001</v>
      </c>
      <c r="F87" s="77">
        <f t="shared" si="35"/>
        <v>143.666361344</v>
      </c>
      <c r="G87" s="77">
        <f t="shared" si="35"/>
        <v>145.37267712000002</v>
      </c>
      <c r="H87" s="77">
        <f t="shared" si="35"/>
        <v>180.52648908800006</v>
      </c>
      <c r="I87" s="77">
        <f t="shared" si="35"/>
        <v>151.62464064000002</v>
      </c>
      <c r="J87" s="77">
        <f t="shared" si="35"/>
        <v>140.77636249600002</v>
      </c>
      <c r="K87" s="77">
        <f t="shared" si="35"/>
        <v>184.20138329600005</v>
      </c>
      <c r="L87" s="77">
        <f t="shared" si="35"/>
        <v>177.10037376000002</v>
      </c>
      <c r="M87" s="77">
        <f t="shared" si="35"/>
        <v>235.685362816</v>
      </c>
      <c r="N87" s="77">
        <f t="shared" si="35"/>
        <v>183.04299632000001</v>
      </c>
      <c r="O87" s="106">
        <f t="shared" si="30"/>
        <v>1875.7066288080002</v>
      </c>
    </row>
    <row r="88" spans="2:15" ht="11.25">
      <c r="B88" s="67" t="s">
        <v>53</v>
      </c>
      <c r="C88" s="97">
        <f aca="true" t="shared" si="36" ref="C88:N88">+C75*C61</f>
        <v>1.62266496</v>
      </c>
      <c r="D88" s="77">
        <f t="shared" si="36"/>
        <v>1.9729422720000003</v>
      </c>
      <c r="E88" s="77">
        <f t="shared" si="36"/>
        <v>1.641937752</v>
      </c>
      <c r="F88" s="77">
        <f t="shared" si="36"/>
        <v>1.8428968319999997</v>
      </c>
      <c r="G88" s="77">
        <f t="shared" si="36"/>
        <v>1.53011544</v>
      </c>
      <c r="H88" s="77">
        <f t="shared" si="36"/>
        <v>2.0359946879999997</v>
      </c>
      <c r="I88" s="77">
        <f t="shared" si="36"/>
        <v>2.1831831839999998</v>
      </c>
      <c r="J88" s="77">
        <f t="shared" si="36"/>
        <v>2.025070824</v>
      </c>
      <c r="K88" s="77">
        <f t="shared" si="36"/>
        <v>1.1335409120000002</v>
      </c>
      <c r="L88" s="77">
        <f t="shared" si="36"/>
        <v>1.18777968</v>
      </c>
      <c r="M88" s="77">
        <f t="shared" si="36"/>
        <v>2.063615232</v>
      </c>
      <c r="N88" s="77">
        <f t="shared" si="36"/>
        <v>1.9946519200000001</v>
      </c>
      <c r="O88" s="106">
        <f t="shared" si="30"/>
        <v>21.234393695999998</v>
      </c>
    </row>
    <row r="89" spans="2:15" ht="11.25">
      <c r="B89" s="67" t="s">
        <v>46</v>
      </c>
      <c r="C89" s="97">
        <f aca="true" t="shared" si="37" ref="C89:N89">+C76*C62</f>
        <v>-16.6818688</v>
      </c>
      <c r="D89" s="77">
        <f t="shared" si="37"/>
        <v>-6.9886152</v>
      </c>
      <c r="E89" s="77">
        <f t="shared" si="37"/>
        <v>-40.221304200000006</v>
      </c>
      <c r="F89" s="77">
        <f t="shared" si="37"/>
        <v>-55.52826576</v>
      </c>
      <c r="G89" s="77">
        <f t="shared" si="37"/>
        <v>-47.657922600000006</v>
      </c>
      <c r="H89" s="77">
        <f t="shared" si="37"/>
        <v>-56.01713352</v>
      </c>
      <c r="I89" s="77">
        <f t="shared" si="37"/>
        <v>-68.72127864000001</v>
      </c>
      <c r="J89" s="77">
        <f t="shared" si="37"/>
        <v>-53.83771506000001</v>
      </c>
      <c r="K89" s="77">
        <f t="shared" si="37"/>
        <v>-94.14869799999998</v>
      </c>
      <c r="L89" s="77">
        <f t="shared" si="37"/>
        <v>-67.11310499999999</v>
      </c>
      <c r="M89" s="77">
        <f t="shared" si="37"/>
        <v>-92.750282</v>
      </c>
      <c r="N89" s="77">
        <f t="shared" si="37"/>
        <v>-55.8685865</v>
      </c>
      <c r="O89" s="106">
        <f t="shared" si="30"/>
        <v>-655.53477528</v>
      </c>
    </row>
    <row r="90" spans="2:15" ht="11.25">
      <c r="B90" s="91" t="s">
        <v>84</v>
      </c>
      <c r="C90" s="97">
        <f aca="true" t="shared" si="38" ref="C90:N90">+C77*C63</f>
        <v>0</v>
      </c>
      <c r="D90" s="77">
        <f t="shared" si="38"/>
        <v>0</v>
      </c>
      <c r="E90" s="77">
        <f t="shared" si="38"/>
        <v>0</v>
      </c>
      <c r="F90" s="77">
        <f t="shared" si="38"/>
        <v>0</v>
      </c>
      <c r="G90" s="77">
        <f t="shared" si="38"/>
        <v>0</v>
      </c>
      <c r="H90" s="77">
        <f t="shared" si="38"/>
        <v>0</v>
      </c>
      <c r="I90" s="77">
        <f t="shared" si="38"/>
        <v>0</v>
      </c>
      <c r="J90" s="77">
        <f t="shared" si="38"/>
        <v>0</v>
      </c>
      <c r="K90" s="77">
        <f t="shared" si="38"/>
        <v>0</v>
      </c>
      <c r="L90" s="77">
        <f t="shared" si="38"/>
        <v>0</v>
      </c>
      <c r="M90" s="77">
        <f t="shared" si="38"/>
        <v>0</v>
      </c>
      <c r="N90" s="77">
        <f t="shared" si="38"/>
        <v>0</v>
      </c>
      <c r="O90" s="106">
        <f t="shared" si="30"/>
        <v>0</v>
      </c>
    </row>
    <row r="91" spans="2:15" ht="11.25">
      <c r="B91" s="67" t="s">
        <v>54</v>
      </c>
      <c r="C91" s="97">
        <f aca="true" t="shared" si="39" ref="C91:N91">+C78*C64</f>
        <v>-203.01476159999996</v>
      </c>
      <c r="D91" s="77">
        <f t="shared" si="39"/>
        <v>-222.09517574999998</v>
      </c>
      <c r="E91" s="77">
        <f t="shared" si="39"/>
        <v>-128.8754978</v>
      </c>
      <c r="F91" s="77">
        <f t="shared" si="39"/>
        <v>-153.65038639999997</v>
      </c>
      <c r="G91" s="77">
        <f t="shared" si="39"/>
        <v>-142.6491675</v>
      </c>
      <c r="H91" s="77">
        <f t="shared" si="39"/>
        <v>-173.113227</v>
      </c>
      <c r="I91" s="77">
        <f t="shared" si="39"/>
        <v>-171.3684805</v>
      </c>
      <c r="J91" s="77">
        <f t="shared" si="39"/>
        <v>-155.46802005</v>
      </c>
      <c r="K91" s="77">
        <f t="shared" si="39"/>
        <v>-168.00941248</v>
      </c>
      <c r="L91" s="77">
        <f t="shared" si="39"/>
        <v>-142.1254562</v>
      </c>
      <c r="M91" s="77">
        <f t="shared" si="39"/>
        <v>-174.80594664</v>
      </c>
      <c r="N91" s="77">
        <f t="shared" si="39"/>
        <v>-138.91933432000002</v>
      </c>
      <c r="O91" s="106">
        <f t="shared" si="30"/>
        <v>-1974.0948662399999</v>
      </c>
    </row>
    <row r="92" spans="2:15" ht="11.25">
      <c r="B92" s="67" t="s">
        <v>55</v>
      </c>
      <c r="C92" s="98">
        <f aca="true" t="shared" si="40" ref="C92:N92">+C79*C65</f>
        <v>81.92670464</v>
      </c>
      <c r="D92" s="89">
        <f t="shared" si="40"/>
        <v>117.335066184</v>
      </c>
      <c r="E92" s="89">
        <f t="shared" si="40"/>
        <v>91.08605488000002</v>
      </c>
      <c r="F92" s="89">
        <f t="shared" si="40"/>
        <v>126.14809491199998</v>
      </c>
      <c r="G92" s="89">
        <f t="shared" si="40"/>
        <v>109.77323824000003</v>
      </c>
      <c r="H92" s="89">
        <f t="shared" si="40"/>
        <v>151.453097152</v>
      </c>
      <c r="I92" s="89">
        <f t="shared" si="40"/>
        <v>81.76139838400005</v>
      </c>
      <c r="J92" s="89">
        <f t="shared" si="40"/>
        <v>-18.87817597</v>
      </c>
      <c r="K92" s="77">
        <f t="shared" si="40"/>
        <v>-7.720244000000001</v>
      </c>
      <c r="L92" s="77">
        <f t="shared" si="40"/>
        <v>-44.692944000000004</v>
      </c>
      <c r="M92" s="77">
        <f t="shared" si="40"/>
        <v>-40.77125599999999</v>
      </c>
      <c r="N92" s="77">
        <f t="shared" si="40"/>
        <v>-14.819068600000001</v>
      </c>
      <c r="O92" s="106">
        <f t="shared" si="30"/>
        <v>632.6019658219999</v>
      </c>
    </row>
    <row r="93" spans="1:16" ht="11.25">
      <c r="A93" s="82" t="s">
        <v>61</v>
      </c>
      <c r="B93" s="82"/>
      <c r="C93" s="99">
        <f aca="true" t="shared" si="41" ref="C93:N93">SUM(C82:C92)</f>
        <v>216.65100505599997</v>
      </c>
      <c r="D93" s="100">
        <f t="shared" si="41"/>
        <v>324.100786842</v>
      </c>
      <c r="E93" s="100">
        <f t="shared" si="41"/>
        <v>327.830076232</v>
      </c>
      <c r="F93" s="100">
        <f t="shared" si="41"/>
        <v>438.2515823359999</v>
      </c>
      <c r="G93" s="100">
        <f t="shared" si="41"/>
        <v>411.35915454</v>
      </c>
      <c r="H93" s="100">
        <f t="shared" si="41"/>
        <v>481.42375493600014</v>
      </c>
      <c r="I93" s="100">
        <f t="shared" si="41"/>
        <v>334.99389793200015</v>
      </c>
      <c r="J93" s="100">
        <f t="shared" si="41"/>
        <v>188.7272135360001</v>
      </c>
      <c r="K93" s="105">
        <f t="shared" si="41"/>
        <v>126.5685640800001</v>
      </c>
      <c r="L93" s="105">
        <f t="shared" si="41"/>
        <v>159.72199848000005</v>
      </c>
      <c r="M93" s="105">
        <f t="shared" si="41"/>
        <v>231.60623792000013</v>
      </c>
      <c r="N93" s="105">
        <f t="shared" si="41"/>
        <v>235.4317469000001</v>
      </c>
      <c r="O93" s="106">
        <f>SUM(C93:N93)</f>
        <v>3476.6660187900006</v>
      </c>
      <c r="P93" s="106">
        <f>O93/2</f>
        <v>1738.3330093950003</v>
      </c>
    </row>
    <row r="94" spans="1:15" ht="11.25">
      <c r="A94" s="82" t="s">
        <v>62</v>
      </c>
      <c r="B94" s="82"/>
      <c r="C94" s="99">
        <f aca="true" t="shared" si="42" ref="C94:N94">+C93/C66</f>
        <v>39.8255524</v>
      </c>
      <c r="D94" s="100">
        <f t="shared" si="42"/>
        <v>57.1606326</v>
      </c>
      <c r="E94" s="100">
        <f t="shared" si="42"/>
        <v>62.923239200000005</v>
      </c>
      <c r="F94" s="100">
        <f t="shared" si="42"/>
        <v>69.3436048</v>
      </c>
      <c r="G94" s="100">
        <f t="shared" si="42"/>
        <v>69.7218906</v>
      </c>
      <c r="H94" s="100">
        <f t="shared" si="42"/>
        <v>67.23795460000002</v>
      </c>
      <c r="I94" s="100">
        <f t="shared" si="42"/>
        <v>46.98371640000001</v>
      </c>
      <c r="J94" s="100">
        <f t="shared" si="42"/>
        <v>29.909225600000013</v>
      </c>
      <c r="K94" s="124">
        <f t="shared" si="42"/>
        <v>18.450228000000013</v>
      </c>
      <c r="L94" s="124">
        <f t="shared" si="42"/>
        <v>27.53827560000001</v>
      </c>
      <c r="M94" s="124">
        <f t="shared" si="42"/>
        <v>32.52896600000002</v>
      </c>
      <c r="N94" s="124">
        <f t="shared" si="42"/>
        <v>41.59571500000001</v>
      </c>
      <c r="O94" s="106"/>
    </row>
    <row r="95" ht="7.5" customHeight="1"/>
    <row r="96" spans="1:14" ht="11.25">
      <c r="A96" s="82"/>
      <c r="C96" s="106">
        <v>39.83</v>
      </c>
      <c r="D96" s="106">
        <v>57.16</v>
      </c>
      <c r="E96" s="106">
        <v>62.92</v>
      </c>
      <c r="F96" s="106">
        <v>69.34</v>
      </c>
      <c r="G96" s="106">
        <v>69.72</v>
      </c>
      <c r="H96" s="106">
        <v>67.24</v>
      </c>
      <c r="I96" s="106">
        <v>46.98</v>
      </c>
      <c r="J96" s="106">
        <v>29.91</v>
      </c>
      <c r="K96" s="106">
        <v>18.45</v>
      </c>
      <c r="L96" s="106">
        <v>27.54</v>
      </c>
      <c r="M96" s="106">
        <v>32.53</v>
      </c>
      <c r="N96" s="106">
        <v>41.6</v>
      </c>
    </row>
    <row r="97" spans="3:14" ht="11.25">
      <c r="C97" s="97">
        <f>C94-C96</f>
        <v>-0.004447599999998886</v>
      </c>
      <c r="D97" s="97">
        <f aca="true" t="shared" si="43" ref="D97:N97">D94-D96</f>
        <v>0.0006326000000029808</v>
      </c>
      <c r="E97" s="97">
        <f t="shared" si="43"/>
        <v>0.0032392000000029952</v>
      </c>
      <c r="F97" s="97">
        <f t="shared" si="43"/>
        <v>0.0036047999999908598</v>
      </c>
      <c r="G97" s="97">
        <f t="shared" si="43"/>
        <v>0.0018905999999958567</v>
      </c>
      <c r="H97" s="97">
        <f t="shared" si="43"/>
        <v>-0.0020453999999716643</v>
      </c>
      <c r="I97" s="97">
        <f t="shared" si="43"/>
        <v>0.0037164000000160513</v>
      </c>
      <c r="J97" s="97">
        <f t="shared" si="43"/>
        <v>-0.0007743999999867412</v>
      </c>
      <c r="K97" s="97">
        <f t="shared" si="43"/>
        <v>0.0002280000000141058</v>
      </c>
      <c r="L97" s="97">
        <f t="shared" si="43"/>
        <v>-0.0017243999999898563</v>
      </c>
      <c r="M97" s="97">
        <f t="shared" si="43"/>
        <v>-0.001033999999982882</v>
      </c>
      <c r="N97" s="97">
        <f t="shared" si="43"/>
        <v>-0.00428499999998877</v>
      </c>
    </row>
    <row r="98" spans="1:10" ht="11.25">
      <c r="A98" s="82"/>
      <c r="B98" s="82"/>
      <c r="C98" s="99"/>
      <c r="D98" s="99"/>
      <c r="E98" s="99"/>
      <c r="F98" s="99"/>
      <c r="G98" s="99"/>
      <c r="H98" s="99"/>
      <c r="I98" s="99"/>
      <c r="J98" s="103"/>
    </row>
    <row r="99" spans="3:10" ht="7.5" customHeight="1">
      <c r="C99" s="102"/>
      <c r="D99" s="102"/>
      <c r="E99" s="102"/>
      <c r="F99" s="102"/>
      <c r="G99" s="102"/>
      <c r="H99" s="102"/>
      <c r="I99" s="102"/>
      <c r="J99" s="102"/>
    </row>
    <row r="100" spans="1:10" ht="11.2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2"/>
      <c r="C102" s="101"/>
      <c r="D102" s="101"/>
      <c r="E102" s="101"/>
      <c r="F102" s="101"/>
      <c r="G102" s="101"/>
      <c r="H102" s="101"/>
      <c r="I102" s="101"/>
      <c r="J102" s="104"/>
    </row>
  </sheetData>
  <sheetProtection/>
  <printOptions/>
  <pageMargins left="0.25" right="0.25" top="0.75" bottom="0.75" header="0.3" footer="0.3"/>
  <pageSetup fitToWidth="0" fitToHeight="1" orientation="portrait" scale="62"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zoomScalePageLayoutView="0" workbookViewId="0" topLeftCell="A1">
      <selection activeCell="A1" sqref="A1"/>
    </sheetView>
  </sheetViews>
  <sheetFormatPr defaultColWidth="9.140625" defaultRowHeight="12.75"/>
  <cols>
    <col min="1" max="1" width="37.7109375" style="0" bestFit="1" customWidth="1"/>
    <col min="2" max="2" width="11.28125" style="0" bestFit="1" customWidth="1"/>
    <col min="3" max="3" width="10.28125" style="0" bestFit="1" customWidth="1"/>
    <col min="4" max="4" width="12.28125" style="0" bestFit="1" customWidth="1"/>
    <col min="5" max="5" width="10.421875" style="0" bestFit="1" customWidth="1"/>
    <col min="6" max="6" width="10.7109375" style="0" bestFit="1" customWidth="1"/>
  </cols>
  <sheetData>
    <row r="3" ht="13.5" thickBot="1"/>
    <row r="4" spans="1:4" ht="13.5" thickBot="1">
      <c r="A4" s="160" t="s">
        <v>91</v>
      </c>
      <c r="B4" s="161"/>
      <c r="C4" s="162">
        <v>7387.225475000014</v>
      </c>
      <c r="D4" s="175"/>
    </row>
    <row r="5" spans="3:4" ht="12.75">
      <c r="C5" s="163"/>
      <c r="D5" s="163"/>
    </row>
    <row r="6" spans="1:6" ht="12.75">
      <c r="A6" s="149" t="s">
        <v>92</v>
      </c>
      <c r="E6" s="149" t="s">
        <v>93</v>
      </c>
      <c r="F6" s="149" t="s">
        <v>94</v>
      </c>
    </row>
    <row r="7" spans="1:6" ht="12.75">
      <c r="A7" s="165" t="s">
        <v>95</v>
      </c>
      <c r="C7" s="163">
        <f>$C$4*(D12/$D$15)</f>
        <v>2367.9943247818615</v>
      </c>
      <c r="D7" s="163"/>
      <c r="E7" s="164">
        <f>C7*E12</f>
        <v>2168.576020259499</v>
      </c>
      <c r="F7" s="176">
        <f>C7*F12</f>
        <v>199.41830452236283</v>
      </c>
    </row>
    <row r="8" spans="1:6" ht="12.75">
      <c r="A8" s="165" t="s">
        <v>96</v>
      </c>
      <c r="C8" s="163">
        <f>$C$4*(D13/$D$15)</f>
        <v>4083.045540539289</v>
      </c>
      <c r="D8" s="163"/>
      <c r="E8" s="164">
        <f>C8*E13</f>
        <v>4053.9820221752716</v>
      </c>
      <c r="F8" s="176">
        <f>C8*F13</f>
        <v>29.063518364017142</v>
      </c>
    </row>
    <row r="9" spans="1:6" ht="12.75">
      <c r="A9" s="165" t="s">
        <v>97</v>
      </c>
      <c r="C9" s="163">
        <f>$C$4*(D14/$D$15)</f>
        <v>936.1856096788639</v>
      </c>
      <c r="D9" s="163"/>
      <c r="E9" s="164">
        <f>C9*E14</f>
        <v>901.0221114684289</v>
      </c>
      <c r="F9" s="176">
        <f>C9*F14</f>
        <v>35.16349821043512</v>
      </c>
    </row>
    <row r="11" spans="1:6" ht="12.75">
      <c r="A11" t="s">
        <v>98</v>
      </c>
      <c r="B11" t="s">
        <v>99</v>
      </c>
      <c r="C11" t="s">
        <v>100</v>
      </c>
      <c r="D11" t="s">
        <v>29</v>
      </c>
      <c r="E11" t="s">
        <v>101</v>
      </c>
      <c r="F11" t="s">
        <v>102</v>
      </c>
    </row>
    <row r="12" spans="1:6" ht="12.75">
      <c r="A12">
        <v>4172</v>
      </c>
      <c r="B12" s="177">
        <v>38221.28186979701</v>
      </c>
      <c r="C12" s="177">
        <v>3514.759526961001</v>
      </c>
      <c r="D12" s="177">
        <f>B12+C12</f>
        <v>41736.04139675801</v>
      </c>
      <c r="E12" s="178">
        <f>B12/$D$12</f>
        <v>0.9157859871388276</v>
      </c>
      <c r="F12" s="178">
        <f>C12/$D$12</f>
        <v>0.08421401286117236</v>
      </c>
    </row>
    <row r="13" spans="1:6" ht="12.75">
      <c r="A13">
        <v>4176</v>
      </c>
      <c r="B13" s="179">
        <v>71451.67525467202</v>
      </c>
      <c r="C13" s="179">
        <v>512.2462469110001</v>
      </c>
      <c r="D13" s="177">
        <f>B13+C13</f>
        <v>71963.92150158303</v>
      </c>
      <c r="E13" s="178">
        <f>B13/$D$13</f>
        <v>0.9928819019833468</v>
      </c>
      <c r="F13" s="178">
        <f>C13/$D$13</f>
        <v>0.007118098016653135</v>
      </c>
    </row>
    <row r="14" spans="1:6" ht="12.75">
      <c r="A14">
        <v>4183</v>
      </c>
      <c r="B14" s="179">
        <v>15880.568525900004</v>
      </c>
      <c r="C14" s="179">
        <v>619.7587560100001</v>
      </c>
      <c r="D14" s="177">
        <f>B14+C14</f>
        <v>16500.327281910002</v>
      </c>
      <c r="E14" s="178">
        <f>B14/$D$14</f>
        <v>0.9624396082925297</v>
      </c>
      <c r="F14" s="178">
        <f>C14/$D$14</f>
        <v>0.0375603917074704</v>
      </c>
    </row>
    <row r="15" spans="4:6" ht="12.75">
      <c r="D15" s="180">
        <f>SUM(D12:D14)</f>
        <v>130200.29018025103</v>
      </c>
      <c r="E15" s="166"/>
      <c r="F15" s="166"/>
    </row>
    <row r="20" spans="1:5" ht="12.75">
      <c r="A20" s="165" t="s">
        <v>106</v>
      </c>
      <c r="E20" s="163">
        <f>+F8</f>
        <v>29.063518364017142</v>
      </c>
    </row>
    <row r="22" spans="1:5" ht="12.75">
      <c r="A22" s="165" t="s">
        <v>20</v>
      </c>
      <c r="E22" s="167">
        <v>3849.9299999999994</v>
      </c>
    </row>
    <row r="24" spans="1:5" ht="12.75">
      <c r="A24" s="165" t="s">
        <v>103</v>
      </c>
      <c r="E24" s="181">
        <f>E20/E22</f>
        <v>0.00754910306525499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42"/>
  <sheetViews>
    <sheetView zoomScalePageLayoutView="0" workbookViewId="0" topLeftCell="A1">
      <selection activeCell="A1" sqref="A1"/>
    </sheetView>
  </sheetViews>
  <sheetFormatPr defaultColWidth="9.140625" defaultRowHeight="12.75"/>
  <cols>
    <col min="1" max="1" width="20.28125" style="0" customWidth="1"/>
    <col min="2" max="3" width="12.57421875" style="0" bestFit="1" customWidth="1"/>
    <col min="4" max="4" width="25.8515625" style="0" customWidth="1"/>
    <col min="5" max="5" width="13.421875" style="183"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84" bestFit="1" customWidth="1"/>
    <col min="19" max="19" width="11.28125" style="0" bestFit="1" customWidth="1"/>
  </cols>
  <sheetData>
    <row r="1" spans="1:19" ht="12.75">
      <c r="A1" s="182" t="s">
        <v>110</v>
      </c>
      <c r="B1" s="182"/>
      <c r="C1" s="182"/>
      <c r="H1" t="s">
        <v>111</v>
      </c>
      <c r="Q1" s="184" t="s">
        <v>112</v>
      </c>
      <c r="S1" t="s">
        <v>113</v>
      </c>
    </row>
    <row r="2" spans="1:15" ht="15.75">
      <c r="A2" s="182" t="s">
        <v>114</v>
      </c>
      <c r="B2" s="185">
        <v>44317</v>
      </c>
      <c r="C2" s="186">
        <v>45046</v>
      </c>
      <c r="H2" t="s">
        <v>29</v>
      </c>
      <c r="I2" s="187" t="str">
        <f>"Revenue Retained "</f>
        <v>Revenue Retained </v>
      </c>
      <c r="J2" s="188"/>
      <c r="K2" s="189"/>
      <c r="L2" s="188"/>
      <c r="M2" s="189"/>
      <c r="N2" s="189"/>
      <c r="O2" s="190"/>
    </row>
    <row r="3" spans="9:15" ht="12.75">
      <c r="I3" s="191" t="s">
        <v>115</v>
      </c>
      <c r="J3" s="192"/>
      <c r="K3" s="193"/>
      <c r="L3" s="192"/>
      <c r="M3" s="193"/>
      <c r="N3" s="193"/>
      <c r="O3" s="194"/>
    </row>
    <row r="4" spans="2:19" ht="13.5" thickBot="1">
      <c r="B4" s="195" t="s">
        <v>116</v>
      </c>
      <c r="C4" s="195"/>
      <c r="D4" s="196"/>
      <c r="I4" s="165"/>
      <c r="J4" s="197" t="s">
        <v>29</v>
      </c>
      <c r="K4" s="165"/>
      <c r="L4" s="198" t="s">
        <v>117</v>
      </c>
      <c r="M4" s="165"/>
      <c r="N4" s="199" t="s">
        <v>118</v>
      </c>
      <c r="O4" s="165"/>
      <c r="Q4" s="184" t="s">
        <v>119</v>
      </c>
      <c r="S4" t="s">
        <v>113</v>
      </c>
    </row>
    <row r="5" spans="2:19" ht="12.75">
      <c r="B5" s="200" t="s">
        <v>120</v>
      </c>
      <c r="C5" s="200" t="s">
        <v>121</v>
      </c>
      <c r="D5" s="200" t="s">
        <v>29</v>
      </c>
      <c r="F5" s="201"/>
      <c r="G5" s="201"/>
      <c r="I5" t="s">
        <v>122</v>
      </c>
      <c r="J5" s="202">
        <f>L5*2</f>
        <v>193977.4</v>
      </c>
      <c r="K5" s="165"/>
      <c r="L5" s="203">
        <f>L19+L33</f>
        <v>96988.7</v>
      </c>
      <c r="M5" s="165"/>
      <c r="N5" s="203">
        <f>L5</f>
        <v>96988.7</v>
      </c>
      <c r="O5" s="165"/>
      <c r="Q5" s="184">
        <f>Q19+Q33</f>
        <v>96982.00305710803</v>
      </c>
      <c r="S5" s="180">
        <f>L5-Q5</f>
        <v>6.696942891969229</v>
      </c>
    </row>
    <row r="6" spans="1:19" ht="12.75">
      <c r="A6" s="200" t="s">
        <v>123</v>
      </c>
      <c r="B6" s="204">
        <f>'[2]King County RSA Spend 2021-2022'!P32</f>
        <v>215.88</v>
      </c>
      <c r="C6" s="204">
        <f>'[2]King County RSA Spend 2022-2023'!P29</f>
        <v>0</v>
      </c>
      <c r="D6" s="204">
        <f>SUM(B6:C6)</f>
        <v>215.88</v>
      </c>
      <c r="E6" s="205"/>
      <c r="F6" s="182"/>
      <c r="G6" s="182"/>
      <c r="I6" t="s">
        <v>124</v>
      </c>
      <c r="J6" s="202">
        <f>L6*2</f>
        <v>17375.44</v>
      </c>
      <c r="K6" s="165"/>
      <c r="L6" s="203">
        <f>L20+L34</f>
        <v>8687.72</v>
      </c>
      <c r="M6" s="165"/>
      <c r="N6" s="203">
        <f aca="true" t="shared" si="0" ref="N6:N12">L6</f>
        <v>8687.72</v>
      </c>
      <c r="O6" s="165"/>
      <c r="Q6" s="184">
        <f aca="true" t="shared" si="1" ref="Q6:Q12">Q20+Q34</f>
        <v>8687.058656771002</v>
      </c>
      <c r="S6" s="180">
        <f aca="true" t="shared" si="2" ref="S6:S14">L6-Q6</f>
        <v>0.6613432289977936</v>
      </c>
    </row>
    <row r="7" spans="1:19" ht="12.75">
      <c r="A7" s="200" t="s">
        <v>125</v>
      </c>
      <c r="B7" s="204">
        <v>11000</v>
      </c>
      <c r="C7" s="204">
        <v>11000</v>
      </c>
      <c r="D7" s="204">
        <f>SUM(B7:C7)</f>
        <v>22000</v>
      </c>
      <c r="E7" s="205"/>
      <c r="F7" s="182"/>
      <c r="G7" s="182"/>
      <c r="I7" s="165"/>
      <c r="J7" s="202"/>
      <c r="K7" s="165"/>
      <c r="L7" s="203"/>
      <c r="M7" s="165"/>
      <c r="N7" s="203"/>
      <c r="O7" s="165"/>
      <c r="S7" s="180">
        <f t="shared" si="2"/>
        <v>0</v>
      </c>
    </row>
    <row r="8" spans="1:19" ht="12.75">
      <c r="A8" s="200" t="s">
        <v>126</v>
      </c>
      <c r="B8" s="204">
        <f>'[2]Labor Expense'!P25+'[2]2021-2022 Admin Time'!I38</f>
        <v>20957.53666666667</v>
      </c>
      <c r="C8" s="204">
        <f>'[2]Labor Expense'!P34+'[2]2022-2023 Admin Time'!I38</f>
        <v>0</v>
      </c>
      <c r="D8" s="204">
        <f>SUM(B8:C8)</f>
        <v>20957.53666666667</v>
      </c>
      <c r="I8" t="s">
        <v>127</v>
      </c>
      <c r="J8" s="202">
        <f>L8*2</f>
        <v>341028.22</v>
      </c>
      <c r="K8" s="165"/>
      <c r="L8" s="203">
        <f>L22+L36</f>
        <v>170514.11</v>
      </c>
      <c r="M8" s="165"/>
      <c r="N8" s="203">
        <f t="shared" si="0"/>
        <v>170514.11</v>
      </c>
      <c r="O8" s="165"/>
      <c r="Q8" s="184">
        <f t="shared" si="1"/>
        <v>170494.83</v>
      </c>
      <c r="S8" s="180">
        <f t="shared" si="2"/>
        <v>19.279999999998836</v>
      </c>
    </row>
    <row r="9" spans="1:19" ht="12.75">
      <c r="A9" s="200" t="s">
        <v>29</v>
      </c>
      <c r="B9" s="206">
        <f>SUM(B6:B8)</f>
        <v>32173.41666666667</v>
      </c>
      <c r="C9" s="206">
        <f>SUM(C6:C8)</f>
        <v>11000</v>
      </c>
      <c r="D9" s="206">
        <f>SUM(D6:D8)</f>
        <v>43173.41666666667</v>
      </c>
      <c r="I9" t="s">
        <v>128</v>
      </c>
      <c r="J9" s="202">
        <f>L9*2</f>
        <v>3476.92</v>
      </c>
      <c r="K9" s="165"/>
      <c r="L9" s="203">
        <f>L23+L37</f>
        <v>1738.46</v>
      </c>
      <c r="M9" s="165"/>
      <c r="N9" s="203">
        <f t="shared" si="0"/>
        <v>1738.46</v>
      </c>
      <c r="O9" s="165"/>
      <c r="Q9" s="184">
        <f t="shared" si="1"/>
        <v>1738.33</v>
      </c>
      <c r="S9" s="180">
        <f t="shared" si="2"/>
        <v>0.13000000000010914</v>
      </c>
    </row>
    <row r="10" spans="1:19" ht="12.75">
      <c r="A10" s="207" t="s">
        <v>129</v>
      </c>
      <c r="B10" s="180">
        <f>0.05*B9</f>
        <v>1608.6708333333336</v>
      </c>
      <c r="C10" s="180">
        <f>0.05*C9</f>
        <v>550</v>
      </c>
      <c r="D10" s="180">
        <f>D9+B10+C10</f>
        <v>45332.08750000001</v>
      </c>
      <c r="F10" s="208"/>
      <c r="G10" s="208"/>
      <c r="I10" s="165"/>
      <c r="J10" s="202"/>
      <c r="K10" s="165"/>
      <c r="L10" s="203"/>
      <c r="M10" s="165"/>
      <c r="N10" s="203"/>
      <c r="O10" s="165"/>
      <c r="S10" s="180">
        <f t="shared" si="2"/>
        <v>0</v>
      </c>
    </row>
    <row r="11" spans="2:19" ht="12.75">
      <c r="B11" s="195" t="s">
        <v>130</v>
      </c>
      <c r="C11" s="195"/>
      <c r="D11" s="196"/>
      <c r="I11" t="s">
        <v>131</v>
      </c>
      <c r="J11" s="202">
        <f>L11*2</f>
        <v>69572.4</v>
      </c>
      <c r="K11" s="165"/>
      <c r="L11" s="203">
        <f>L25+L39</f>
        <v>34786.2</v>
      </c>
      <c r="M11" s="165"/>
      <c r="N11" s="203">
        <f t="shared" si="0"/>
        <v>34786.2</v>
      </c>
      <c r="O11" s="165"/>
      <c r="Q11" s="184">
        <f t="shared" si="1"/>
        <v>34783.4</v>
      </c>
      <c r="S11" s="180">
        <f t="shared" si="2"/>
        <v>2.7999999999956344</v>
      </c>
    </row>
    <row r="12" spans="2:19" ht="12.75">
      <c r="B12" s="200" t="s">
        <v>120</v>
      </c>
      <c r="C12" s="200" t="s">
        <v>132</v>
      </c>
      <c r="D12" s="200" t="s">
        <v>29</v>
      </c>
      <c r="I12" t="s">
        <v>133</v>
      </c>
      <c r="J12" s="202">
        <f>L12*2</f>
        <v>3801.96</v>
      </c>
      <c r="K12" s="165"/>
      <c r="L12" s="203">
        <f>L26+L40</f>
        <v>1900.98</v>
      </c>
      <c r="M12" s="165"/>
      <c r="N12" s="203">
        <f t="shared" si="0"/>
        <v>1900.98</v>
      </c>
      <c r="O12" s="165"/>
      <c r="Q12" s="184">
        <f t="shared" si="1"/>
        <v>1900.79</v>
      </c>
      <c r="S12" s="180">
        <f t="shared" si="2"/>
        <v>0.19000000000005457</v>
      </c>
    </row>
    <row r="13" spans="2:19" ht="12.75">
      <c r="B13" s="204">
        <f>'[2]Single Family'!F17+'[2]Single Family'!M17+'[2]Single Family'!T17+'[2]Multi Family'!F17+'[2]Multi Family'!M17+'[2]Multi Family'!T17</f>
        <v>314616.17</v>
      </c>
      <c r="C13" s="204">
        <f>'[2]Single Family'!F33+'[2]Single Family'!M33+'[2]Single Family'!T33+'[2]Multi Family'!F34+'[2]Multi Family'!M34+'[2]Multi Family'!T34</f>
        <v>0</v>
      </c>
      <c r="D13" s="204">
        <f>SUM(B13:C13)</f>
        <v>314616.17</v>
      </c>
      <c r="I13" s="165"/>
      <c r="J13" s="202"/>
      <c r="K13" s="165"/>
      <c r="M13" s="165"/>
      <c r="N13" s="203"/>
      <c r="O13" s="165"/>
      <c r="S13" s="180">
        <f t="shared" si="2"/>
        <v>0</v>
      </c>
    </row>
    <row r="14" spans="9:19" ht="13.5" thickBot="1">
      <c r="I14" s="209" t="s">
        <v>134</v>
      </c>
      <c r="J14" s="210">
        <f>SUM(J5,J6,J8,J9,J11,J12)</f>
        <v>629232.34</v>
      </c>
      <c r="K14" s="165"/>
      <c r="L14" s="210">
        <f>SUM(L5:L12)</f>
        <v>314616.17</v>
      </c>
      <c r="M14" s="211"/>
      <c r="N14" s="212">
        <f>L14</f>
        <v>314616.17</v>
      </c>
      <c r="O14" s="165"/>
      <c r="Q14" s="210">
        <f>SUM(Q5:Q12)</f>
        <v>314586.41171387903</v>
      </c>
      <c r="S14" s="210">
        <f t="shared" si="2"/>
        <v>29.758286120952107</v>
      </c>
    </row>
    <row r="15" spans="2:4" ht="12.75">
      <c r="B15" s="213" t="s">
        <v>135</v>
      </c>
      <c r="C15" s="213"/>
      <c r="D15" s="213"/>
    </row>
    <row r="16" spans="2:15" ht="15.75">
      <c r="B16" s="214"/>
      <c r="C16" s="214"/>
      <c r="D16" s="204">
        <f>D13-(B9+B10)</f>
        <v>280834.08249999996</v>
      </c>
      <c r="H16" t="s">
        <v>136</v>
      </c>
      <c r="I16" s="187" t="str">
        <f>"Revenue Retained "</f>
        <v>Revenue Retained </v>
      </c>
      <c r="J16" s="188"/>
      <c r="K16" s="189"/>
      <c r="L16" s="188"/>
      <c r="M16" s="189"/>
      <c r="N16" s="189"/>
      <c r="O16" s="190"/>
    </row>
    <row r="17" spans="9:15" ht="12.75">
      <c r="I17" s="191" t="s">
        <v>120</v>
      </c>
      <c r="J17" s="192"/>
      <c r="K17" s="193"/>
      <c r="L17" s="192"/>
      <c r="M17" s="193"/>
      <c r="N17" s="193"/>
      <c r="O17" s="194"/>
    </row>
    <row r="18" spans="1:19" ht="15.75" thickBot="1">
      <c r="A18" s="215"/>
      <c r="B18" s="216" t="s">
        <v>137</v>
      </c>
      <c r="C18" s="217"/>
      <c r="D18" s="218"/>
      <c r="I18" s="165"/>
      <c r="J18" s="197" t="s">
        <v>29</v>
      </c>
      <c r="K18" s="165"/>
      <c r="L18" s="198" t="s">
        <v>117</v>
      </c>
      <c r="M18" s="165"/>
      <c r="N18" s="199" t="s">
        <v>118</v>
      </c>
      <c r="O18" s="165"/>
      <c r="Q18" s="184" t="s">
        <v>119</v>
      </c>
      <c r="S18" t="s">
        <v>113</v>
      </c>
    </row>
    <row r="19" spans="1:19" ht="15">
      <c r="A19" s="215"/>
      <c r="B19" s="219" t="s">
        <v>120</v>
      </c>
      <c r="C19" s="220" t="s">
        <v>121</v>
      </c>
      <c r="D19" s="221" t="s">
        <v>29</v>
      </c>
      <c r="I19" t="s">
        <v>122</v>
      </c>
      <c r="J19" s="202">
        <f>L19*2</f>
        <v>193977.4</v>
      </c>
      <c r="K19" s="165"/>
      <c r="L19" s="222">
        <v>96988.7</v>
      </c>
      <c r="M19" s="165"/>
      <c r="N19" s="203">
        <f>L19</f>
        <v>96988.7</v>
      </c>
      <c r="O19" s="165"/>
      <c r="Q19" s="223">
        <v>96982.00305710803</v>
      </c>
      <c r="S19" s="180">
        <f>L19-Q19</f>
        <v>6.696942891969229</v>
      </c>
    </row>
    <row r="20" spans="1:19" ht="12.75">
      <c r="A20" s="224">
        <v>4172</v>
      </c>
      <c r="B20" s="225">
        <f>SUM('[2]King County RSA Spend 2021-2022'!P34+'[2]Labor Expense'!P22)</f>
        <v>720.8001333333334</v>
      </c>
      <c r="C20" s="225">
        <f>SUM('[2]Ledger'!P29+'[2]Labor Expense'!P31)</f>
        <v>0</v>
      </c>
      <c r="D20" s="225">
        <f>SUM(B20:C20)</f>
        <v>720.8001333333334</v>
      </c>
      <c r="I20" t="s">
        <v>124</v>
      </c>
      <c r="J20" s="202">
        <f>L20*2</f>
        <v>17375.44</v>
      </c>
      <c r="K20" s="165"/>
      <c r="L20" s="222">
        <v>8687.72</v>
      </c>
      <c r="M20" s="165"/>
      <c r="N20" s="203">
        <f aca="true" t="shared" si="3" ref="N20:N26">L20</f>
        <v>8687.72</v>
      </c>
      <c r="O20" s="165"/>
      <c r="Q20" s="223">
        <v>8687.058656771002</v>
      </c>
      <c r="S20" s="180">
        <f aca="true" t="shared" si="4" ref="S20:S28">L20-Q20</f>
        <v>0.6613432289977936</v>
      </c>
    </row>
    <row r="21" spans="1:19" ht="12.75">
      <c r="A21" s="220">
        <v>4176</v>
      </c>
      <c r="B21" s="225">
        <f>SUM('[2]King County RSA Spend 2021-2022'!P35+'[2]Labor Expense'!P23)</f>
        <v>10723.1296</v>
      </c>
      <c r="C21" s="225">
        <f>SUM('[2]Ledger'!P30+'[2]Labor Expense'!P32)</f>
        <v>0</v>
      </c>
      <c r="D21" s="225">
        <f>SUM(B21:C21)</f>
        <v>10723.1296</v>
      </c>
      <c r="I21" s="165"/>
      <c r="J21" s="202"/>
      <c r="K21" s="165"/>
      <c r="L21" s="203"/>
      <c r="M21" s="165"/>
      <c r="N21" s="203"/>
      <c r="O21" s="165"/>
      <c r="S21" s="180">
        <f t="shared" si="4"/>
        <v>0</v>
      </c>
    </row>
    <row r="22" spans="1:19" ht="12.75">
      <c r="A22" s="224">
        <v>4183</v>
      </c>
      <c r="B22" s="225">
        <f>SUM('[2]King County RSA Spend 2021-2022'!P36+'[2]Labor Expense'!P24)</f>
        <v>7099.820266666669</v>
      </c>
      <c r="C22" s="225">
        <f>SUM('[2]Ledger'!P31+'[2]Labor Expense'!P33)</f>
        <v>0</v>
      </c>
      <c r="D22" s="225">
        <f>SUM(B22:C22)</f>
        <v>7099.820266666669</v>
      </c>
      <c r="I22" t="s">
        <v>127</v>
      </c>
      <c r="J22" s="202">
        <f>L22*2</f>
        <v>341028.22</v>
      </c>
      <c r="K22" s="165"/>
      <c r="L22" s="222">
        <v>170514.11</v>
      </c>
      <c r="M22" s="165"/>
      <c r="N22" s="203">
        <f t="shared" si="3"/>
        <v>170514.11</v>
      </c>
      <c r="O22" s="165"/>
      <c r="Q22" s="223">
        <v>170494.83</v>
      </c>
      <c r="S22" s="180">
        <f t="shared" si="4"/>
        <v>19.279999999998836</v>
      </c>
    </row>
    <row r="23" spans="1:19" ht="15">
      <c r="A23" s="215"/>
      <c r="B23" s="226">
        <f>SUM(B20:B22)</f>
        <v>18543.750000000004</v>
      </c>
      <c r="C23" s="227">
        <f>SUM(C20:C22)</f>
        <v>0</v>
      </c>
      <c r="D23" s="228">
        <f>SUM(D20:D22)</f>
        <v>18543.750000000004</v>
      </c>
      <c r="I23" t="s">
        <v>128</v>
      </c>
      <c r="J23" s="202">
        <f>L23*2</f>
        <v>3476.92</v>
      </c>
      <c r="K23" s="165"/>
      <c r="L23" s="222">
        <v>1738.46</v>
      </c>
      <c r="M23" s="165"/>
      <c r="N23" s="203">
        <f t="shared" si="3"/>
        <v>1738.46</v>
      </c>
      <c r="O23" s="165"/>
      <c r="Q23" s="223">
        <v>1738.33</v>
      </c>
      <c r="S23" s="180">
        <f t="shared" si="4"/>
        <v>0.13000000000010914</v>
      </c>
    </row>
    <row r="24" spans="9:19" ht="12.75">
      <c r="I24" s="165"/>
      <c r="J24" s="202"/>
      <c r="K24" s="165"/>
      <c r="L24" s="203"/>
      <c r="M24" s="165"/>
      <c r="N24" s="203"/>
      <c r="O24" s="165"/>
      <c r="S24" s="180">
        <f t="shared" si="4"/>
        <v>0</v>
      </c>
    </row>
    <row r="25" spans="9:19" ht="12.75">
      <c r="I25" t="s">
        <v>131</v>
      </c>
      <c r="J25" s="202">
        <f>L25*2</f>
        <v>69572.4</v>
      </c>
      <c r="K25" s="165"/>
      <c r="L25" s="222">
        <v>34786.2</v>
      </c>
      <c r="M25" s="165"/>
      <c r="N25" s="203">
        <f t="shared" si="3"/>
        <v>34786.2</v>
      </c>
      <c r="O25" s="165"/>
      <c r="Q25" s="223">
        <v>34783.4</v>
      </c>
      <c r="S25" s="180">
        <f t="shared" si="4"/>
        <v>2.7999999999956344</v>
      </c>
    </row>
    <row r="26" spans="9:19" ht="12.75">
      <c r="I26" t="s">
        <v>133</v>
      </c>
      <c r="J26" s="202">
        <f>L26*2</f>
        <v>3801.96</v>
      </c>
      <c r="K26" s="165"/>
      <c r="L26" s="222">
        <v>1900.98</v>
      </c>
      <c r="M26" s="165"/>
      <c r="N26" s="203">
        <f t="shared" si="3"/>
        <v>1900.98</v>
      </c>
      <c r="O26" s="165"/>
      <c r="Q26" s="223">
        <v>1900.79</v>
      </c>
      <c r="S26" s="180">
        <f t="shared" si="4"/>
        <v>0.19000000000005457</v>
      </c>
    </row>
    <row r="27" spans="1:19" ht="12.75">
      <c r="A27" s="229" t="s">
        <v>138</v>
      </c>
      <c r="B27" s="230"/>
      <c r="C27" s="231"/>
      <c r="D27" s="232" t="s">
        <v>139</v>
      </c>
      <c r="E27" s="233"/>
      <c r="I27" s="165"/>
      <c r="J27" s="202"/>
      <c r="K27" s="165"/>
      <c r="M27" s="165"/>
      <c r="N27" s="234"/>
      <c r="O27" s="165"/>
      <c r="S27" s="180">
        <f t="shared" si="4"/>
        <v>0</v>
      </c>
    </row>
    <row r="28" spans="1:19" ht="15.75" thickBot="1">
      <c r="A28" s="235" t="s">
        <v>140</v>
      </c>
      <c r="B28" s="236">
        <v>25</v>
      </c>
      <c r="D28" s="237" t="s">
        <v>140</v>
      </c>
      <c r="E28" s="238">
        <v>25</v>
      </c>
      <c r="I28" s="209" t="s">
        <v>134</v>
      </c>
      <c r="J28" s="210">
        <f>SUM(J19,J20,J22,J23,J25,J26)</f>
        <v>629232.34</v>
      </c>
      <c r="K28" s="165"/>
      <c r="L28" s="210">
        <f>SUM(L19:L26)</f>
        <v>314616.17</v>
      </c>
      <c r="M28" s="211"/>
      <c r="N28" s="212">
        <f>L28</f>
        <v>314616.17</v>
      </c>
      <c r="O28" s="165"/>
      <c r="Q28" s="210">
        <f>SUM(Q19:Q26)</f>
        <v>314586.41171387903</v>
      </c>
      <c r="S28" s="210">
        <f t="shared" si="4"/>
        <v>29.758286120952107</v>
      </c>
    </row>
    <row r="29" spans="1:5" ht="12.75">
      <c r="A29" s="239" t="s">
        <v>141</v>
      </c>
      <c r="B29" s="240">
        <f>('[2]Single Family'!V17+'[2]Multi Family'!V17)/3</f>
        <v>4475.009999999999</v>
      </c>
      <c r="D29" s="237" t="s">
        <v>141</v>
      </c>
      <c r="E29" s="241">
        <v>2272</v>
      </c>
    </row>
    <row r="30" spans="1:15" ht="15.75">
      <c r="A30" s="235" t="s">
        <v>142</v>
      </c>
      <c r="B30" s="242">
        <v>0</v>
      </c>
      <c r="D30" s="237" t="s">
        <v>142</v>
      </c>
      <c r="E30" s="243">
        <v>12</v>
      </c>
      <c r="H30" t="s">
        <v>143</v>
      </c>
      <c r="I30" s="187" t="str">
        <f>"Revenue Retained "</f>
        <v>Revenue Retained </v>
      </c>
      <c r="J30" s="188"/>
      <c r="K30" s="189"/>
      <c r="L30" s="188"/>
      <c r="M30" s="189"/>
      <c r="N30" s="189"/>
      <c r="O30" s="190"/>
    </row>
    <row r="31" spans="1:15" ht="12.75">
      <c r="A31" s="244" t="s">
        <v>144</v>
      </c>
      <c r="B31" s="245">
        <f>B13+((B29*B28)*B30)</f>
        <v>314616.17</v>
      </c>
      <c r="D31" s="237" t="s">
        <v>145</v>
      </c>
      <c r="E31" s="246">
        <f>C13+((E29*E28)*E30)</f>
        <v>681600</v>
      </c>
      <c r="I31" s="191" t="s">
        <v>121</v>
      </c>
      <c r="J31" s="192"/>
      <c r="K31" s="193"/>
      <c r="L31" s="192"/>
      <c r="M31" s="193"/>
      <c r="N31" s="193"/>
      <c r="O31" s="194"/>
    </row>
    <row r="32" spans="1:19" ht="15.75" thickBot="1">
      <c r="A32" s="247" t="s">
        <v>146</v>
      </c>
      <c r="B32" s="180">
        <f>B7+(((B6+B8+B9+B10)/7)*12)</f>
        <v>105209.43571428573</v>
      </c>
      <c r="D32" s="248" t="s">
        <v>147</v>
      </c>
      <c r="E32" s="249">
        <f>B8+B10</f>
        <v>22566.207500000004</v>
      </c>
      <c r="I32" s="165"/>
      <c r="J32" s="197" t="s">
        <v>29</v>
      </c>
      <c r="K32" s="165"/>
      <c r="L32" s="198" t="s">
        <v>117</v>
      </c>
      <c r="M32" s="165"/>
      <c r="N32" s="199" t="s">
        <v>118</v>
      </c>
      <c r="O32" s="165"/>
      <c r="Q32" s="184" t="s">
        <v>119</v>
      </c>
      <c r="S32" t="s">
        <v>113</v>
      </c>
    </row>
    <row r="33" spans="1:19" ht="25.5">
      <c r="A33" s="250" t="s">
        <v>148</v>
      </c>
      <c r="B33" s="180">
        <f>B31-B32</f>
        <v>209406.73428571425</v>
      </c>
      <c r="D33" s="251" t="s">
        <v>149</v>
      </c>
      <c r="E33" s="252"/>
      <c r="I33" t="s">
        <v>122</v>
      </c>
      <c r="J33" s="202">
        <f>L33*2</f>
        <v>0</v>
      </c>
      <c r="K33" s="165"/>
      <c r="L33" s="222"/>
      <c r="M33" s="165"/>
      <c r="N33" s="203">
        <f>L33</f>
        <v>0</v>
      </c>
      <c r="O33" s="165"/>
      <c r="Q33" s="223"/>
      <c r="S33" s="180">
        <f>L33-Q33</f>
        <v>0</v>
      </c>
    </row>
    <row r="34" spans="1:19" ht="12.75">
      <c r="A34" s="183"/>
      <c r="D34" s="201" t="s">
        <v>150</v>
      </c>
      <c r="E34" s="253">
        <f>(E33+E31)-E32</f>
        <v>659033.7925</v>
      </c>
      <c r="I34" t="s">
        <v>124</v>
      </c>
      <c r="J34" s="202">
        <f>L34*2</f>
        <v>0</v>
      </c>
      <c r="K34" s="165"/>
      <c r="L34" s="222"/>
      <c r="M34" s="165"/>
      <c r="N34" s="203">
        <f aca="true" t="shared" si="5" ref="N34:N40">L34</f>
        <v>0</v>
      </c>
      <c r="O34" s="165"/>
      <c r="Q34" s="223"/>
      <c r="S34" s="180">
        <f aca="true" t="shared" si="6" ref="S34:S42">L34-Q34</f>
        <v>0</v>
      </c>
    </row>
    <row r="35" spans="4:19" ht="12.75">
      <c r="D35" s="201"/>
      <c r="E35" s="253"/>
      <c r="I35" s="165"/>
      <c r="J35" s="202"/>
      <c r="K35" s="165"/>
      <c r="L35" s="203"/>
      <c r="M35" s="165"/>
      <c r="N35" s="203"/>
      <c r="O35" s="165"/>
      <c r="S35" s="180">
        <f t="shared" si="6"/>
        <v>0</v>
      </c>
    </row>
    <row r="36" spans="9:19" ht="12.75">
      <c r="I36" t="s">
        <v>127</v>
      </c>
      <c r="J36" s="202">
        <f>L36*2</f>
        <v>0</v>
      </c>
      <c r="K36" s="165"/>
      <c r="L36" s="222"/>
      <c r="M36" s="165"/>
      <c r="N36" s="203">
        <f t="shared" si="5"/>
        <v>0</v>
      </c>
      <c r="O36" s="165"/>
      <c r="Q36" s="223"/>
      <c r="S36" s="180">
        <f t="shared" si="6"/>
        <v>0</v>
      </c>
    </row>
    <row r="37" spans="9:19" ht="12.75">
      <c r="I37" t="s">
        <v>128</v>
      </c>
      <c r="J37" s="202">
        <f>L37*2</f>
        <v>0</v>
      </c>
      <c r="K37" s="165"/>
      <c r="L37" s="222"/>
      <c r="M37" s="165"/>
      <c r="N37" s="203">
        <f t="shared" si="5"/>
        <v>0</v>
      </c>
      <c r="O37" s="165"/>
      <c r="Q37" s="223"/>
      <c r="S37" s="180">
        <f t="shared" si="6"/>
        <v>0</v>
      </c>
    </row>
    <row r="38" spans="9:19" ht="12.75">
      <c r="I38" s="165"/>
      <c r="J38" s="202"/>
      <c r="K38" s="165"/>
      <c r="L38" s="203"/>
      <c r="M38" s="165"/>
      <c r="N38" s="203"/>
      <c r="O38" s="165"/>
      <c r="S38" s="180">
        <f t="shared" si="6"/>
        <v>0</v>
      </c>
    </row>
    <row r="39" spans="9:19" ht="12.75">
      <c r="I39" t="s">
        <v>131</v>
      </c>
      <c r="J39" s="202">
        <f>L39*2</f>
        <v>0</v>
      </c>
      <c r="K39" s="165"/>
      <c r="L39" s="222"/>
      <c r="M39" s="165"/>
      <c r="N39" s="203">
        <f t="shared" si="5"/>
        <v>0</v>
      </c>
      <c r="O39" s="165"/>
      <c r="Q39" s="223"/>
      <c r="S39" s="180">
        <f t="shared" si="6"/>
        <v>0</v>
      </c>
    </row>
    <row r="40" spans="9:19" ht="12.75">
      <c r="I40" t="s">
        <v>133</v>
      </c>
      <c r="J40" s="202">
        <f>L40*2</f>
        <v>0</v>
      </c>
      <c r="K40" s="165"/>
      <c r="L40" s="222"/>
      <c r="M40" s="165"/>
      <c r="N40" s="203">
        <f t="shared" si="5"/>
        <v>0</v>
      </c>
      <c r="O40" s="165"/>
      <c r="Q40" s="223"/>
      <c r="S40" s="180">
        <f t="shared" si="6"/>
        <v>0</v>
      </c>
    </row>
    <row r="41" spans="9:19" ht="12.75">
      <c r="I41" s="165"/>
      <c r="J41" s="202"/>
      <c r="K41" s="165"/>
      <c r="M41" s="165"/>
      <c r="N41" s="234"/>
      <c r="O41" s="165"/>
      <c r="S41" s="180">
        <f t="shared" si="6"/>
        <v>0</v>
      </c>
    </row>
    <row r="42" spans="9:19" ht="13.5" thickBot="1">
      <c r="I42" s="209" t="s">
        <v>134</v>
      </c>
      <c r="J42" s="210">
        <f>SUM(J33,J34,J36,J37,J39,J40)</f>
        <v>0</v>
      </c>
      <c r="K42" s="165"/>
      <c r="L42" s="210">
        <f>SUM(L33:L40)</f>
        <v>0</v>
      </c>
      <c r="M42" s="211"/>
      <c r="N42" s="212">
        <f>L42</f>
        <v>0</v>
      </c>
      <c r="O42" s="165"/>
      <c r="Q42" s="210">
        <f>SUM(Q33:Q40)</f>
        <v>0</v>
      </c>
      <c r="S42" s="210">
        <f t="shared" si="6"/>
        <v>0</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Gualberto, Christopher</cp:lastModifiedBy>
  <cp:lastPrinted>2019-06-14T17:34:22Z</cp:lastPrinted>
  <dcterms:created xsi:type="dcterms:W3CDTF">2008-05-23T15:47:44Z</dcterms:created>
  <dcterms:modified xsi:type="dcterms:W3CDTF">2022-06-14T21:01:51Z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Kent-Meridian Disposal Company  </vt:lpwstr>
  </property>
  <property fmtid="{D5CDD505-2E9C-101B-9397-08002B2CF9AE}" pid="8" name="IsConfidential">
    <vt:lpwstr>0</vt:lpwstr>
  </property>
  <property fmtid="{D5CDD505-2E9C-101B-9397-08002B2CF9AE}" pid="9" name="IsEFSEC">
    <vt:lpwstr>0</vt:lpwstr>
  </property>
  <property fmtid="{D5CDD505-2E9C-101B-9397-08002B2CF9AE}" pid="10" name="DocketNumber">
    <vt:lpwstr>220456</vt:lpwstr>
  </property>
  <property fmtid="{D5CDD505-2E9C-101B-9397-08002B2CF9AE}" pid="11" name="Date1">
    <vt:lpwstr>2022-06-15T00:00:00Z</vt:lpwstr>
  </property>
  <property fmtid="{D5CDD505-2E9C-101B-9397-08002B2CF9AE}" pid="12" name="Nickname">
    <vt:lpwstr/>
  </property>
  <property fmtid="{D5CDD505-2E9C-101B-9397-08002B2CF9AE}" pid="13" name="CaseType">
    <vt:lpwstr>Tariff Revision</vt:lpwstr>
  </property>
  <property fmtid="{D5CDD505-2E9C-101B-9397-08002B2CF9AE}" pid="14" name="OpenedDate">
    <vt:lpwstr>2022-06-15T00:00:00Z</vt:lpwstr>
  </property>
  <property fmtid="{D5CDD505-2E9C-101B-9397-08002B2CF9AE}" pid="15" name="Prefix">
    <vt:lpwstr>TG</vt:lpwstr>
  </property>
  <property fmtid="{D5CDD505-2E9C-101B-9397-08002B2CF9AE}" pid="16" name="IndustryCode">
    <vt:lpwstr>227</vt:lpwstr>
  </property>
  <property fmtid="{D5CDD505-2E9C-101B-9397-08002B2CF9AE}" pid="17" name="CaseStatus">
    <vt:lpwstr>Closed</vt:lpwstr>
  </property>
  <property fmtid="{D5CDD505-2E9C-101B-9397-08002B2CF9AE}" pid="18" name="_docset_NoMedatataSyncRequired">
    <vt:lpwstr>False</vt:lpwstr>
  </property>
</Properties>
</file>