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60" windowWidth="17655" windowHeight="7380" activeTab="0"/>
  </bookViews>
  <sheets>
    <sheet name="WUTC_AW of Lynnwood_MF" sheetId="1" r:id="rId1"/>
    <sheet name="Value" sheetId="2" r:id="rId2"/>
    <sheet name="Pricing" sheetId="3" r:id="rId3"/>
    <sheet name="Commodity Tonnages" sheetId="4" r:id="rId4"/>
    <sheet name="Multi_Family" sheetId="5" r:id="rId5"/>
    <sheet name="RSA" sheetId="6" r:id="rId6"/>
    <sheet name="Recap" sheetId="7" r:id="rId7"/>
  </sheets>
  <externalReferences>
    <externalReference r:id="rId10"/>
    <externalReference r:id="rId11"/>
  </externalReferences>
  <definedNames>
    <definedName name="_xlfn.IFERROR" hidden="1">#NAME?</definedName>
    <definedName name="_xlfn.SINGLE" hidden="1">#NAME?</definedName>
    <definedName name="color" localSheetId="6">#REF!</definedName>
    <definedName name="color">#REF!</definedName>
    <definedName name="_xlnm.Print_Area" localSheetId="4">'Multi_Family'!$A$7:$N$102</definedName>
    <definedName name="_xlnm.Print_Area" localSheetId="2">'Pricing'!$A$1:$L$17</definedName>
    <definedName name="_xlnm.Print_Area" localSheetId="0">'WUTC_AW of Lynnwood_MF'!$A$1:$P$72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Hart, Abby Rose</author>
    <author>Johnson, Carla</author>
  </authors>
  <commentList>
    <comment ref="F34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
</t>
        </r>
      </text>
    </comment>
    <comment ref="F38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</t>
        </r>
      </text>
    </comment>
    <comment ref="B8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Workbook/MF/4197 yards column D</t>
        </r>
      </text>
    </comment>
  </commentList>
</comments>
</file>

<file path=xl/comments5.xml><?xml version="1.0" encoding="utf-8"?>
<comments xmlns="http://schemas.openxmlformats.org/spreadsheetml/2006/main">
  <authors>
    <author>Alex Brenner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</commentList>
</comments>
</file>

<file path=xl/comments6.xml><?xml version="1.0" encoding="utf-8"?>
<comments xmlns="http://schemas.openxmlformats.org/spreadsheetml/2006/main">
  <authors>
    <author>Gualberto, Christopher</author>
  </authors>
  <commentList>
    <comment ref="C4" authorId="0">
      <text>
        <r>
          <rPr>
            <b/>
            <sz val="9"/>
            <rFont val="Tahoma"/>
            <family val="0"/>
          </rPr>
          <t>Gualberto, Christopher:</t>
        </r>
        <r>
          <rPr>
            <sz val="9"/>
            <rFont val="Tahoma"/>
            <family val="0"/>
          </rPr>
          <t xml:space="preserve">
from RSA file</t>
        </r>
      </text>
    </comment>
  </commentList>
</comments>
</file>

<file path=xl/comments7.xml><?xml version="1.0" encoding="utf-8"?>
<comments xmlns="http://schemas.openxmlformats.org/spreadsheetml/2006/main">
  <authors>
    <author>Jody Reid</author>
  </authors>
  <commentList>
    <comment ref="J4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4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  <comment ref="J12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12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  <comment ref="J21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21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</commentList>
</comments>
</file>

<file path=xl/sharedStrings.xml><?xml version="1.0" encoding="utf-8"?>
<sst xmlns="http://schemas.openxmlformats.org/spreadsheetml/2006/main" count="242" uniqueCount="118">
  <si>
    <t>Deferred Accounting Methodology</t>
  </si>
  <si>
    <t>Commodity</t>
  </si>
  <si>
    <t>Revenue</t>
  </si>
  <si>
    <t>Month</t>
  </si>
  <si>
    <t>(b1)</t>
  </si>
  <si>
    <t>(b2)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</si>
  <si>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</si>
  <si>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</si>
  <si>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</si>
  <si>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</si>
  <si>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</si>
  <si>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</si>
  <si>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</si>
  <si>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</si>
  <si>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Alum</t>
  </si>
  <si>
    <t>Glass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</si>
  <si>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</si>
  <si>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</si>
  <si>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</si>
  <si>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</si>
  <si>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</si>
  <si>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</si>
  <si>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</si>
  <si>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</si>
  <si>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</si>
  <si>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</si>
  <si>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</si>
  <si>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</si>
  <si>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</si>
  <si>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</si>
  <si>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</si>
  <si>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</si>
  <si>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</si>
  <si>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</si>
  <si>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</si>
  <si>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</si>
  <si>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</si>
  <si>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</si>
  <si>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</si>
  <si>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</si>
  <si>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</si>
  <si>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</si>
  <si>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</si>
  <si>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</si>
  <si>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</si>
  <si>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</si>
  <si>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</si>
  <si>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</si>
  <si>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</si>
  <si>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</si>
  <si>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</si>
  <si>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</si>
  <si>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</si>
  <si>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</si>
  <si>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</si>
  <si>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</si>
  <si>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</si>
  <si>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</si>
  <si>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</si>
  <si>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</si>
  <si>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</si>
  <si>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</si>
  <si>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</si>
  <si>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.</t>
  </si>
  <si>
    <t>Rabanco Ltd (dba Allied Waste of Lynnwood)</t>
  </si>
  <si>
    <t>3.5x Compaction</t>
  </si>
  <si>
    <t>5x Compaction</t>
  </si>
  <si>
    <t>TG-12______</t>
  </si>
  <si>
    <t>For use in Budget Calculation</t>
  </si>
  <si>
    <t>Total Trailing 12 Mo. Commodity Value / Customer</t>
  </si>
  <si>
    <t>Most recent Total # of Customers</t>
  </si>
  <si>
    <t>% of Revenue Passed Back</t>
  </si>
  <si>
    <t>Budget total Revenue</t>
  </si>
  <si>
    <t>Budget Revenue Passed Back</t>
  </si>
  <si>
    <t>% Passed Back</t>
  </si>
  <si>
    <t xml:space="preserve"> Projected Debit</t>
  </si>
  <si>
    <t xml:space="preserve"> True-up Computation</t>
  </si>
  <si>
    <t>Material Shrinkage</t>
  </si>
  <si>
    <t>Shrinkage</t>
  </si>
  <si>
    <t>Metal</t>
  </si>
  <si>
    <t>Total twelve months</t>
  </si>
  <si>
    <t>Total Annual Customers</t>
  </si>
  <si>
    <t>Multi-Family Unspent RSA Passback</t>
  </si>
  <si>
    <t>12 month running average "BASE CREDIT"</t>
  </si>
  <si>
    <t>Commodity Value Timeframe:  May-April</t>
  </si>
  <si>
    <t>Underspent RSA per Snohomish report</t>
  </si>
  <si>
    <t>SF portion</t>
  </si>
  <si>
    <t>MF portion</t>
  </si>
  <si>
    <t>Lynnwood</t>
  </si>
  <si>
    <t>RSA Rev breakdown:</t>
  </si>
  <si>
    <t>SF $</t>
  </si>
  <si>
    <t>MF $</t>
  </si>
  <si>
    <t>SF %</t>
  </si>
  <si>
    <t>MF %</t>
  </si>
  <si>
    <t>Bellevue SF RSA Unspent</t>
  </si>
  <si>
    <t>Credit per customer</t>
  </si>
  <si>
    <t>Total Annual Yards</t>
  </si>
  <si>
    <t>Per RSA File</t>
  </si>
  <si>
    <t>Per UTC Filing</t>
  </si>
  <si>
    <t>Variance</t>
  </si>
  <si>
    <t>50% RSA Retained</t>
  </si>
  <si>
    <t>50% Passed to Customers</t>
  </si>
  <si>
    <t>Commodity Revenue</t>
  </si>
  <si>
    <t xml:space="preserve">197 Lynnwood Single-Family Value </t>
  </si>
  <si>
    <t xml:space="preserve">Lynnwood Multi-Family Value </t>
  </si>
  <si>
    <t>Total Revenue Retained</t>
  </si>
  <si>
    <t>Year 1</t>
  </si>
  <si>
    <t>Year 2</t>
  </si>
  <si>
    <t>Excess Commodity Value</t>
  </si>
  <si>
    <t>Prior three months</t>
  </si>
  <si>
    <t>Current nine months</t>
  </si>
  <si>
    <t>2021/2022 Monthly True-up Amount</t>
  </si>
  <si>
    <t>8/1/22 - 7/31/23 Adjusted Credit</t>
  </si>
  <si>
    <t>Total Passback at end of 2 year plan year 2023</t>
  </si>
  <si>
    <t>See Snohomish County letter requesting rollover into Plan Year #2</t>
  </si>
  <si>
    <t>2021 - 2023</t>
  </si>
  <si>
    <t>2021 - 2022</t>
  </si>
  <si>
    <t>2022 - 2023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</si>
</sst>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_(* #,##0.000_);_(* \(#,##0.000\);_(* &quot;-&quot;_);_(@_)"/>
    <numFmt numFmtId="168" formatCode="mmmm"/>
    <numFmt numFmtId="169" formatCode="#,##0.000"/>
    <numFmt numFmtId="170" formatCode="#,##0.0000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_);_(@_)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_);_(@_)"/>
    <numFmt numFmtId="181" formatCode="&quot;$&quot;#,##0.00"/>
    <numFmt numFmtId="182" formatCode="0.000"/>
    <numFmt numFmtId="183" formatCode="_(&quot;$&quot;* #,##0.0_);_(&quot;$&quot;* \(#,##0.0\);_(&quot;$&quot;* &quot;-&quot;??_);_(@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6" fillId="0" borderId="0" xfId="61">
      <alignment/>
      <protection/>
    </xf>
    <xf numFmtId="0" fontId="9" fillId="0" borderId="0" xfId="61" applyFont="1">
      <alignment/>
      <protection/>
    </xf>
    <xf numFmtId="14" fontId="7" fillId="0" borderId="0" xfId="61" applyNumberFormat="1" applyFont="1" applyAlignment="1">
      <alignment horizontal="center"/>
      <protection/>
    </xf>
    <xf numFmtId="0" fontId="10" fillId="0" borderId="0" xfId="61" applyFont="1">
      <alignment/>
      <protection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166" fontId="9" fillId="0" borderId="0" xfId="61" applyNumberFormat="1" applyFont="1" applyAlignment="1">
      <alignment horizontal="center"/>
      <protection/>
    </xf>
    <xf numFmtId="1" fontId="7" fillId="0" borderId="0" xfId="61" applyNumberFormat="1" applyFont="1">
      <alignment/>
      <protection/>
    </xf>
    <xf numFmtId="41" fontId="7" fillId="0" borderId="0" xfId="61" applyNumberFormat="1" applyFont="1">
      <alignment/>
      <protection/>
    </xf>
    <xf numFmtId="166" fontId="9" fillId="0" borderId="0" xfId="61" applyNumberFormat="1" applyFont="1">
      <alignment/>
      <protection/>
    </xf>
    <xf numFmtId="166" fontId="7" fillId="0" borderId="0" xfId="61" applyNumberFormat="1" applyFont="1">
      <alignment/>
      <protection/>
    </xf>
    <xf numFmtId="168" fontId="7" fillId="0" borderId="0" xfId="61" applyNumberFormat="1" applyFont="1" applyAlignment="1">
      <alignment horizontal="right"/>
      <protection/>
    </xf>
    <xf numFmtId="41" fontId="13" fillId="0" borderId="0" xfId="61" applyNumberFormat="1" applyFont="1" applyAlignment="1">
      <alignment horizontal="left"/>
      <protection/>
    </xf>
    <xf numFmtId="41" fontId="7" fillId="0" borderId="10" xfId="61" applyNumberFormat="1" applyFont="1" applyBorder="1">
      <alignment/>
      <protection/>
    </xf>
    <xf numFmtId="166" fontId="7" fillId="0" borderId="10" xfId="61" applyNumberFormat="1" applyFont="1" applyBorder="1">
      <alignment/>
      <protection/>
    </xf>
    <xf numFmtId="167" fontId="7" fillId="0" borderId="0" xfId="61" applyNumberFormat="1" applyFont="1">
      <alignment/>
      <protection/>
    </xf>
    <xf numFmtId="166" fontId="6" fillId="0" borderId="0" xfId="61" applyNumberFormat="1">
      <alignment/>
      <protection/>
    </xf>
    <xf numFmtId="41" fontId="7" fillId="0" borderId="11" xfId="61" applyNumberFormat="1" applyFont="1" applyBorder="1">
      <alignment/>
      <protection/>
    </xf>
    <xf numFmtId="166" fontId="7" fillId="0" borderId="11" xfId="61" applyNumberFormat="1" applyFont="1" applyBorder="1">
      <alignment/>
      <protection/>
    </xf>
    <xf numFmtId="41" fontId="9" fillId="0" borderId="12" xfId="61" applyNumberFormat="1" applyFont="1" applyBorder="1">
      <alignment/>
      <protection/>
    </xf>
    <xf numFmtId="41" fontId="7" fillId="0" borderId="12" xfId="61" applyNumberFormat="1" applyFont="1" applyBorder="1">
      <alignment/>
      <protection/>
    </xf>
    <xf numFmtId="41" fontId="10" fillId="0" borderId="0" xfId="61" applyNumberFormat="1" applyFont="1">
      <alignment/>
      <protection/>
    </xf>
    <xf numFmtId="41" fontId="7" fillId="0" borderId="0" xfId="61" applyNumberFormat="1" applyFont="1" applyAlignment="1">
      <alignment horizontal="right"/>
      <protection/>
    </xf>
    <xf numFmtId="1" fontId="10" fillId="0" borderId="0" xfId="61" applyNumberFormat="1" applyFont="1">
      <alignment/>
      <protection/>
    </xf>
    <xf numFmtId="41" fontId="7" fillId="0" borderId="0" xfId="61" applyNumberFormat="1" applyFont="1" applyBorder="1">
      <alignment/>
      <protection/>
    </xf>
    <xf numFmtId="41" fontId="7" fillId="0" borderId="13" xfId="61" applyNumberFormat="1" applyFont="1" applyBorder="1">
      <alignment/>
      <protection/>
    </xf>
    <xf numFmtId="41" fontId="7" fillId="0" borderId="14" xfId="61" applyNumberFormat="1" applyFont="1" applyBorder="1">
      <alignment/>
      <protection/>
    </xf>
    <xf numFmtId="41" fontId="7" fillId="0" borderId="15" xfId="61" applyNumberFormat="1" applyFont="1" applyBorder="1">
      <alignment/>
      <protection/>
    </xf>
    <xf numFmtId="167" fontId="7" fillId="0" borderId="11" xfId="61" applyNumberFormat="1" applyFont="1" applyBorder="1">
      <alignment/>
      <protection/>
    </xf>
    <xf numFmtId="166" fontId="7" fillId="0" borderId="13" xfId="61" applyNumberFormat="1" applyFont="1" applyBorder="1">
      <alignment/>
      <protection/>
    </xf>
    <xf numFmtId="166" fontId="7" fillId="0" borderId="15" xfId="61" applyNumberFormat="1" applyFont="1" applyBorder="1">
      <alignment/>
      <protection/>
    </xf>
    <xf numFmtId="2" fontId="6" fillId="0" borderId="0" xfId="61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4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0" fontId="0" fillId="0" borderId="0" xfId="0" applyNumberFormat="1" applyAlignment="1">
      <alignment/>
    </xf>
    <xf numFmtId="165" fontId="0" fillId="0" borderId="0" xfId="64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4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4" applyNumberFormat="1" applyFont="1" applyAlignment="1">
      <alignment/>
    </xf>
    <xf numFmtId="10" fontId="9" fillId="33" borderId="0" xfId="64" applyNumberFormat="1" applyFont="1" applyFill="1" applyAlignment="1">
      <alignment/>
    </xf>
    <xf numFmtId="9" fontId="7" fillId="0" borderId="0" xfId="64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7" fillId="0" borderId="0" xfId="44" applyFont="1" applyAlignment="1">
      <alignment/>
    </xf>
    <xf numFmtId="44" fontId="7" fillId="0" borderId="14" xfId="44" applyFont="1" applyBorder="1" applyAlignment="1">
      <alignment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6" fontId="7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0" fontId="11" fillId="0" borderId="0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166" fontId="9" fillId="0" borderId="0" xfId="61" applyNumberFormat="1" applyFont="1" applyBorder="1" applyAlignment="1">
      <alignment horizontal="center"/>
      <protection/>
    </xf>
    <xf numFmtId="166" fontId="9" fillId="0" borderId="0" xfId="61" applyNumberFormat="1" applyFont="1" applyBorder="1">
      <alignment/>
      <protection/>
    </xf>
    <xf numFmtId="168" fontId="7" fillId="0" borderId="0" xfId="61" applyNumberFormat="1" applyFont="1" applyBorder="1" applyAlignment="1">
      <alignment horizontal="right"/>
      <protection/>
    </xf>
    <xf numFmtId="41" fontId="12" fillId="0" borderId="0" xfId="61" applyNumberFormat="1" applyFont="1" applyBorder="1">
      <alignment/>
      <protection/>
    </xf>
    <xf numFmtId="41" fontId="13" fillId="0" borderId="0" xfId="61" applyNumberFormat="1" applyFont="1" applyBorder="1" applyAlignment="1">
      <alignment horizontal="left"/>
      <protection/>
    </xf>
    <xf numFmtId="0" fontId="6" fillId="0" borderId="0" xfId="61" applyBorder="1">
      <alignment/>
      <protection/>
    </xf>
    <xf numFmtId="166" fontId="6" fillId="0" borderId="0" xfId="61" applyNumberFormat="1" applyBorder="1">
      <alignment/>
      <protection/>
    </xf>
    <xf numFmtId="168" fontId="7" fillId="0" borderId="0" xfId="61" applyNumberFormat="1" applyFont="1" applyBorder="1">
      <alignment/>
      <protection/>
    </xf>
    <xf numFmtId="167" fontId="7" fillId="0" borderId="0" xfId="61" applyNumberFormat="1" applyFont="1" applyBorder="1">
      <alignment/>
      <protection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4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61" applyNumberFormat="1" applyFont="1" applyAlignment="1">
      <alignment horizontal="right"/>
      <protection/>
    </xf>
    <xf numFmtId="168" fontId="7" fillId="0" borderId="0" xfId="61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3" fontId="7" fillId="0" borderId="10" xfId="42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8" fontId="7" fillId="0" borderId="0" xfId="44" applyNumberFormat="1" applyFont="1" applyFill="1" applyAlignment="1" quotePrefix="1">
      <alignment/>
    </xf>
    <xf numFmtId="164" fontId="7" fillId="0" borderId="0" xfId="61" applyNumberFormat="1" applyFont="1">
      <alignment/>
      <protection/>
    </xf>
    <xf numFmtId="175" fontId="1" fillId="0" borderId="0" xfId="64" applyNumberFormat="1" applyFont="1" applyAlignment="1">
      <alignment/>
    </xf>
    <xf numFmtId="0" fontId="16" fillId="0" borderId="16" xfId="61" applyFont="1" applyBorder="1" applyAlignment="1">
      <alignment horizontal="center"/>
      <protection/>
    </xf>
    <xf numFmtId="0" fontId="7" fillId="0" borderId="0" xfId="61" applyFont="1" applyBorder="1">
      <alignment/>
      <protection/>
    </xf>
    <xf numFmtId="166" fontId="16" fillId="0" borderId="17" xfId="61" applyNumberFormat="1" applyFont="1" applyBorder="1" applyAlignment="1">
      <alignment horizontal="center"/>
      <protection/>
    </xf>
    <xf numFmtId="166" fontId="17" fillId="0" borderId="17" xfId="61" applyNumberFormat="1" applyFont="1" applyFill="1" applyBorder="1" applyAlignment="1">
      <alignment horizontal="center"/>
      <protection/>
    </xf>
    <xf numFmtId="41" fontId="13" fillId="0" borderId="17" xfId="61" applyNumberFormat="1" applyFont="1" applyBorder="1">
      <alignment/>
      <protection/>
    </xf>
    <xf numFmtId="167" fontId="9" fillId="0" borderId="17" xfId="61" applyNumberFormat="1" applyFont="1" applyBorder="1">
      <alignment/>
      <protection/>
    </xf>
    <xf numFmtId="175" fontId="7" fillId="0" borderId="0" xfId="64" applyNumberFormat="1" applyFont="1" applyAlignment="1">
      <alignment/>
    </xf>
    <xf numFmtId="166" fontId="7" fillId="35" borderId="0" xfId="61" applyNumberFormat="1" applyFont="1" applyFill="1">
      <alignment/>
      <protection/>
    </xf>
    <xf numFmtId="41" fontId="7" fillId="35" borderId="18" xfId="61" applyNumberFormat="1" applyFont="1" applyFill="1" applyBorder="1">
      <alignment/>
      <protection/>
    </xf>
    <xf numFmtId="166" fontId="12" fillId="0" borderId="0" xfId="61" applyNumberFormat="1" applyFont="1" applyFill="1" applyAlignment="1">
      <alignment horizontal="center"/>
      <protection/>
    </xf>
    <xf numFmtId="166" fontId="7" fillId="35" borderId="11" xfId="61" applyNumberFormat="1" applyFont="1" applyFill="1" applyBorder="1">
      <alignment/>
      <protection/>
    </xf>
    <xf numFmtId="44" fontId="7" fillId="34" borderId="19" xfId="44" applyNumberFormat="1" applyFont="1" applyFill="1" applyBorder="1" applyAlignment="1">
      <alignment/>
    </xf>
    <xf numFmtId="44" fontId="7" fillId="34" borderId="19" xfId="44" applyNumberFormat="1" applyFont="1" applyFill="1" applyBorder="1" applyAlignment="1">
      <alignment horizontal="center"/>
    </xf>
    <xf numFmtId="44" fontId="57" fillId="34" borderId="19" xfId="44" applyNumberFormat="1" applyFont="1" applyFill="1" applyBorder="1" applyAlignment="1">
      <alignment/>
    </xf>
    <xf numFmtId="44" fontId="57" fillId="34" borderId="19" xfId="44" applyNumberFormat="1" applyFont="1" applyFill="1" applyBorder="1" applyAlignment="1">
      <alignment horizontal="center"/>
    </xf>
    <xf numFmtId="166" fontId="7" fillId="36" borderId="15" xfId="61" applyNumberFormat="1" applyFont="1" applyFill="1" applyBorder="1">
      <alignment/>
      <protection/>
    </xf>
    <xf numFmtId="166" fontId="7" fillId="36" borderId="0" xfId="61" applyNumberFormat="1" applyFont="1" applyFill="1">
      <alignment/>
      <protection/>
    </xf>
    <xf numFmtId="175" fontId="7" fillId="36" borderId="19" xfId="64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8" fontId="7" fillId="0" borderId="0" xfId="0" applyNumberFormat="1" applyFont="1" applyAlignment="1">
      <alignment/>
    </xf>
    <xf numFmtId="43" fontId="7" fillId="0" borderId="14" xfId="42" applyFont="1" applyFill="1" applyBorder="1" applyAlignment="1">
      <alignment/>
    </xf>
    <xf numFmtId="43" fontId="7" fillId="0" borderId="0" xfId="0" applyNumberFormat="1" applyFont="1" applyFill="1" applyAlignment="1">
      <alignment/>
    </xf>
    <xf numFmtId="10" fontId="7" fillId="0" borderId="0" xfId="64" applyNumberFormat="1" applyFont="1" applyFill="1" applyAlignment="1">
      <alignment/>
    </xf>
    <xf numFmtId="43" fontId="7" fillId="0" borderId="0" xfId="42" applyFont="1" applyFill="1" applyAlignment="1">
      <alignment/>
    </xf>
    <xf numFmtId="43" fontId="7" fillId="0" borderId="0" xfId="42" applyNumberFormat="1" applyFont="1" applyFill="1" applyAlignment="1">
      <alignment/>
    </xf>
    <xf numFmtId="43" fontId="9" fillId="0" borderId="13" xfId="42" applyFont="1" applyFill="1" applyBorder="1" applyAlignment="1">
      <alignment/>
    </xf>
    <xf numFmtId="43" fontId="9" fillId="0" borderId="0" xfId="42" applyFont="1" applyFill="1" applyAlignment="1">
      <alignment/>
    </xf>
    <xf numFmtId="41" fontId="58" fillId="37" borderId="20" xfId="61" applyNumberFormat="1" applyFont="1" applyFill="1" applyBorder="1">
      <alignment/>
      <protection/>
    </xf>
    <xf numFmtId="41" fontId="58" fillId="37" borderId="20" xfId="61" applyNumberFormat="1" applyFont="1" applyFill="1" applyBorder="1" applyAlignment="1">
      <alignment horizontal="center"/>
      <protection/>
    </xf>
    <xf numFmtId="41" fontId="7" fillId="35" borderId="0" xfId="61" applyNumberFormat="1" applyFont="1" applyFill="1" applyBorder="1">
      <alignment/>
      <protection/>
    </xf>
    <xf numFmtId="175" fontId="59" fillId="37" borderId="20" xfId="64" applyNumberFormat="1" applyFont="1" applyFill="1" applyBorder="1" applyAlignment="1">
      <alignment horizontal="center"/>
    </xf>
    <xf numFmtId="167" fontId="58" fillId="37" borderId="20" xfId="61" applyNumberFormat="1" applyFont="1" applyFill="1" applyBorder="1">
      <alignment/>
      <protection/>
    </xf>
    <xf numFmtId="43" fontId="7" fillId="0" borderId="0" xfId="42" applyFont="1" applyFill="1" applyAlignment="1" quotePrefix="1">
      <alignment/>
    </xf>
    <xf numFmtId="43" fontId="7" fillId="0" borderId="0" xfId="42" applyNumberFormat="1" applyFont="1" applyFill="1" applyAlignment="1" quotePrefix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4" fontId="7" fillId="0" borderId="0" xfId="44" applyNumberFormat="1" applyFont="1" applyAlignment="1" quotePrefix="1">
      <alignment/>
    </xf>
    <xf numFmtId="44" fontId="7" fillId="0" borderId="0" xfId="44" applyNumberFormat="1" applyFont="1" applyFill="1" applyAlignment="1" quotePrefix="1">
      <alignment/>
    </xf>
    <xf numFmtId="0" fontId="0" fillId="0" borderId="0" xfId="0" applyFont="1" applyAlignment="1">
      <alignment/>
    </xf>
    <xf numFmtId="17" fontId="7" fillId="34" borderId="0" xfId="0" applyNumberFormat="1" applyFont="1" applyFill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81" fontId="1" fillId="0" borderId="23" xfId="0" applyNumberFormat="1" applyFont="1" applyBorder="1" applyAlignment="1">
      <alignment/>
    </xf>
    <xf numFmtId="0" fontId="1" fillId="0" borderId="0" xfId="0" applyFont="1" applyAlignment="1">
      <alignment/>
    </xf>
    <xf numFmtId="181" fontId="0" fillId="0" borderId="0" xfId="0" applyNumberFormat="1" applyAlignment="1">
      <alignment/>
    </xf>
    <xf numFmtId="181" fontId="0" fillId="32" borderId="19" xfId="0" applyNumberFormat="1" applyFill="1" applyBorder="1" applyAlignment="1">
      <alignment/>
    </xf>
    <xf numFmtId="44" fontId="0" fillId="0" borderId="19" xfId="44" applyFont="1" applyBorder="1" applyAlignment="1">
      <alignment/>
    </xf>
    <xf numFmtId="10" fontId="0" fillId="0" borderId="19" xfId="0" applyNumberFormat="1" applyBorder="1" applyAlignment="1">
      <alignment/>
    </xf>
    <xf numFmtId="41" fontId="0" fillId="0" borderId="0" xfId="0" applyNumberFormat="1" applyAlignment="1">
      <alignment/>
    </xf>
    <xf numFmtId="182" fontId="0" fillId="0" borderId="0" xfId="0" applyNumberFormat="1" applyAlignment="1">
      <alignment/>
    </xf>
    <xf numFmtId="44" fontId="7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20" fillId="38" borderId="24" xfId="60" applyFont="1" applyFill="1" applyBorder="1">
      <alignment/>
      <protection/>
    </xf>
    <xf numFmtId="171" fontId="0" fillId="38" borderId="10" xfId="60" applyNumberFormat="1" applyFont="1" applyFill="1" applyBorder="1">
      <alignment/>
      <protection/>
    </xf>
    <xf numFmtId="0" fontId="0" fillId="38" borderId="10" xfId="60" applyFont="1" applyFill="1" applyBorder="1">
      <alignment/>
      <protection/>
    </xf>
    <xf numFmtId="171" fontId="0" fillId="38" borderId="25" xfId="47" applyNumberFormat="1" applyFont="1" applyFill="1" applyBorder="1" applyAlignment="1">
      <alignment/>
    </xf>
    <xf numFmtId="0" fontId="0" fillId="0" borderId="0" xfId="60" applyFont="1">
      <alignment/>
      <protection/>
    </xf>
    <xf numFmtId="171" fontId="0" fillId="0" borderId="0" xfId="60" applyNumberFormat="1" applyFont="1">
      <alignment/>
      <protection/>
    </xf>
    <xf numFmtId="0" fontId="0" fillId="0" borderId="0" xfId="60" applyFont="1">
      <alignment/>
      <protection/>
    </xf>
    <xf numFmtId="171" fontId="0" fillId="0" borderId="0" xfId="47" applyNumberFormat="1" applyFont="1" applyAlignment="1">
      <alignment/>
    </xf>
    <xf numFmtId="171" fontId="0" fillId="0" borderId="26" xfId="0" applyNumberFormat="1" applyFont="1" applyBorder="1" applyAlignment="1">
      <alignment horizontal="center"/>
    </xf>
    <xf numFmtId="171" fontId="0" fillId="0" borderId="26" xfId="0" applyNumberFormat="1" applyBorder="1" applyAlignment="1">
      <alignment/>
    </xf>
    <xf numFmtId="171" fontId="0" fillId="0" borderId="26" xfId="44" applyNumberFormat="1" applyFont="1" applyBorder="1" applyAlignment="1">
      <alignment horizontal="center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right"/>
    </xf>
    <xf numFmtId="4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4" fontId="1" fillId="0" borderId="27" xfId="44" applyFont="1" applyBorder="1" applyAlignment="1">
      <alignment/>
    </xf>
    <xf numFmtId="0" fontId="0" fillId="0" borderId="0" xfId="0" applyFont="1" applyAlignment="1">
      <alignment horizontal="right"/>
    </xf>
    <xf numFmtId="44" fontId="0" fillId="37" borderId="0" xfId="0" applyNumberFormat="1" applyFont="1" applyFill="1" applyAlignment="1">
      <alignment horizontal="right"/>
    </xf>
    <xf numFmtId="44" fontId="0" fillId="37" borderId="0" xfId="44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3" xfId="60"/>
    <cellStyle name="Normal_98REC_CR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30</xdr:row>
      <xdr:rowOff>0</xdr:rowOff>
    </xdr:from>
    <xdr:to>
      <xdr:col>11</xdr:col>
      <xdr:colOff>9525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4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albch\AppData\Roaming\ASAP%20Utilities\resources\ASAP_Utilities_ribbon_en-u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8.7109375" style="5" bestFit="1" customWidth="1"/>
    <col min="10" max="10" width="10.8515625" style="5" customWidth="1"/>
    <col min="11" max="11" width="7.140625" style="5" customWidth="1"/>
    <col min="12" max="12" width="9.57421875" style="5" customWidth="1"/>
    <col min="13" max="14" width="9.57421875" style="5" hidden="1" customWidth="1"/>
    <col min="15" max="15" width="15.28125" style="5" hidden="1" customWidth="1"/>
    <col min="16" max="16" width="36.7109375" style="5" hidden="1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64</v>
      </c>
      <c r="B1" s="2"/>
      <c r="C1" s="2"/>
      <c r="D1" s="2"/>
      <c r="E1" s="2"/>
      <c r="F1" s="2"/>
      <c r="G1" s="3"/>
      <c r="H1" s="2"/>
      <c r="I1" s="2"/>
      <c r="J1" s="1" t="s">
        <v>67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2022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58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24" t="str">
        <f>"Total "&amp;F5</f>
        <v>Total Commodity</v>
      </c>
      <c r="P5" s="125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26" t="str">
        <f>+F6</f>
        <v>Revenue</v>
      </c>
      <c r="P6" s="89"/>
    </row>
    <row r="7" spans="1:16" s="16" customFormat="1" ht="11.25">
      <c r="A7" s="15" t="s">
        <v>3</v>
      </c>
      <c r="B7" s="12" t="s">
        <v>59</v>
      </c>
      <c r="C7" s="12"/>
      <c r="D7" s="12" t="s">
        <v>2</v>
      </c>
      <c r="E7" s="12"/>
      <c r="F7" s="12" t="s">
        <v>60</v>
      </c>
      <c r="G7" s="12"/>
      <c r="H7" s="12"/>
      <c r="I7" s="12"/>
      <c r="J7" s="12" t="s">
        <v>61</v>
      </c>
      <c r="K7" s="12"/>
      <c r="O7" s="126" t="str">
        <f>+F7</f>
        <v>per Yard</v>
      </c>
      <c r="P7" s="89"/>
    </row>
    <row r="8" spans="1:16" s="16" customFormat="1" ht="11.25">
      <c r="A8" s="112">
        <f>Multi_Family!$C$6</f>
        <v>44317</v>
      </c>
      <c r="B8" s="151">
        <v>8509.58</v>
      </c>
      <c r="C8" s="12"/>
      <c r="D8" s="133">
        <f>Value!O6</f>
        <v>2608.0188773719997</v>
      </c>
      <c r="E8" s="12"/>
      <c r="F8" s="16">
        <f>ROUND(D8/B14,2)</f>
        <v>0.31</v>
      </c>
      <c r="G8" s="12"/>
      <c r="H8" s="12"/>
      <c r="I8" s="12"/>
      <c r="J8" s="14">
        <f>+B8</f>
        <v>8509.58</v>
      </c>
      <c r="K8" s="13">
        <f>YEAR(A8)</f>
        <v>2021</v>
      </c>
      <c r="O8" s="127">
        <f>VLOOKUP(A8,Value!$A$6:$O$17,13,FALSE)</f>
        <v>5216.037754743999</v>
      </c>
      <c r="P8" s="89"/>
    </row>
    <row r="9" spans="1:16" s="16" customFormat="1" ht="11.25">
      <c r="A9" s="17">
        <f>EOMONTH(A8,1)</f>
        <v>44377</v>
      </c>
      <c r="B9" s="151">
        <v>8505.25</v>
      </c>
      <c r="C9" s="18"/>
      <c r="D9" s="133">
        <f>Value!O7</f>
        <v>4114.377814484</v>
      </c>
      <c r="E9" s="14"/>
      <c r="F9" s="16">
        <f>ROUND(D9/B9,2)</f>
        <v>0.48</v>
      </c>
      <c r="G9" s="14"/>
      <c r="H9" s="14"/>
      <c r="I9" s="14"/>
      <c r="J9" s="14">
        <f>+B9</f>
        <v>8505.25</v>
      </c>
      <c r="K9" s="13">
        <f>YEAR(A9)</f>
        <v>2021</v>
      </c>
      <c r="O9" s="127">
        <f>VLOOKUP(A9,Value!$A$6:$O$17,13,FALSE)</f>
        <v>8228.755628968</v>
      </c>
      <c r="P9" s="89"/>
    </row>
    <row r="10" spans="1:16" s="16" customFormat="1" ht="11.25">
      <c r="A10" s="17">
        <f>EOMONTH(A9,1)</f>
        <v>44408</v>
      </c>
      <c r="B10" s="151">
        <v>8411.72</v>
      </c>
      <c r="C10" s="14"/>
      <c r="D10" s="133">
        <f>Value!O8</f>
        <v>3395.986405077001</v>
      </c>
      <c r="E10" s="14"/>
      <c r="F10" s="16">
        <f>ROUND(D10/B10,2)</f>
        <v>0.4</v>
      </c>
      <c r="G10" s="14"/>
      <c r="H10" s="14"/>
      <c r="I10" s="14"/>
      <c r="J10" s="14">
        <f>+B10</f>
        <v>8411.72</v>
      </c>
      <c r="K10" s="13">
        <f>YEAR(A10)</f>
        <v>2021</v>
      </c>
      <c r="O10" s="127">
        <f>VLOOKUP(A10,Value!$A$6:$O$17,13,FALSE)</f>
        <v>6791.972810154002</v>
      </c>
      <c r="P10" s="89"/>
    </row>
    <row r="11" spans="1:16" s="16" customFormat="1" ht="11.25">
      <c r="A11" s="17"/>
      <c r="C11" s="14"/>
      <c r="D11" s="88"/>
      <c r="E11" s="14"/>
      <c r="G11" s="21"/>
      <c r="H11" s="14"/>
      <c r="I11" s="14"/>
      <c r="J11" s="14"/>
      <c r="K11" s="13"/>
      <c r="O11" s="127"/>
      <c r="P11" s="89"/>
    </row>
    <row r="12" spans="1:16" s="16" customFormat="1" ht="11.25">
      <c r="A12" s="17" t="s">
        <v>109</v>
      </c>
      <c r="B12" s="14">
        <f>SUM(B8:B10)</f>
        <v>25426.550000000003</v>
      </c>
      <c r="C12" s="14"/>
      <c r="D12" s="14">
        <f>SUM(D8:D10)</f>
        <v>10118.383096933001</v>
      </c>
      <c r="E12" s="14"/>
      <c r="G12" s="21"/>
      <c r="H12" s="14"/>
      <c r="I12" s="14"/>
      <c r="J12" s="14"/>
      <c r="K12" s="13"/>
      <c r="O12" s="127"/>
      <c r="P12" s="89"/>
    </row>
    <row r="13" spans="1:16" s="16" customFormat="1" ht="11.25">
      <c r="A13" s="17"/>
      <c r="C13" s="14"/>
      <c r="D13" s="88"/>
      <c r="E13" s="14"/>
      <c r="G13" s="21"/>
      <c r="H13" s="14"/>
      <c r="I13" s="14"/>
      <c r="J13" s="14"/>
      <c r="K13" s="13"/>
      <c r="O13" s="127"/>
      <c r="P13" s="89"/>
    </row>
    <row r="14" spans="1:16" s="16" customFormat="1" ht="11.25">
      <c r="A14" s="17">
        <f>EOMONTH(A10,1)</f>
        <v>44439</v>
      </c>
      <c r="B14" s="152">
        <v>8420.380000000001</v>
      </c>
      <c r="C14" s="14"/>
      <c r="D14" s="88">
        <f>Value!O9</f>
        <v>4003.646093487001</v>
      </c>
      <c r="E14" s="14"/>
      <c r="F14" s="16">
        <f>ROUND(D14/B14,2)</f>
        <v>0.48</v>
      </c>
      <c r="G14" s="21"/>
      <c r="H14" s="14"/>
      <c r="I14" s="14"/>
      <c r="J14" s="14">
        <f aca="true" t="shared" si="0" ref="J14:J22">+B14</f>
        <v>8420.380000000001</v>
      </c>
      <c r="K14" s="13">
        <f aca="true" t="shared" si="1" ref="K14:K22">YEAR(A14)</f>
        <v>2021</v>
      </c>
      <c r="O14" s="127">
        <f>VLOOKUP(A14,Value!$A$6:$O$17,13,FALSE)</f>
        <v>8007.292186974002</v>
      </c>
      <c r="P14" s="89"/>
    </row>
    <row r="15" spans="1:16" s="16" customFormat="1" ht="11.25">
      <c r="A15" s="17">
        <f aca="true" t="shared" si="2" ref="A15:A22">EOMONTH(A14,1)</f>
        <v>44469</v>
      </c>
      <c r="B15" s="151">
        <v>8268.83</v>
      </c>
      <c r="C15" s="14"/>
      <c r="D15" s="88">
        <f>Value!O10</f>
        <v>3804.4293804750005</v>
      </c>
      <c r="E15" s="14"/>
      <c r="F15" s="16">
        <f>ROUND(D15/B15,2)</f>
        <v>0.46</v>
      </c>
      <c r="G15" s="21"/>
      <c r="H15" s="14"/>
      <c r="I15" s="14"/>
      <c r="J15" s="14">
        <f t="shared" si="0"/>
        <v>8268.83</v>
      </c>
      <c r="K15" s="13">
        <f t="shared" si="1"/>
        <v>2021</v>
      </c>
      <c r="O15" s="127">
        <f>VLOOKUP(A15,Value!$A$6:$O$17,13,FALSE)</f>
        <v>7608.858760950001</v>
      </c>
      <c r="P15" s="89"/>
    </row>
    <row r="16" spans="1:16" s="16" customFormat="1" ht="11.25">
      <c r="A16" s="17">
        <f t="shared" si="2"/>
        <v>44500</v>
      </c>
      <c r="B16" s="151">
        <v>8216.869999999999</v>
      </c>
      <c r="C16" s="14"/>
      <c r="D16" s="88">
        <f>Value!O11</f>
        <v>3499.537217481001</v>
      </c>
      <c r="E16" s="14"/>
      <c r="F16" s="16">
        <f>ROUND(D16/B16,2)</f>
        <v>0.43</v>
      </c>
      <c r="G16" s="21"/>
      <c r="H16" s="14"/>
      <c r="I16" s="14"/>
      <c r="J16" s="14">
        <f t="shared" si="0"/>
        <v>8216.869999999999</v>
      </c>
      <c r="K16" s="13">
        <f t="shared" si="1"/>
        <v>2021</v>
      </c>
      <c r="O16" s="127">
        <f>VLOOKUP(A16,Value!$A$6:$O$17,13,FALSE)</f>
        <v>6999.074434962002</v>
      </c>
      <c r="P16" s="89"/>
    </row>
    <row r="17" spans="1:16" s="16" customFormat="1" ht="11.25">
      <c r="A17" s="17">
        <f>EOMONTH(A16,1)</f>
        <v>44530</v>
      </c>
      <c r="B17" s="151">
        <v>8228.689999999999</v>
      </c>
      <c r="C17" s="14"/>
      <c r="D17" s="88">
        <f>Value!O12</f>
        <v>3004.046326746001</v>
      </c>
      <c r="E17" s="14"/>
      <c r="F17" s="16">
        <f aca="true" t="shared" si="3" ref="F17:F22">ROUND(D17/B17,2)</f>
        <v>0.37</v>
      </c>
      <c r="G17" s="21"/>
      <c r="H17" s="14"/>
      <c r="I17" s="14"/>
      <c r="J17" s="14">
        <f t="shared" si="0"/>
        <v>8228.689999999999</v>
      </c>
      <c r="K17" s="13">
        <f t="shared" si="1"/>
        <v>2021</v>
      </c>
      <c r="O17" s="127">
        <f>VLOOKUP(A17,Value!$A$6:$O$17,13,FALSE)</f>
        <v>6008.092653492002</v>
      </c>
      <c r="P17" s="89"/>
    </row>
    <row r="18" spans="1:25" s="16" customFormat="1" ht="11.25">
      <c r="A18" s="17">
        <f t="shared" si="2"/>
        <v>44561</v>
      </c>
      <c r="B18" s="151">
        <v>8124.77</v>
      </c>
      <c r="C18" s="14"/>
      <c r="D18" s="88">
        <f>Value!O13</f>
        <v>1717.851799859</v>
      </c>
      <c r="E18" s="14"/>
      <c r="F18" s="16">
        <f t="shared" si="3"/>
        <v>0.21</v>
      </c>
      <c r="G18" s="21"/>
      <c r="H18" s="14"/>
      <c r="I18" s="14"/>
      <c r="J18" s="14">
        <f t="shared" si="0"/>
        <v>8124.77</v>
      </c>
      <c r="K18" s="13">
        <f t="shared" si="1"/>
        <v>2021</v>
      </c>
      <c r="O18" s="127">
        <f>VLOOKUP(A18,Value!$A$6:$O$17,13,FALSE)</f>
        <v>3435.703599718</v>
      </c>
      <c r="P18" s="89"/>
      <c r="X18" s="14"/>
      <c r="Y18" s="14"/>
    </row>
    <row r="19" spans="1:27" s="16" customFormat="1" ht="11.25">
      <c r="A19" s="17">
        <f t="shared" si="2"/>
        <v>44592</v>
      </c>
      <c r="B19" s="151">
        <v>8211.369999999999</v>
      </c>
      <c r="C19" s="14"/>
      <c r="D19" s="88">
        <f>Value!O14</f>
        <v>1724.8084951650012</v>
      </c>
      <c r="E19" s="14"/>
      <c r="F19" s="16">
        <f t="shared" si="3"/>
        <v>0.21</v>
      </c>
      <c r="G19" s="21"/>
      <c r="H19" s="14"/>
      <c r="I19" s="14"/>
      <c r="J19" s="14">
        <f t="shared" si="0"/>
        <v>8211.369999999999</v>
      </c>
      <c r="K19" s="13">
        <f t="shared" si="1"/>
        <v>2022</v>
      </c>
      <c r="L19" s="14"/>
      <c r="M19" s="14"/>
      <c r="N19" s="14"/>
      <c r="O19" s="127">
        <f>VLOOKUP(A19,Value!$A$6:$O$17,13,FALSE)</f>
        <v>3449.6169903300024</v>
      </c>
      <c r="P19" s="89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 t="shared" si="2"/>
        <v>44620</v>
      </c>
      <c r="B20" s="151">
        <v>8155.08</v>
      </c>
      <c r="C20" s="14"/>
      <c r="D20" s="88">
        <f>Value!O15</f>
        <v>1680.74267151</v>
      </c>
      <c r="E20" s="14"/>
      <c r="F20" s="16">
        <f t="shared" si="3"/>
        <v>0.21</v>
      </c>
      <c r="G20" s="21"/>
      <c r="H20" s="14"/>
      <c r="I20" s="14"/>
      <c r="J20" s="14">
        <f t="shared" si="0"/>
        <v>8155.08</v>
      </c>
      <c r="K20" s="13">
        <f t="shared" si="1"/>
        <v>2022</v>
      </c>
      <c r="O20" s="127">
        <f>VLOOKUP(A20,Value!$A$6:$O$17,13,FALSE)</f>
        <v>3361.48534302</v>
      </c>
      <c r="P20" s="30"/>
    </row>
    <row r="21" spans="1:16" s="16" customFormat="1" ht="11.25">
      <c r="A21" s="17">
        <f t="shared" si="2"/>
        <v>44651</v>
      </c>
      <c r="B21" s="151">
        <v>8155.08</v>
      </c>
      <c r="C21" s="14"/>
      <c r="D21" s="88">
        <f>Value!O16</f>
        <v>2152.4435100700002</v>
      </c>
      <c r="E21" s="14"/>
      <c r="F21" s="16">
        <f t="shared" si="3"/>
        <v>0.26</v>
      </c>
      <c r="G21" s="21"/>
      <c r="H21" s="18"/>
      <c r="I21" s="14"/>
      <c r="J21" s="14">
        <f>+B21</f>
        <v>8155.08</v>
      </c>
      <c r="K21" s="13">
        <f t="shared" si="1"/>
        <v>2022</v>
      </c>
      <c r="O21" s="127">
        <f>VLOOKUP(A21,Value!$A$6:$O$17,13,FALSE)</f>
        <v>4304.8870201400005</v>
      </c>
      <c r="P21" s="89"/>
    </row>
    <row r="22" spans="1:16" s="16" customFormat="1" ht="11.25">
      <c r="A22" s="17">
        <f t="shared" si="2"/>
        <v>44681</v>
      </c>
      <c r="B22" s="151">
        <v>8181.06</v>
      </c>
      <c r="C22" s="14"/>
      <c r="D22" s="88">
        <f>Value!O17</f>
        <v>2320.3230300600007</v>
      </c>
      <c r="E22" s="14"/>
      <c r="F22" s="16">
        <f t="shared" si="3"/>
        <v>0.28</v>
      </c>
      <c r="G22" s="21"/>
      <c r="H22" s="18"/>
      <c r="I22" s="14"/>
      <c r="J22" s="14">
        <f t="shared" si="0"/>
        <v>8181.06</v>
      </c>
      <c r="K22" s="13">
        <f t="shared" si="1"/>
        <v>2022</v>
      </c>
      <c r="O22" s="127">
        <f>VLOOKUP(A22,Value!$A$6:$O$17,13,FALSE)</f>
        <v>4640.6460601200015</v>
      </c>
      <c r="P22" s="89"/>
    </row>
    <row r="23" spans="1:15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28"/>
    </row>
    <row r="24" spans="1:16" s="16" customFormat="1" ht="11.25">
      <c r="A24" s="17" t="s">
        <v>110</v>
      </c>
      <c r="B24" s="19">
        <f>SUM(B14:B22)</f>
        <v>73962.12999999999</v>
      </c>
      <c r="D24" s="20">
        <f>SUM(D14:D22)</f>
        <v>23907.828524853005</v>
      </c>
      <c r="E24" s="14"/>
      <c r="G24" s="14"/>
      <c r="H24" s="14"/>
      <c r="I24" s="14"/>
      <c r="J24" s="14"/>
      <c r="K24" s="13"/>
      <c r="O24" s="128"/>
      <c r="P24" s="94" t="s">
        <v>68</v>
      </c>
    </row>
    <row r="25" spans="1:16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28">
        <f>SUM(O8:O24)</f>
        <v>68052.423243572</v>
      </c>
      <c r="P25" s="98"/>
    </row>
    <row r="26" spans="1:16" s="16" customFormat="1" ht="12" thickBot="1">
      <c r="A26" s="17" t="s">
        <v>80</v>
      </c>
      <c r="B26" s="23">
        <f>B12+B24</f>
        <v>99388.68</v>
      </c>
      <c r="C26" s="18" t="s">
        <v>5</v>
      </c>
      <c r="D26" s="24">
        <f>D12+D24</f>
        <v>34026.211621786</v>
      </c>
      <c r="E26" s="18" t="s">
        <v>6</v>
      </c>
      <c r="F26" s="21">
        <f>ROUND(D26/B26,3)</f>
        <v>0.342</v>
      </c>
      <c r="G26" s="18" t="s">
        <v>7</v>
      </c>
      <c r="H26" s="14"/>
      <c r="I26" s="14"/>
      <c r="J26" s="23">
        <f>SUM(J8:J25)</f>
        <v>99388.68000000001</v>
      </c>
      <c r="K26" s="18" t="s">
        <v>8</v>
      </c>
      <c r="O26" s="129">
        <f>ROUND(O25/J26,3)</f>
        <v>0.685</v>
      </c>
      <c r="P26" s="89" t="s">
        <v>69</v>
      </c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132">
        <f>J22</f>
        <v>8181.06</v>
      </c>
      <c r="P27" s="89" t="s">
        <v>70</v>
      </c>
    </row>
    <row r="28" spans="2:16" s="16" customFormat="1" ht="11.25">
      <c r="B28" s="14"/>
      <c r="C28" s="18"/>
      <c r="D28" s="14"/>
      <c r="E28" s="14"/>
      <c r="F28" s="14"/>
      <c r="G28" s="14"/>
      <c r="H28" s="14"/>
      <c r="I28" s="14"/>
      <c r="J28" s="14"/>
      <c r="K28" s="14"/>
      <c r="O28" s="153"/>
      <c r="P28" s="89"/>
    </row>
    <row r="29" spans="2:16" s="16" customFormat="1" ht="11.25">
      <c r="B29" s="14"/>
      <c r="C29" s="18"/>
      <c r="D29" s="14"/>
      <c r="E29" s="14"/>
      <c r="F29" s="14"/>
      <c r="G29" s="14"/>
      <c r="H29" s="14"/>
      <c r="I29" s="14"/>
      <c r="J29" s="14"/>
      <c r="K29" s="14"/>
      <c r="O29" s="153"/>
      <c r="P29" s="89"/>
    </row>
    <row r="30" spans="2:11" s="16" customFormat="1" ht="12" thickBot="1">
      <c r="B30" s="25" t="s">
        <v>9</v>
      </c>
      <c r="C30" s="26"/>
      <c r="D30" s="26"/>
      <c r="E30" s="26"/>
      <c r="F30" s="14"/>
      <c r="G30" s="14"/>
      <c r="H30" s="14"/>
      <c r="I30" s="14"/>
      <c r="J30" s="14"/>
      <c r="K30" s="14"/>
    </row>
    <row r="31" spans="1:25" s="16" customFormat="1" ht="12" thickTop="1">
      <c r="A31" s="6"/>
      <c r="B31" s="27"/>
      <c r="C31" s="14"/>
      <c r="D31" s="14"/>
      <c r="E31" s="14"/>
      <c r="F31" s="14"/>
      <c r="G31" s="14"/>
      <c r="H31" s="14"/>
      <c r="I31" s="14"/>
      <c r="J31" s="14"/>
      <c r="K31" s="14"/>
      <c r="X31" s="14"/>
      <c r="Y31" s="14"/>
    </row>
    <row r="32" spans="1:11" s="16" customFormat="1" ht="11.25">
      <c r="A32" s="8"/>
      <c r="B32" s="27"/>
      <c r="C32" s="14"/>
      <c r="D32" s="14"/>
      <c r="E32" s="14"/>
      <c r="F32" s="28" t="s">
        <v>10</v>
      </c>
      <c r="G32" s="14">
        <f>D26</f>
        <v>34026.211621786</v>
      </c>
      <c r="H32" s="18" t="s">
        <v>6</v>
      </c>
      <c r="I32" s="14"/>
      <c r="J32" s="14"/>
      <c r="K32" s="14"/>
    </row>
    <row r="33" spans="1:27" s="13" customFormat="1" ht="11.25">
      <c r="A33" s="29"/>
      <c r="B33" s="27"/>
      <c r="C33" s="14"/>
      <c r="D33" s="14"/>
      <c r="E33" s="14"/>
      <c r="F33" s="14"/>
      <c r="G33" s="14"/>
      <c r="H33" s="18"/>
      <c r="I33" s="14"/>
      <c r="J33" s="14"/>
      <c r="K33" s="14"/>
      <c r="O33" s="16">
        <f>12*O27*O26</f>
        <v>67248.3132</v>
      </c>
      <c r="P33" s="13" t="s">
        <v>72</v>
      </c>
      <c r="W33" s="14"/>
      <c r="X33" s="16"/>
      <c r="Y33" s="16"/>
      <c r="AA33" s="14"/>
    </row>
    <row r="34" spans="2:16" s="16" customFormat="1" ht="11.25">
      <c r="B34" s="14" t="s">
        <v>62</v>
      </c>
      <c r="C34" s="14"/>
      <c r="D34" s="14"/>
      <c r="E34" s="14"/>
      <c r="F34" s="155">
        <v>0.077</v>
      </c>
      <c r="G34" s="14"/>
      <c r="H34" s="14"/>
      <c r="I34" s="14"/>
      <c r="J34" s="14"/>
      <c r="K34" s="14"/>
      <c r="O34" s="16">
        <f>12*O27*G57</f>
        <v>33575.07024</v>
      </c>
      <c r="P34" s="16" t="s">
        <v>73</v>
      </c>
    </row>
    <row r="35" spans="2:15" s="16" customFormat="1" ht="11.25">
      <c r="B35" s="14"/>
      <c r="C35" s="14" t="str">
        <f>"Yards from "&amp;TEXT($A$8,"mm/yy")&amp;" - "&amp;TEXT($A$10,"mm/yy")</f>
        <v>Yards from 05/21 - 07/21</v>
      </c>
      <c r="D35" s="14"/>
      <c r="E35" s="14"/>
      <c r="F35" s="14">
        <f>B12</f>
        <v>25426.550000000003</v>
      </c>
      <c r="G35" s="18" t="s">
        <v>4</v>
      </c>
      <c r="H35" s="14"/>
      <c r="I35" s="14"/>
      <c r="J35" s="14"/>
      <c r="K35" s="14"/>
      <c r="O35" s="130">
        <f>+O34/O33</f>
        <v>0.4992700729927007</v>
      </c>
    </row>
    <row r="36" spans="2:11" s="16" customFormat="1" ht="11.25">
      <c r="B36" s="14"/>
      <c r="C36" s="14" t="s">
        <v>11</v>
      </c>
      <c r="D36" s="14"/>
      <c r="E36" s="14"/>
      <c r="F36" s="19">
        <f>ROUND(F34*F35,0)</f>
        <v>1958</v>
      </c>
      <c r="G36" s="18"/>
      <c r="H36" s="14"/>
      <c r="I36" s="14"/>
      <c r="J36" s="14"/>
      <c r="K36" s="14"/>
    </row>
    <row r="37" spans="2:11" s="16" customFormat="1" ht="11.25">
      <c r="B37" s="14"/>
      <c r="C37" s="14"/>
      <c r="D37" s="14"/>
      <c r="E37" s="14"/>
      <c r="F37" s="30"/>
      <c r="G37" s="18"/>
      <c r="H37" s="14"/>
      <c r="I37" s="14"/>
      <c r="J37" s="14"/>
      <c r="K37" s="14"/>
    </row>
    <row r="38" spans="2:11" s="16" customFormat="1" ht="11.25">
      <c r="B38" s="14" t="s">
        <v>62</v>
      </c>
      <c r="C38" s="14"/>
      <c r="D38" s="14"/>
      <c r="E38" s="14"/>
      <c r="F38" s="155">
        <v>0.13399999999999998</v>
      </c>
      <c r="G38" s="14"/>
      <c r="H38" s="14"/>
      <c r="I38" s="14"/>
      <c r="J38" s="14"/>
      <c r="K38" s="14"/>
    </row>
    <row r="39" spans="2:11" s="16" customFormat="1" ht="11.25">
      <c r="B39" s="14"/>
      <c r="C39" s="14" t="str">
        <f>"Yards from "&amp;TEXT($A$14,"mm/yy")&amp;" - "&amp;TEXT($A$22,"mm/yy")</f>
        <v>Yards from 08/21 - 04/22</v>
      </c>
      <c r="D39" s="14"/>
      <c r="E39" s="14"/>
      <c r="F39" s="14">
        <f>B24</f>
        <v>73962.12999999999</v>
      </c>
      <c r="G39" s="18" t="s">
        <v>5</v>
      </c>
      <c r="H39" s="14"/>
      <c r="I39" s="14"/>
      <c r="J39" s="14"/>
      <c r="K39" s="14"/>
    </row>
    <row r="40" spans="2:11" s="16" customFormat="1" ht="11.25">
      <c r="B40" s="14"/>
      <c r="C40" s="14" t="s">
        <v>11</v>
      </c>
      <c r="D40" s="14"/>
      <c r="E40" s="14"/>
      <c r="F40" s="19">
        <f>ROUND(F38*F39,0)</f>
        <v>9911</v>
      </c>
      <c r="G40" s="18"/>
      <c r="H40" s="14"/>
      <c r="I40" s="14"/>
      <c r="J40" s="14"/>
      <c r="K40" s="14"/>
    </row>
    <row r="41" spans="2:11" s="16" customFormat="1" ht="11.25">
      <c r="B41" s="14"/>
      <c r="C41" s="14"/>
      <c r="D41" s="14"/>
      <c r="E41" s="14"/>
      <c r="F41" s="31"/>
      <c r="G41" s="18"/>
      <c r="H41" s="14"/>
      <c r="I41" s="14"/>
      <c r="J41" s="14"/>
      <c r="K41" s="14"/>
    </row>
    <row r="42" spans="2:11" s="16" customFormat="1" ht="12" thickBot="1">
      <c r="B42" s="14"/>
      <c r="C42" s="14" t="s">
        <v>12</v>
      </c>
      <c r="D42" s="14"/>
      <c r="E42" s="14"/>
      <c r="F42" s="23">
        <f>+F36+F40</f>
        <v>11869</v>
      </c>
      <c r="G42" s="32">
        <f>+F42</f>
        <v>11869</v>
      </c>
      <c r="H42" s="14"/>
      <c r="I42" s="14"/>
      <c r="J42" s="14"/>
      <c r="K42" s="14"/>
    </row>
    <row r="43" spans="2:11" s="16" customFormat="1" ht="12" thickTop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s="16" customFormat="1" ht="11.2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s="16" customFormat="1" ht="12" thickBot="1">
      <c r="B45" s="14"/>
      <c r="C45" s="14"/>
      <c r="D45" s="14"/>
      <c r="E45" s="14"/>
      <c r="F45" s="28" t="s">
        <v>108</v>
      </c>
      <c r="G45" s="33">
        <f>+G32-G42</f>
        <v>22157.211621786002</v>
      </c>
      <c r="H45" s="14"/>
      <c r="I45" s="14"/>
      <c r="J45" s="14"/>
      <c r="K45" s="14"/>
    </row>
    <row r="46" spans="2:25" s="16" customFormat="1" ht="12" thickTop="1">
      <c r="B46" s="14"/>
      <c r="C46" s="14"/>
      <c r="D46" s="14"/>
      <c r="E46" s="14"/>
      <c r="F46" s="14"/>
      <c r="G46" s="14"/>
      <c r="H46" s="14"/>
      <c r="I46" s="14"/>
      <c r="J46" s="14"/>
      <c r="K46" s="14"/>
      <c r="Y46" s="14"/>
    </row>
    <row r="47" spans="2:11" s="16" customFormat="1" ht="11.2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s="16" customFormat="1" ht="12" thickBot="1">
      <c r="B48" s="25" t="str">
        <f>$K$22+1&amp;" Recycle Adjustment Calculation"</f>
        <v>2023 Recycle Adjustment Calculation</v>
      </c>
      <c r="C48" s="26"/>
      <c r="D48" s="26"/>
      <c r="E48" s="26"/>
      <c r="F48" s="26"/>
      <c r="G48" s="14"/>
      <c r="H48" s="14"/>
      <c r="I48" s="14"/>
      <c r="J48" s="14"/>
      <c r="K48" s="14"/>
    </row>
    <row r="49" spans="2:27" s="16" customFormat="1" ht="12" thickTop="1">
      <c r="B49" s="2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A49" s="14"/>
    </row>
    <row r="50" spans="2:11" s="16" customFormat="1" ht="11.25">
      <c r="B50" s="14" t="s">
        <v>76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1" s="16" customFormat="1" ht="11.25">
      <c r="B51" s="14"/>
      <c r="C51" s="14"/>
      <c r="D51" s="14"/>
      <c r="E51" s="14"/>
      <c r="F51" s="28" t="s">
        <v>81</v>
      </c>
      <c r="G51" s="122">
        <f>+J26</f>
        <v>99388.68000000001</v>
      </c>
      <c r="H51" s="18" t="s">
        <v>8</v>
      </c>
      <c r="I51" s="14"/>
      <c r="J51" s="14"/>
      <c r="K51" s="14"/>
    </row>
    <row r="52" spans="2:11" s="16" customFormat="1" ht="11.25">
      <c r="B52" s="14"/>
      <c r="C52" s="14"/>
      <c r="D52" s="14"/>
      <c r="E52" s="14"/>
      <c r="F52" s="28" t="s">
        <v>13</v>
      </c>
      <c r="G52" s="14">
        <f>+G45</f>
        <v>22157.211621786002</v>
      </c>
      <c r="H52" s="14"/>
      <c r="I52" s="14"/>
      <c r="J52" s="14"/>
      <c r="K52" s="14"/>
    </row>
    <row r="53" spans="2:11" s="16" customFormat="1" ht="11.25">
      <c r="B53" s="14"/>
      <c r="C53" s="14"/>
      <c r="D53" s="14"/>
      <c r="E53" s="14"/>
      <c r="F53" s="28"/>
      <c r="G53" s="14"/>
      <c r="H53" s="14"/>
      <c r="I53" s="14"/>
      <c r="J53" s="14"/>
      <c r="K53" s="14"/>
    </row>
    <row r="54" spans="2:11" s="16" customFormat="1" ht="12" thickBot="1">
      <c r="B54" s="14"/>
      <c r="C54" s="14"/>
      <c r="D54" s="14"/>
      <c r="E54" s="14"/>
      <c r="F54" s="28" t="s">
        <v>111</v>
      </c>
      <c r="G54" s="34">
        <f>ROUND(G52/G51,2)</f>
        <v>0.22</v>
      </c>
      <c r="H54" s="14"/>
      <c r="I54" s="21">
        <f>+G54</f>
        <v>0.22</v>
      </c>
      <c r="J54" s="14"/>
      <c r="K54" s="14"/>
    </row>
    <row r="55" spans="2:25" s="16" customFormat="1" ht="12" thickTop="1">
      <c r="B55" s="14"/>
      <c r="C55" s="14"/>
      <c r="D55" s="14"/>
      <c r="E55" s="14"/>
      <c r="F55" s="28"/>
      <c r="G55" s="14"/>
      <c r="H55" s="14"/>
      <c r="I55" s="21"/>
      <c r="J55" s="14"/>
      <c r="K55" s="14"/>
      <c r="Y55" s="14"/>
    </row>
    <row r="56" spans="2:13" s="16" customFormat="1" ht="11.25">
      <c r="B56" s="14" t="s">
        <v>75</v>
      </c>
      <c r="C56" s="14"/>
      <c r="D56" s="14"/>
      <c r="E56" s="14"/>
      <c r="F56" s="28"/>
      <c r="G56" s="14"/>
      <c r="H56" s="14"/>
      <c r="I56" s="21"/>
      <c r="J56" s="14"/>
      <c r="K56" s="14"/>
      <c r="M56" s="140" t="s">
        <v>71</v>
      </c>
    </row>
    <row r="57" spans="2:13" s="16" customFormat="1" ht="12" thickBot="1">
      <c r="B57" s="27"/>
      <c r="C57" s="14"/>
      <c r="D57" s="14"/>
      <c r="E57" s="14"/>
      <c r="F57" s="28" t="s">
        <v>83</v>
      </c>
      <c r="G57" s="139">
        <f>+F26/Value!P18*M57</f>
        <v>0.342</v>
      </c>
      <c r="H57" s="14"/>
      <c r="I57" s="21">
        <f>+G57</f>
        <v>0.342</v>
      </c>
      <c r="J57" s="18" t="s">
        <v>7</v>
      </c>
      <c r="K57" s="14"/>
      <c r="M57" s="141">
        <v>0.5</v>
      </c>
    </row>
    <row r="58" spans="2:25" s="14" customFormat="1" ht="12" thickTop="1">
      <c r="B58" s="27"/>
      <c r="I58" s="21"/>
      <c r="X58" s="16"/>
      <c r="Y58" s="16"/>
    </row>
    <row r="59" spans="2:11" s="16" customFormat="1" ht="12" thickBot="1">
      <c r="B59" s="14"/>
      <c r="C59" s="14"/>
      <c r="D59" s="14"/>
      <c r="E59" s="14"/>
      <c r="F59" s="14"/>
      <c r="G59" s="28" t="s">
        <v>112</v>
      </c>
      <c r="H59" s="23"/>
      <c r="I59" s="34">
        <f>+I54+I57</f>
        <v>0.562</v>
      </c>
      <c r="J59" s="14"/>
      <c r="K59" s="14"/>
    </row>
    <row r="60" s="16" customFormat="1" ht="12" thickTop="1">
      <c r="I60" s="21"/>
    </row>
    <row r="61" spans="7:9" s="16" customFormat="1" ht="11.25">
      <c r="G61" s="111" t="s">
        <v>65</v>
      </c>
      <c r="I61" s="21">
        <f>+I59*3.5</f>
        <v>1.967</v>
      </c>
    </row>
    <row r="62" spans="1:9" s="16" customFormat="1" ht="11.25">
      <c r="A62" s="89"/>
      <c r="B62" s="89"/>
      <c r="C62" s="89"/>
      <c r="D62" s="89"/>
      <c r="E62" s="89"/>
      <c r="F62" s="89"/>
      <c r="G62" s="111" t="s">
        <v>66</v>
      </c>
      <c r="I62" s="21">
        <f>I59*5</f>
        <v>2.8100000000000005</v>
      </c>
    </row>
    <row r="63" spans="1:7" s="16" customFormat="1" ht="11.25">
      <c r="A63" s="90"/>
      <c r="B63" s="91"/>
      <c r="C63" s="92"/>
      <c r="D63" s="92"/>
      <c r="E63" s="92"/>
      <c r="F63" s="93"/>
      <c r="G63" s="111"/>
    </row>
    <row r="64" spans="1:25" s="14" customFormat="1" ht="11.25">
      <c r="A64" s="95"/>
      <c r="B64" s="96"/>
      <c r="C64" s="30"/>
      <c r="D64" s="89"/>
      <c r="E64" s="30"/>
      <c r="F64" s="89"/>
      <c r="G64" s="16"/>
      <c r="H64" s="16"/>
      <c r="I64" s="16"/>
      <c r="X64" s="16"/>
      <c r="Y64" s="16"/>
    </row>
    <row r="65" spans="2:10" s="16" customFormat="1" ht="11.25">
      <c r="B65" s="111" t="s">
        <v>113</v>
      </c>
      <c r="C65" s="30"/>
      <c r="D65" s="89"/>
      <c r="E65" s="30"/>
      <c r="F65" s="89"/>
      <c r="G65" s="111" t="s">
        <v>82</v>
      </c>
      <c r="I65" s="177">
        <v>0</v>
      </c>
      <c r="J65" s="16" t="s">
        <v>114</v>
      </c>
    </row>
    <row r="66" spans="1:9" s="16" customFormat="1" ht="11.25">
      <c r="A66" s="95"/>
      <c r="B66" s="30"/>
      <c r="C66" s="97"/>
      <c r="D66" s="89"/>
      <c r="E66" s="30"/>
      <c r="F66" s="89"/>
      <c r="G66" s="14"/>
      <c r="H66" s="14"/>
      <c r="I66" s="14"/>
    </row>
    <row r="67" spans="1:6" s="16" customFormat="1" ht="11.25">
      <c r="A67" s="95"/>
      <c r="B67" s="96"/>
      <c r="C67" s="30"/>
      <c r="D67" s="89"/>
      <c r="E67" s="30"/>
      <c r="F67" s="89"/>
    </row>
    <row r="68" spans="1:9" s="16" customFormat="1" ht="12" thickBot="1">
      <c r="A68" s="95"/>
      <c r="B68" s="96"/>
      <c r="C68" s="30"/>
      <c r="D68" s="89"/>
      <c r="E68" s="30"/>
      <c r="F68" s="89"/>
      <c r="G68" s="28" t="str">
        <f>G59</f>
        <v>8/1/22 - 7/31/23 Adjusted Credit</v>
      </c>
      <c r="H68" s="23"/>
      <c r="I68" s="134">
        <f>+I59+I65</f>
        <v>0.562</v>
      </c>
    </row>
    <row r="69" spans="1:25" s="16" customFormat="1" ht="12" thickTop="1">
      <c r="A69" s="95"/>
      <c r="B69" s="96"/>
      <c r="C69" s="30"/>
      <c r="D69" s="89"/>
      <c r="E69" s="30"/>
      <c r="F69" s="89"/>
      <c r="Y69" s="14"/>
    </row>
    <row r="70" spans="1:9" s="16" customFormat="1" ht="11.25">
      <c r="A70" s="95"/>
      <c r="B70" s="96"/>
      <c r="C70" s="30"/>
      <c r="D70" s="89"/>
      <c r="E70" s="30"/>
      <c r="F70" s="89"/>
      <c r="G70" s="111" t="s">
        <v>65</v>
      </c>
      <c r="I70" s="131">
        <f>+I68*3.5</f>
        <v>1.967</v>
      </c>
    </row>
    <row r="71" spans="1:9" s="16" customFormat="1" ht="11.25">
      <c r="A71" s="95"/>
      <c r="B71" s="96"/>
      <c r="C71" s="30"/>
      <c r="D71" s="89"/>
      <c r="E71" s="30"/>
      <c r="F71" s="89"/>
      <c r="G71" s="111" t="s">
        <v>66</v>
      </c>
      <c r="I71" s="16">
        <f>I68*5</f>
        <v>2.8100000000000005</v>
      </c>
    </row>
    <row r="72" spans="1:6" s="16" customFormat="1" ht="11.25">
      <c r="A72" s="95"/>
      <c r="B72" s="96"/>
      <c r="C72" s="30"/>
      <c r="D72" s="89"/>
      <c r="E72" s="30"/>
      <c r="F72" s="89"/>
    </row>
    <row r="73" spans="1:27" s="16" customFormat="1" ht="11.25">
      <c r="A73" s="95"/>
      <c r="B73" s="96"/>
      <c r="C73" s="30"/>
      <c r="D73" s="89"/>
      <c r="E73" s="30"/>
      <c r="F73" s="89"/>
      <c r="G73" s="14"/>
      <c r="H73" s="13"/>
      <c r="I73" s="14"/>
      <c r="J73" s="14"/>
      <c r="K73" s="1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4"/>
      <c r="AA73" s="14"/>
    </row>
    <row r="74" spans="1:6" s="16" customFormat="1" ht="11.25">
      <c r="A74" s="95"/>
      <c r="B74" s="96"/>
      <c r="C74" s="30"/>
      <c r="D74" s="89"/>
      <c r="E74" s="30"/>
      <c r="F74" s="89"/>
    </row>
    <row r="75" spans="1:6" s="16" customFormat="1" ht="11.25">
      <c r="A75" s="95"/>
      <c r="B75" s="96"/>
      <c r="C75" s="30"/>
      <c r="D75" s="89"/>
      <c r="E75" s="30"/>
      <c r="F75" s="89"/>
    </row>
    <row r="76" spans="1:6" s="16" customFormat="1" ht="11.25">
      <c r="A76" s="95"/>
      <c r="B76" s="30"/>
      <c r="C76" s="30"/>
      <c r="D76" s="89"/>
      <c r="E76" s="30"/>
      <c r="F76" s="89"/>
    </row>
    <row r="77" spans="1:6" s="16" customFormat="1" ht="11.25">
      <c r="A77" s="95"/>
      <c r="B77" s="30"/>
      <c r="C77" s="97"/>
      <c r="D77" s="89"/>
      <c r="E77" s="30"/>
      <c r="F77" s="89"/>
    </row>
    <row r="78" spans="1:25" s="16" customFormat="1" ht="12.75">
      <c r="A78" s="98"/>
      <c r="B78" s="98"/>
      <c r="C78" s="98"/>
      <c r="D78" s="99"/>
      <c r="E78" s="98"/>
      <c r="F78" s="98"/>
      <c r="Y78" s="14"/>
    </row>
    <row r="79" spans="1:6" s="16" customFormat="1" ht="11.25">
      <c r="A79" s="100"/>
      <c r="B79" s="30"/>
      <c r="C79" s="97"/>
      <c r="D79" s="89"/>
      <c r="E79" s="97"/>
      <c r="F79" s="101"/>
    </row>
    <row r="80" s="16" customFormat="1" ht="11.25"/>
    <row r="81" s="16" customFormat="1" ht="11.25"/>
    <row r="82" s="16" customFormat="1" ht="11.25">
      <c r="B82" s="8"/>
    </row>
    <row r="83" spans="2:25" s="14" customFormat="1" ht="11.25">
      <c r="B83" s="27"/>
      <c r="X83" s="16"/>
      <c r="Y83" s="16"/>
    </row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>
      <c r="A92" s="6"/>
    </row>
    <row r="93" s="16" customFormat="1" ht="12.75">
      <c r="AA93" s="5"/>
    </row>
    <row r="94" s="16" customFormat="1" ht="12.75">
      <c r="AA94" s="5"/>
    </row>
    <row r="95" s="16" customFormat="1" ht="12.75">
      <c r="AA95" s="5"/>
    </row>
    <row r="96" s="16" customFormat="1" ht="12.75">
      <c r="AA96" s="5"/>
    </row>
    <row r="97" spans="7:27" s="16" customFormat="1" ht="12.75">
      <c r="G97" s="35"/>
      <c r="I97" s="35"/>
      <c r="J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AA97" s="5"/>
    </row>
    <row r="98" s="16" customFormat="1" ht="12.75">
      <c r="AA98" s="5"/>
    </row>
    <row r="99" spans="7:27" s="16" customFormat="1" ht="13.5" thickBot="1">
      <c r="G99" s="36"/>
      <c r="I99" s="36"/>
      <c r="J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AA99" s="5"/>
    </row>
    <row r="100" ht="13.5" thickTop="1"/>
    <row r="101" spans="23:25" ht="12.75">
      <c r="W101" s="37"/>
      <c r="X101" s="37"/>
      <c r="Y101" s="37"/>
    </row>
    <row r="102" spans="23:27" ht="12.75">
      <c r="W102" s="37"/>
      <c r="AA102" s="37"/>
    </row>
  </sheetData>
  <sheetProtection/>
  <printOptions horizontalCentered="1"/>
  <pageMargins left="0" right="0" top="0.26" bottom="0.33" header="0" footer="0"/>
  <pageSetup fitToHeight="1" fitToWidth="1" horizontalDpi="1200" verticalDpi="1200" orientation="portrait" scale="83" r:id="rId4"/>
  <headerFooter alignWithMargins="0">
    <oddFooter>&amp;R&amp;"Helv,Regular"&amp;6\\SERVER1\DPUBLIC\EXCEL\WUTC\&amp;F, &amp;A, &amp;D, &amp;T, 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3" customWidth="1"/>
    <col min="16" max="16" width="14.57421875" style="0" bestFit="1" customWidth="1"/>
  </cols>
  <sheetData>
    <row r="1" spans="1:2" ht="12.75">
      <c r="A1" s="38" t="s">
        <v>84</v>
      </c>
      <c r="B1" s="39"/>
    </row>
    <row r="2" spans="1:2" ht="12.75">
      <c r="A2" s="40" t="str">
        <f>'WUTC_AW of Lynnwood_MF'!A1</f>
        <v>Rabanco Ltd (dba Allied Waste of Lynnwood)</v>
      </c>
      <c r="B2" s="40"/>
    </row>
    <row r="3" ht="12.75">
      <c r="B3" s="51"/>
    </row>
    <row r="4" spans="2:15" ht="12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O4" s="54" t="str">
        <f>+TEXT(P18,"00.0%")&amp;" of"</f>
        <v>50.0% of</v>
      </c>
    </row>
    <row r="5" spans="2:16" ht="12.75">
      <c r="B5" s="51"/>
      <c r="C5" s="42" t="s">
        <v>14</v>
      </c>
      <c r="D5" s="42" t="s">
        <v>15</v>
      </c>
      <c r="E5" s="42" t="s">
        <v>78</v>
      </c>
      <c r="F5" s="42" t="s">
        <v>31</v>
      </c>
      <c r="G5" s="42" t="s">
        <v>79</v>
      </c>
      <c r="H5" s="42" t="s">
        <v>17</v>
      </c>
      <c r="I5" s="42" t="s">
        <v>18</v>
      </c>
      <c r="J5" s="42" t="s">
        <v>19</v>
      </c>
      <c r="K5" s="42" t="s">
        <v>20</v>
      </c>
      <c r="L5" s="42" t="s">
        <v>21</v>
      </c>
      <c r="M5" s="42" t="s">
        <v>22</v>
      </c>
      <c r="O5" s="54" t="s">
        <v>22</v>
      </c>
      <c r="P5" s="42" t="s">
        <v>74</v>
      </c>
    </row>
    <row r="6" spans="1:17" ht="15.75" customHeight="1">
      <c r="A6" s="46">
        <f>+Pricing!A4</f>
        <v>44317</v>
      </c>
      <c r="B6" s="51"/>
      <c r="C6" s="52">
        <f>'Commodity Tonnages'!C6*Pricing!C4</f>
        <v>1736.915033024</v>
      </c>
      <c r="D6" s="56">
        <f>'Commodity Tonnages'!D6*Pricing!D4</f>
        <v>-274.6375312</v>
      </c>
      <c r="E6" s="56">
        <f>'Commodity Tonnages'!E6*Pricing!E4</f>
        <v>0</v>
      </c>
      <c r="F6" s="56">
        <f>'Commodity Tonnages'!F6*Pricing!F4</f>
        <v>222.41373388800002</v>
      </c>
      <c r="G6" s="56">
        <f>'Commodity Tonnages'!G6*Pricing!G4</f>
        <v>26.714315040000002</v>
      </c>
      <c r="H6" s="56">
        <f>'Commodity Tonnages'!H6*Pricing!H4</f>
        <v>1348.7786153600002</v>
      </c>
      <c r="I6" s="56">
        <f>'Commodity Tonnages'!I6*Pricing!I4</f>
        <v>479.92588847999997</v>
      </c>
      <c r="J6" s="56">
        <f>'Commodity Tonnages'!J6*Pricing!J4</f>
        <v>479.92588847999997</v>
      </c>
      <c r="K6" s="56">
        <f>'Commodity Tonnages'!K6*Pricing!K4</f>
        <v>2889.0203182719997</v>
      </c>
      <c r="L6" s="56">
        <f>'Commodity Tonnages'!L6*Pricing!L4</f>
        <v>-1693.0185066000001</v>
      </c>
      <c r="M6" s="116">
        <f>SUM(C6:L6)</f>
        <v>5216.037754743999</v>
      </c>
      <c r="O6" s="76">
        <f>M6*P6</f>
        <v>2608.0188773719997</v>
      </c>
      <c r="P6" s="154">
        <v>0.5</v>
      </c>
      <c r="Q6" s="55"/>
    </row>
    <row r="7" spans="1:17" ht="15.75" customHeight="1">
      <c r="A7" s="46">
        <f>+Pricing!A5</f>
        <v>44377</v>
      </c>
      <c r="B7" s="51"/>
      <c r="C7" s="52">
        <f>'Commodity Tonnages'!C7*Pricing!C5</f>
        <v>2141.8626473199997</v>
      </c>
      <c r="D7" s="56">
        <f>'Commodity Tonnages'!D7*Pricing!D5</f>
        <v>-133.0302008</v>
      </c>
      <c r="E7" s="56">
        <f>'Commodity Tonnages'!E7*Pricing!E5</f>
        <v>0</v>
      </c>
      <c r="F7" s="56">
        <f>'Commodity Tonnages'!F7*Pricing!F5</f>
        <v>318.314581584</v>
      </c>
      <c r="G7" s="56">
        <f>'Commodity Tonnages'!G7*Pricing!G5</f>
        <v>37.555495488</v>
      </c>
      <c r="H7" s="56">
        <f>'Commodity Tonnages'!H7*Pricing!H5</f>
        <v>2233.505060536</v>
      </c>
      <c r="I7" s="56">
        <f>'Commodity Tonnages'!I7*Pricing!I5</f>
        <v>859.5274943279999</v>
      </c>
      <c r="J7" s="56">
        <f>'Commodity Tonnages'!J7*Pricing!J5</f>
        <v>859.5274943279999</v>
      </c>
      <c r="K7" s="56">
        <f>'Commodity Tonnages'!K7*Pricing!K5</f>
        <v>4079.726887984</v>
      </c>
      <c r="L7" s="56">
        <f>'Commodity Tonnages'!L7*Pricing!L5</f>
        <v>-2168.2338317999997</v>
      </c>
      <c r="M7" s="116">
        <f aca="true" t="shared" si="0" ref="M7:M17">SUM(C7:L7)</f>
        <v>8228.755628968</v>
      </c>
      <c r="O7" s="76">
        <f aca="true" t="shared" si="1" ref="O7:O17">M7*P7</f>
        <v>4114.377814484</v>
      </c>
      <c r="P7" s="154">
        <v>0.5</v>
      </c>
      <c r="Q7" s="55"/>
    </row>
    <row r="8" spans="1:17" ht="15.75" customHeight="1">
      <c r="A8" s="46">
        <f>+Pricing!A6</f>
        <v>44408</v>
      </c>
      <c r="B8" s="47"/>
      <c r="C8" s="52">
        <f>'Commodity Tonnages'!C8*Pricing!C6</f>
        <v>2006.6408355840003</v>
      </c>
      <c r="D8" s="56">
        <f>'Commodity Tonnages'!D8*Pricing!D6</f>
        <v>-697.6582074</v>
      </c>
      <c r="E8" s="56">
        <f>'Commodity Tonnages'!E8*Pricing!E6</f>
        <v>0</v>
      </c>
      <c r="F8" s="56">
        <f>'Commodity Tonnages'!F8*Pricing!F6</f>
        <v>260.82372512</v>
      </c>
      <c r="G8" s="56">
        <f>'Commodity Tonnages'!G8*Pricing!G6</f>
        <v>28.480213944</v>
      </c>
      <c r="H8" s="56">
        <f>'Commodity Tonnages'!H8*Pricing!H6</f>
        <v>1579.9322033600004</v>
      </c>
      <c r="I8" s="56">
        <f>'Commodity Tonnages'!I8*Pricing!I6</f>
        <v>747.1870041160001</v>
      </c>
      <c r="J8" s="56">
        <f>'Commodity Tonnages'!J8*Pricing!J6</f>
        <v>747.1870041160001</v>
      </c>
      <c r="K8" s="56">
        <f>'Commodity Tonnages'!K8*Pricing!K6</f>
        <v>3249.1889342640006</v>
      </c>
      <c r="L8" s="56">
        <f>'Commodity Tonnages'!L8*Pricing!L6</f>
        <v>-1129.80890295</v>
      </c>
      <c r="M8" s="116">
        <f t="shared" si="0"/>
        <v>6791.972810154002</v>
      </c>
      <c r="O8" s="76">
        <f t="shared" si="1"/>
        <v>3395.986405077001</v>
      </c>
      <c r="P8" s="154">
        <v>0.5</v>
      </c>
      <c r="Q8" s="55"/>
    </row>
    <row r="9" spans="1:17" ht="15.75" customHeight="1">
      <c r="A9" s="46">
        <f>+Pricing!A7</f>
        <v>44439</v>
      </c>
      <c r="B9" s="47"/>
      <c r="C9" s="52">
        <f>'Commodity Tonnages'!C9*Pricing!C7</f>
        <v>2230.6930440960004</v>
      </c>
      <c r="D9" s="56">
        <f>'Commodity Tonnages'!D9*Pricing!D7</f>
        <v>-862.1817593400001</v>
      </c>
      <c r="E9" s="56">
        <f>'Commodity Tonnages'!E9*Pricing!E7</f>
        <v>0</v>
      </c>
      <c r="F9" s="56">
        <f>'Commodity Tonnages'!F9*Pricing!F7</f>
        <v>256.22889158400005</v>
      </c>
      <c r="G9" s="56">
        <f>'Commodity Tonnages'!G9*Pricing!G7</f>
        <v>28.614472488</v>
      </c>
      <c r="H9" s="56">
        <f>'Commodity Tonnages'!H9*Pricing!H7</f>
        <v>1958.6886952080004</v>
      </c>
      <c r="I9" s="56">
        <f>'Commodity Tonnages'!I9*Pricing!I7</f>
        <v>973.8597441480003</v>
      </c>
      <c r="J9" s="56">
        <f>'Commodity Tonnages'!J9*Pricing!J7</f>
        <v>973.8597441480003</v>
      </c>
      <c r="K9" s="56">
        <f>'Commodity Tonnages'!K9*Pricing!K7</f>
        <v>3630.639096792001</v>
      </c>
      <c r="L9" s="56">
        <f>'Commodity Tonnages'!L9*Pricing!L7</f>
        <v>-1183.10974215</v>
      </c>
      <c r="M9" s="116">
        <f t="shared" si="0"/>
        <v>8007.292186974002</v>
      </c>
      <c r="O9" s="76">
        <f t="shared" si="1"/>
        <v>4003.646093487001</v>
      </c>
      <c r="P9" s="154">
        <v>0.5</v>
      </c>
      <c r="Q9" s="55"/>
    </row>
    <row r="10" spans="1:17" ht="15.75" customHeight="1">
      <c r="A10" s="46">
        <f>+Pricing!A8</f>
        <v>44469</v>
      </c>
      <c r="B10" s="47"/>
      <c r="C10" s="52">
        <f>'Commodity Tonnages'!C10*Pricing!C8</f>
        <v>2297.6274816</v>
      </c>
      <c r="D10" s="56">
        <f>'Commodity Tonnages'!D10*Pricing!D8</f>
        <v>-753.2375055</v>
      </c>
      <c r="E10" s="56">
        <f>'Commodity Tonnages'!E10*Pricing!E8</f>
        <v>0</v>
      </c>
      <c r="F10" s="56">
        <f>'Commodity Tonnages'!F10*Pricing!F8</f>
        <v>218.676472</v>
      </c>
      <c r="G10" s="56">
        <f>'Commodity Tonnages'!G10*Pricing!G8</f>
        <v>24.1836042</v>
      </c>
      <c r="H10" s="56">
        <f>'Commodity Tonnages'!H10*Pricing!H8</f>
        <v>1734.9753332000003</v>
      </c>
      <c r="I10" s="56">
        <f>'Commodity Tonnages'!I10*Pricing!I8</f>
        <v>810.5094921</v>
      </c>
      <c r="J10" s="56">
        <f>'Commodity Tonnages'!J10*Pricing!J8</f>
        <v>810.5094921</v>
      </c>
      <c r="K10" s="56">
        <f>'Commodity Tonnages'!K10*Pricing!K8</f>
        <v>3612.904110000001</v>
      </c>
      <c r="L10" s="56">
        <f>'Commodity Tonnages'!L10*Pricing!L8</f>
        <v>-1147.28971875</v>
      </c>
      <c r="M10" s="116">
        <f t="shared" si="0"/>
        <v>7608.858760950001</v>
      </c>
      <c r="O10" s="76">
        <f t="shared" si="1"/>
        <v>3804.4293804750005</v>
      </c>
      <c r="P10" s="154">
        <v>0.5</v>
      </c>
      <c r="Q10" s="55"/>
    </row>
    <row r="11" spans="1:17" ht="15.75" customHeight="1">
      <c r="A11" s="46">
        <f>+Pricing!A9</f>
        <v>44500</v>
      </c>
      <c r="B11" s="47"/>
      <c r="C11" s="52">
        <f>'Commodity Tonnages'!C11*Pricing!C9</f>
        <v>2230.6115208960005</v>
      </c>
      <c r="D11" s="56">
        <f>'Commodity Tonnages'!D11*Pricing!D9</f>
        <v>-692.15583834</v>
      </c>
      <c r="E11" s="56">
        <f>'Commodity Tonnages'!E11*Pricing!E9</f>
        <v>0</v>
      </c>
      <c r="F11" s="56">
        <f>'Commodity Tonnages'!F11*Pricing!F9</f>
        <v>208.897911936</v>
      </c>
      <c r="G11" s="56">
        <f>'Commodity Tonnages'!G11*Pricing!G9</f>
        <v>25.157046095999995</v>
      </c>
      <c r="H11" s="56">
        <f>'Commodity Tonnages'!H11*Pricing!H9</f>
        <v>1871.3764671840001</v>
      </c>
      <c r="I11" s="56">
        <f>'Commodity Tonnages'!I11*Pricing!I9</f>
        <v>529.2803388960001</v>
      </c>
      <c r="J11" s="56">
        <f>'Commodity Tonnages'!J11*Pricing!J9</f>
        <v>529.2803388960001</v>
      </c>
      <c r="K11" s="56">
        <f>'Commodity Tonnages'!K11*Pricing!K9</f>
        <v>3385.1062356480006</v>
      </c>
      <c r="L11" s="56">
        <f>'Commodity Tonnages'!L11*Pricing!L9</f>
        <v>-1088.47958625</v>
      </c>
      <c r="M11" s="116">
        <f t="shared" si="0"/>
        <v>6999.074434962002</v>
      </c>
      <c r="O11" s="76">
        <f t="shared" si="1"/>
        <v>3499.537217481001</v>
      </c>
      <c r="P11" s="154">
        <v>0.5</v>
      </c>
      <c r="Q11" s="55"/>
    </row>
    <row r="12" spans="1:17" ht="15.75" customHeight="1">
      <c r="A12" s="46">
        <f>+Pricing!A10</f>
        <v>44530</v>
      </c>
      <c r="B12" s="47"/>
      <c r="C12" s="52">
        <f>'Commodity Tonnages'!C12*Pricing!C10</f>
        <v>2137.8436358400004</v>
      </c>
      <c r="D12" s="56">
        <f>'Commodity Tonnages'!D12*Pricing!D10</f>
        <v>-968.9411138400001</v>
      </c>
      <c r="E12" s="56">
        <f>'Commodity Tonnages'!E12*Pricing!E10</f>
        <v>0</v>
      </c>
      <c r="F12" s="56">
        <f>'Commodity Tonnages'!F12*Pricing!F10</f>
        <v>245.491364736</v>
      </c>
      <c r="G12" s="56">
        <f>'Commodity Tonnages'!G12*Pricing!G10</f>
        <v>30.781964304</v>
      </c>
      <c r="H12" s="56">
        <f>'Commodity Tonnages'!H12*Pricing!H10</f>
        <v>1152.8013155040003</v>
      </c>
      <c r="I12" s="56">
        <f>'Commodity Tonnages'!I12*Pricing!I10</f>
        <v>629.7906126960002</v>
      </c>
      <c r="J12" s="56">
        <f>'Commodity Tonnages'!J12*Pricing!J10</f>
        <v>629.7906126960002</v>
      </c>
      <c r="K12" s="56">
        <f>'Commodity Tonnages'!K12*Pricing!K10</f>
        <v>3281.938088256001</v>
      </c>
      <c r="L12" s="56">
        <f>'Commodity Tonnages'!L12*Pricing!L10</f>
        <v>-1131.4038266999999</v>
      </c>
      <c r="M12" s="116">
        <f t="shared" si="0"/>
        <v>6008.092653492002</v>
      </c>
      <c r="O12" s="76">
        <f t="shared" si="1"/>
        <v>3004.046326746001</v>
      </c>
      <c r="P12" s="154">
        <v>0.5</v>
      </c>
      <c r="Q12" s="55"/>
    </row>
    <row r="13" spans="1:17" ht="15.75" customHeight="1">
      <c r="A13" s="46">
        <f>+Pricing!A11</f>
        <v>44561</v>
      </c>
      <c r="B13" s="47"/>
      <c r="C13" s="52">
        <f>'Commodity Tonnages'!C13*Pricing!C11</f>
        <v>1818.9376916480003</v>
      </c>
      <c r="D13" s="56">
        <f>'Commodity Tonnages'!D13*Pricing!D11</f>
        <v>-695.62423278</v>
      </c>
      <c r="E13" s="56">
        <f>'Commodity Tonnages'!E13*Pricing!E11</f>
        <v>0</v>
      </c>
      <c r="F13" s="56">
        <f>'Commodity Tonnages'!F13*Pricing!F11</f>
        <v>209.34503756799998</v>
      </c>
      <c r="G13" s="56">
        <f>'Commodity Tonnages'!G13*Pricing!G11</f>
        <v>26.165455512</v>
      </c>
      <c r="H13" s="56">
        <f>'Commodity Tonnages'!H13*Pricing!H11</f>
        <v>-243.92039411000002</v>
      </c>
      <c r="I13" s="56">
        <f>'Commodity Tonnages'!I13*Pricing!I11</f>
        <v>436.46694155999995</v>
      </c>
      <c r="J13" s="56">
        <f>'Commodity Tonnages'!J13*Pricing!J11</f>
        <v>436.46694155999995</v>
      </c>
      <c r="K13" s="56">
        <f>'Commodity Tonnages'!K13*Pricing!K11</f>
        <v>2459.4268053600003</v>
      </c>
      <c r="L13" s="56">
        <f>'Commodity Tonnages'!L13*Pricing!L11</f>
        <v>-1011.5606466</v>
      </c>
      <c r="M13" s="116">
        <f>SUM(C13:L13)</f>
        <v>3435.703599718</v>
      </c>
      <c r="O13" s="76">
        <f t="shared" si="1"/>
        <v>1717.851799859</v>
      </c>
      <c r="P13" s="154">
        <v>0.5</v>
      </c>
      <c r="Q13" s="55"/>
    </row>
    <row r="14" spans="1:17" ht="15.75" customHeight="1">
      <c r="A14" s="46">
        <f>+Pricing!A12</f>
        <v>44592</v>
      </c>
      <c r="B14" s="47"/>
      <c r="C14" s="52">
        <f>'Commodity Tonnages'!C14*Pricing!C12</f>
        <v>2971.657010112001</v>
      </c>
      <c r="D14" s="56">
        <f>'Commodity Tonnages'!D14*Pricing!D12</f>
        <v>-1518.868281</v>
      </c>
      <c r="E14" s="56">
        <f>'Commodity Tonnages'!E14*Pricing!E12</f>
        <v>0</v>
      </c>
      <c r="F14" s="56">
        <f>'Commodity Tonnages'!F14*Pricing!F12</f>
        <v>182.27216196000006</v>
      </c>
      <c r="G14" s="56">
        <f>'Commodity Tonnages'!G14*Pricing!G12</f>
        <v>18.287022264000004</v>
      </c>
      <c r="H14" s="56">
        <f>'Commodity Tonnages'!H14*Pricing!H12</f>
        <v>-124.54801800000003</v>
      </c>
      <c r="I14" s="56">
        <f>'Commodity Tonnages'!I14*Pricing!I12</f>
        <v>409.804989552</v>
      </c>
      <c r="J14" s="56">
        <f>'Commodity Tonnages'!J14*Pricing!J12</f>
        <v>409.804989552</v>
      </c>
      <c r="K14" s="56">
        <f>'Commodity Tonnages'!K14*Pricing!K12</f>
        <v>2403.9144208800008</v>
      </c>
      <c r="L14" s="56">
        <f>'Commodity Tonnages'!L14*Pricing!L12</f>
        <v>-1302.7073049900002</v>
      </c>
      <c r="M14" s="116">
        <f t="shared" si="0"/>
        <v>3449.6169903300024</v>
      </c>
      <c r="O14" s="76">
        <f t="shared" si="1"/>
        <v>1724.8084951650012</v>
      </c>
      <c r="P14" s="154">
        <v>0.5</v>
      </c>
      <c r="Q14" s="55"/>
    </row>
    <row r="15" spans="1:17" ht="15.75" customHeight="1">
      <c r="A15" s="46">
        <f>+Pricing!A13</f>
        <v>44620</v>
      </c>
      <c r="B15" s="47"/>
      <c r="C15" s="52">
        <f>'Commodity Tonnages'!C15*Pricing!C13</f>
        <v>2532.84069024</v>
      </c>
      <c r="D15" s="56">
        <f>'Commodity Tonnages'!D15*Pricing!D13</f>
        <v>-959.8331137499999</v>
      </c>
      <c r="E15" s="56">
        <f>'Commodity Tonnages'!E15*Pricing!E13</f>
        <v>0</v>
      </c>
      <c r="F15" s="56">
        <f>'Commodity Tonnages'!F15*Pricing!F13</f>
        <v>160.05872736</v>
      </c>
      <c r="G15" s="56">
        <f>'Commodity Tonnages'!G15*Pricing!G13</f>
        <v>16.98729732</v>
      </c>
      <c r="H15" s="56">
        <f>'Commodity Tonnages'!H15*Pricing!H13</f>
        <v>-639.1861560000001</v>
      </c>
      <c r="I15" s="56">
        <f>'Commodity Tonnages'!I15*Pricing!I13</f>
        <v>434.5446903</v>
      </c>
      <c r="J15" s="56">
        <f>'Commodity Tonnages'!J15*Pricing!J13</f>
        <v>434.5446903</v>
      </c>
      <c r="K15" s="56">
        <f>'Commodity Tonnages'!K15*Pricing!K13</f>
        <v>2336.9822028000003</v>
      </c>
      <c r="L15" s="56">
        <f>'Commodity Tonnages'!L15*Pricing!L13</f>
        <v>-955.45368555</v>
      </c>
      <c r="M15" s="116">
        <f t="shared" si="0"/>
        <v>3361.48534302</v>
      </c>
      <c r="O15" s="76">
        <f t="shared" si="1"/>
        <v>1680.74267151</v>
      </c>
      <c r="P15" s="154">
        <v>0.5</v>
      </c>
      <c r="Q15" s="55"/>
    </row>
    <row r="16" spans="1:17" ht="15.75" customHeight="1">
      <c r="A16" s="46">
        <f>+Pricing!A14</f>
        <v>44651</v>
      </c>
      <c r="B16" s="47"/>
      <c r="C16" s="52">
        <f>'Commodity Tonnages'!C16*Pricing!C14</f>
        <v>3118.8588320960002</v>
      </c>
      <c r="D16" s="56">
        <f>'Commodity Tonnages'!D16*Pricing!D14</f>
        <v>-1227.3780295</v>
      </c>
      <c r="E16" s="56">
        <f>'Commodity Tonnages'!E16*Pricing!E14</f>
        <v>0</v>
      </c>
      <c r="F16" s="56">
        <f>'Commodity Tonnages'!F16*Pricing!F14</f>
        <v>186.29261313599997</v>
      </c>
      <c r="G16" s="56">
        <f>'Commodity Tonnages'!G16*Pricing!G14</f>
        <v>27.308121792000005</v>
      </c>
      <c r="H16" s="56">
        <f>'Commodity Tonnages'!H16*Pricing!H14</f>
        <v>-539.5319860000001</v>
      </c>
      <c r="I16" s="56">
        <f>'Commodity Tonnages'!I16*Pricing!I14</f>
        <v>621.5269786879999</v>
      </c>
      <c r="J16" s="56">
        <f>'Commodity Tonnages'!J16*Pricing!J14</f>
        <v>621.5269786879999</v>
      </c>
      <c r="K16" s="56">
        <f>'Commodity Tonnages'!K16*Pricing!K14</f>
        <v>2569.5082929600003</v>
      </c>
      <c r="L16" s="56">
        <f>'Commodity Tonnages'!L16*Pricing!L14</f>
        <v>-1073.22478172</v>
      </c>
      <c r="M16" s="116">
        <f t="shared" si="0"/>
        <v>4304.8870201400005</v>
      </c>
      <c r="O16" s="76">
        <f t="shared" si="1"/>
        <v>2152.4435100700002</v>
      </c>
      <c r="P16" s="154">
        <v>0.5</v>
      </c>
      <c r="Q16" s="55"/>
    </row>
    <row r="17" spans="1:17" ht="15.75" customHeight="1">
      <c r="A17" s="46">
        <f>+Pricing!A15</f>
        <v>44681</v>
      </c>
      <c r="B17" s="47"/>
      <c r="C17" s="52">
        <f>'Commodity Tonnages'!C17*Pricing!C15</f>
        <v>2834.2558652800003</v>
      </c>
      <c r="D17" s="56">
        <f>'Commodity Tonnages'!D17*Pricing!D15</f>
        <v>-865.074721</v>
      </c>
      <c r="E17" s="56">
        <f>'Commodity Tonnages'!E17*Pricing!E15</f>
        <v>0</v>
      </c>
      <c r="F17" s="56">
        <f>'Commodity Tonnages'!F17*Pricing!F15</f>
        <v>203.74848681600002</v>
      </c>
      <c r="G17" s="56">
        <v>0</v>
      </c>
      <c r="H17" s="56">
        <f>'Commodity Tonnages'!H17*Pricing!H15</f>
        <v>-229.45992440000003</v>
      </c>
      <c r="I17" s="56">
        <f>'Commodity Tonnages'!I17*Pricing!I15</f>
        <v>700.5728459520001</v>
      </c>
      <c r="J17" s="56">
        <f>'Commodity Tonnages'!J17*Pricing!J15</f>
        <v>700.5728459520001</v>
      </c>
      <c r="K17" s="56">
        <f>'Commodity Tonnages'!K17*Pricing!K15</f>
        <v>2420.9883936000006</v>
      </c>
      <c r="L17" s="56">
        <f>'Commodity Tonnages'!L17*Pricing!L15</f>
        <v>-1124.95773208</v>
      </c>
      <c r="M17" s="116">
        <f t="shared" si="0"/>
        <v>4640.6460601200015</v>
      </c>
      <c r="O17" s="76">
        <f t="shared" si="1"/>
        <v>2320.3230300600007</v>
      </c>
      <c r="P17" s="154">
        <v>0.5</v>
      </c>
      <c r="Q17" s="55"/>
    </row>
    <row r="18" spans="1:16" ht="15.75" customHeight="1">
      <c r="A18" s="50" t="s">
        <v>24</v>
      </c>
      <c r="B18" s="47"/>
      <c r="C18" s="113">
        <f aca="true" t="shared" si="2" ref="C18:L18">SUM(C6:C17)</f>
        <v>28058.744287736004</v>
      </c>
      <c r="D18" s="114">
        <f t="shared" si="2"/>
        <v>-9648.620534450001</v>
      </c>
      <c r="E18" s="114">
        <f t="shared" si="2"/>
        <v>0</v>
      </c>
      <c r="F18" s="113">
        <f t="shared" si="2"/>
        <v>2672.5637076880002</v>
      </c>
      <c r="G18" s="113">
        <f t="shared" si="2"/>
        <v>290.235008448</v>
      </c>
      <c r="H18" s="113">
        <f t="shared" si="2"/>
        <v>10103.411211842002</v>
      </c>
      <c r="I18" s="113">
        <f t="shared" si="2"/>
        <v>7632.997020816001</v>
      </c>
      <c r="J18" s="113">
        <f t="shared" si="2"/>
        <v>7632.997020816001</v>
      </c>
      <c r="K18" s="113">
        <f t="shared" si="2"/>
        <v>36319.343786815996</v>
      </c>
      <c r="L18" s="114">
        <f t="shared" si="2"/>
        <v>-15009.24826614</v>
      </c>
      <c r="M18" s="117">
        <f>SUM(C18:L18)</f>
        <v>68052.423243572</v>
      </c>
      <c r="O18" s="115">
        <f>SUM(O6:O17)</f>
        <v>34026.211621786</v>
      </c>
      <c r="P18" s="123">
        <f>+O18/M18</f>
        <v>0.5</v>
      </c>
    </row>
    <row r="19" spans="1:15" ht="12.75">
      <c r="A19" s="47"/>
      <c r="B19" s="47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O19" s="58"/>
    </row>
    <row r="20" spans="1:15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O20" s="59"/>
    </row>
    <row r="21" spans="1:15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O21" s="60"/>
    </row>
    <row r="22" spans="1:13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spans="1:13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1:13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28125" style="110" bestFit="1" customWidth="1"/>
    <col min="3" max="12" width="11.7109375" style="0" customWidth="1"/>
  </cols>
  <sheetData>
    <row r="1" spans="1:2" ht="12.75">
      <c r="A1" s="38" t="str">
        <f>"Commodity Pricing ("&amp;TEXT(A4,"mmmm yyyy")&amp;" through "&amp;TEXT(A15,"mmmm yyyy")&amp;")"</f>
        <v>Commodity Pricing (May 2021 through April 2022)</v>
      </c>
      <c r="B1" s="107"/>
    </row>
    <row r="2" spans="1:2" ht="12.75">
      <c r="A2" s="40" t="s">
        <v>57</v>
      </c>
      <c r="B2" s="108"/>
    </row>
    <row r="3" spans="2:13" ht="12.75">
      <c r="B3" s="109"/>
      <c r="C3" s="42" t="s">
        <v>14</v>
      </c>
      <c r="D3" s="42" t="s">
        <v>15</v>
      </c>
      <c r="E3" s="42" t="s">
        <v>78</v>
      </c>
      <c r="F3" s="42" t="s">
        <v>31</v>
      </c>
      <c r="G3" s="42" t="s">
        <v>79</v>
      </c>
      <c r="H3" s="42" t="s">
        <v>17</v>
      </c>
      <c r="I3" s="42" t="s">
        <v>18</v>
      </c>
      <c r="J3" s="42" t="s">
        <v>19</v>
      </c>
      <c r="K3" s="42" t="s">
        <v>20</v>
      </c>
      <c r="L3" s="42" t="s">
        <v>21</v>
      </c>
      <c r="M3" s="42"/>
    </row>
    <row r="4" spans="1:13" ht="15.75" customHeight="1">
      <c r="A4" s="105">
        <f>Multi_Family!$C$6</f>
        <v>44317</v>
      </c>
      <c r="B4" s="109" t="s">
        <v>44</v>
      </c>
      <c r="C4" s="120">
        <f>Multi_Family!C74</f>
        <v>1189.808</v>
      </c>
      <c r="D4" s="120">
        <f>Multi_Family!C76</f>
        <v>-24.73</v>
      </c>
      <c r="E4" s="120">
        <f>Multi_Family!C77</f>
        <v>0</v>
      </c>
      <c r="F4" s="120">
        <f>Multi_Family!C72</f>
        <v>176.12800000000001</v>
      </c>
      <c r="G4" s="163">
        <f>Multi_Family!C75</f>
        <v>142.04000000000002</v>
      </c>
      <c r="H4" s="120">
        <f>Multi_Family!C79</f>
        <v>46.64</v>
      </c>
      <c r="I4" s="120">
        <f>Multi_Family!C73</f>
        <v>299.36916201117316</v>
      </c>
      <c r="J4" s="120">
        <f>Multi_Family!C73</f>
        <v>299.36916201117316</v>
      </c>
      <c r="K4" s="120">
        <f>Multi_Family!C70</f>
        <v>131.504</v>
      </c>
      <c r="L4" s="120">
        <f>Multi_Family!C78</f>
        <v>-78.93</v>
      </c>
      <c r="M4" s="51"/>
    </row>
    <row r="5" spans="1:13" ht="15.75" customHeight="1">
      <c r="A5" s="46">
        <f aca="true" t="shared" si="0" ref="A5:A15">EOMONTH(A4,1)</f>
        <v>44377</v>
      </c>
      <c r="B5" s="109" t="s">
        <v>45</v>
      </c>
      <c r="C5" s="120">
        <f>Multi_Family!D74</f>
        <v>1217.48</v>
      </c>
      <c r="D5" s="120">
        <f>Multi_Family!D76</f>
        <v>-9.94</v>
      </c>
      <c r="E5" s="120">
        <f>Multi_Family!D77</f>
        <v>0</v>
      </c>
      <c r="F5" s="120">
        <f>Multi_Family!D72</f>
        <v>209.168</v>
      </c>
      <c r="G5" s="163">
        <f>Multi_Family!D75</f>
        <v>165.69600000000003</v>
      </c>
      <c r="H5" s="120">
        <f>Multi_Family!D79</f>
        <v>64.08800000000001</v>
      </c>
      <c r="I5" s="120">
        <f>Multi_Family!D73</f>
        <v>444.90221229050275</v>
      </c>
      <c r="J5" s="120">
        <f>Multi_Family!D73</f>
        <v>444.90221229050275</v>
      </c>
      <c r="K5" s="120">
        <f>Multi_Family!D70</f>
        <v>154.096</v>
      </c>
      <c r="L5" s="120">
        <f>Multi_Family!D78</f>
        <v>-83.88</v>
      </c>
      <c r="M5" s="51"/>
    </row>
    <row r="6" spans="1:13" ht="15.75" customHeight="1">
      <c r="A6" s="46">
        <f t="shared" si="0"/>
        <v>44408</v>
      </c>
      <c r="B6" s="110" t="s">
        <v>46</v>
      </c>
      <c r="C6" s="120">
        <f>Multi_Family!E74</f>
        <v>1261.632</v>
      </c>
      <c r="D6" s="120">
        <f>Multi_Family!E76</f>
        <v>-46.2</v>
      </c>
      <c r="E6" s="120">
        <f>Multi_Family!E77</f>
        <v>0</v>
      </c>
      <c r="F6" s="120">
        <f>Multi_Family!E72</f>
        <v>189.88</v>
      </c>
      <c r="G6" s="163">
        <f>Multi_Family!E75</f>
        <v>150.072</v>
      </c>
      <c r="H6" s="120">
        <f>Multi_Family!E79</f>
        <v>50.080000000000005</v>
      </c>
      <c r="I6" s="120">
        <f>Multi_Family!E73</f>
        <v>363.4323868131869</v>
      </c>
      <c r="J6" s="120">
        <f>Multi_Family!E73</f>
        <v>363.4323868131869</v>
      </c>
      <c r="K6" s="120">
        <f>Multi_Family!E70</f>
        <v>142.168</v>
      </c>
      <c r="L6" s="120">
        <f>Multi_Family!E78</f>
        <v>-83.07</v>
      </c>
      <c r="M6" s="48"/>
    </row>
    <row r="7" spans="1:13" ht="15.75" customHeight="1">
      <c r="A7" s="46">
        <f t="shared" si="0"/>
        <v>44439</v>
      </c>
      <c r="B7" s="110" t="s">
        <v>47</v>
      </c>
      <c r="C7" s="120">
        <f>Multi_Family!F74</f>
        <v>1291.592</v>
      </c>
      <c r="D7" s="120">
        <f>Multi_Family!F76</f>
        <v>-52.58</v>
      </c>
      <c r="E7" s="120">
        <f>Multi_Family!F77</f>
        <v>0</v>
      </c>
      <c r="F7" s="120">
        <f>Multi_Family!F72</f>
        <v>171.784</v>
      </c>
      <c r="G7" s="163">
        <f>Multi_Family!F75</f>
        <v>138.856</v>
      </c>
      <c r="H7" s="120">
        <f>Multi_Family!F79</f>
        <v>57.176</v>
      </c>
      <c r="I7" s="120">
        <f>Multi_Family!F73</f>
        <v>436.2276747252748</v>
      </c>
      <c r="J7" s="120">
        <f>Multi_Family!F73</f>
        <v>436.2276747252748</v>
      </c>
      <c r="K7" s="120">
        <f>Multi_Family!F70</f>
        <v>146.29600000000002</v>
      </c>
      <c r="L7" s="120">
        <f>Multi_Family!F78</f>
        <v>-80.11</v>
      </c>
      <c r="M7" s="48"/>
    </row>
    <row r="8" spans="1:13" ht="15.75" customHeight="1">
      <c r="A8" s="46">
        <f t="shared" si="0"/>
        <v>44469</v>
      </c>
      <c r="B8" s="110" t="s">
        <v>48</v>
      </c>
      <c r="C8" s="121">
        <f>Multi_Family!G74</f>
        <v>1399.968</v>
      </c>
      <c r="D8" s="121">
        <f>Multi_Family!G76</f>
        <v>-48.34</v>
      </c>
      <c r="E8" s="121">
        <f>Multi_Family!G77</f>
        <v>0</v>
      </c>
      <c r="F8" s="121">
        <f>Multi_Family!G72</f>
        <v>154.28</v>
      </c>
      <c r="G8" s="164">
        <f>Multi_Family!G75</f>
        <v>123.49600000000001</v>
      </c>
      <c r="H8" s="121">
        <f>Multi_Family!G79</f>
        <v>53.29600000000001</v>
      </c>
      <c r="I8" s="121">
        <f>Multi_Family!G73</f>
        <v>382.0567384615385</v>
      </c>
      <c r="J8" s="121">
        <f>Multi_Family!G73</f>
        <v>382.0567384615385</v>
      </c>
      <c r="K8" s="121">
        <f>Multi_Family!G70</f>
        <v>153.20000000000002</v>
      </c>
      <c r="L8" s="120">
        <f>Multi_Family!G78</f>
        <v>-81.75</v>
      </c>
      <c r="M8" s="48"/>
    </row>
    <row r="9" spans="1:13" ht="15.75" customHeight="1">
      <c r="A9" s="46">
        <f t="shared" si="0"/>
        <v>44500</v>
      </c>
      <c r="B9" s="110" t="s">
        <v>49</v>
      </c>
      <c r="C9" s="121">
        <f>Multi_Family!H74</f>
        <v>1432.5680000000002</v>
      </c>
      <c r="D9" s="121">
        <f>Multi_Family!H76</f>
        <v>-46.82</v>
      </c>
      <c r="E9" s="121">
        <f>Multi_Family!H77</f>
        <v>0</v>
      </c>
      <c r="F9" s="121">
        <f>Multi_Family!H72</f>
        <v>155.34400000000002</v>
      </c>
      <c r="G9" s="164">
        <f>Multi_Family!H75</f>
        <v>135.408</v>
      </c>
      <c r="H9" s="121">
        <f>Multi_Family!H79</f>
        <v>60.592</v>
      </c>
      <c r="I9" s="121">
        <f>Multi_Family!H73</f>
        <v>262.971287912088</v>
      </c>
      <c r="J9" s="121">
        <f>Multi_Family!H73</f>
        <v>262.971287912088</v>
      </c>
      <c r="K9" s="121">
        <f>Multi_Family!H70</f>
        <v>151.29600000000002</v>
      </c>
      <c r="L9" s="120">
        <f>Multi_Family!H78</f>
        <v>-81.75</v>
      </c>
      <c r="M9" s="48"/>
    </row>
    <row r="10" spans="1:13" ht="15.75" customHeight="1">
      <c r="A10" s="46">
        <f t="shared" si="0"/>
        <v>44530</v>
      </c>
      <c r="B10" s="110" t="s">
        <v>50</v>
      </c>
      <c r="C10" s="120">
        <f>Multi_Family!I74</f>
        <v>1208.28</v>
      </c>
      <c r="D10" s="120">
        <f>Multi_Family!I76</f>
        <v>-57.68</v>
      </c>
      <c r="E10" s="120">
        <f>Multi_Family!I77</f>
        <v>0</v>
      </c>
      <c r="F10" s="120">
        <f>Multi_Family!I72</f>
        <v>160.656</v>
      </c>
      <c r="G10" s="163">
        <f>Multi_Family!I75</f>
        <v>145.808</v>
      </c>
      <c r="H10" s="120">
        <f>Multi_Family!I79</f>
        <v>32.848000000000006</v>
      </c>
      <c r="I10" s="120">
        <f>Multi_Family!I73</f>
        <v>275.3715692307693</v>
      </c>
      <c r="J10" s="120">
        <f>Multi_Family!I73</f>
        <v>275.3715692307693</v>
      </c>
      <c r="K10" s="120">
        <f>Multi_Family!I70</f>
        <v>129.08800000000002</v>
      </c>
      <c r="L10" s="120">
        <f>Multi_Family!I78</f>
        <v>-74.78</v>
      </c>
      <c r="M10" s="48"/>
    </row>
    <row r="11" spans="1:13" s="159" customFormat="1" ht="15.75" customHeight="1">
      <c r="A11" s="105">
        <f t="shared" si="0"/>
        <v>44561</v>
      </c>
      <c r="B11" s="161" t="s">
        <v>51</v>
      </c>
      <c r="C11" s="121">
        <f>Multi_Family!J74</f>
        <v>1267.616</v>
      </c>
      <c r="D11" s="121">
        <f>Multi_Family!J76</f>
        <v>-51.06</v>
      </c>
      <c r="E11" s="121">
        <f>Multi_Family!J77</f>
        <v>0</v>
      </c>
      <c r="F11" s="121">
        <f>Multi_Family!J72</f>
        <v>168.928</v>
      </c>
      <c r="G11" s="164">
        <f>Multi_Family!J75</f>
        <v>152.824</v>
      </c>
      <c r="H11" s="121">
        <f>Multi_Family!J79</f>
        <v>-8.57</v>
      </c>
      <c r="I11" s="121">
        <f>Multi_Family!J73</f>
        <v>235.31657142857142</v>
      </c>
      <c r="J11" s="121">
        <f>Multi_Family!J73</f>
        <v>235.31657142857142</v>
      </c>
      <c r="K11" s="121">
        <f>Multi_Family!J70</f>
        <v>119.28</v>
      </c>
      <c r="L11" s="121">
        <f>Multi_Family!J78</f>
        <v>-82.44</v>
      </c>
      <c r="M11" s="162"/>
    </row>
    <row r="12" spans="1:13" ht="15.75" customHeight="1">
      <c r="A12" s="46">
        <f t="shared" si="0"/>
        <v>44592</v>
      </c>
      <c r="B12" s="110" t="s">
        <v>52</v>
      </c>
      <c r="C12" s="120">
        <f>Multi_Family!K74</f>
        <v>1508.5120000000002</v>
      </c>
      <c r="D12" s="120">
        <f>Multi_Family!K76</f>
        <v>-77.32</v>
      </c>
      <c r="E12" s="120">
        <f>Multi_Family!K77</f>
        <v>0</v>
      </c>
      <c r="F12" s="120">
        <f>Multi_Family!K72</f>
        <v>112.04000000000002</v>
      </c>
      <c r="G12" s="163">
        <f>Multi_Family!K75</f>
        <v>86.968</v>
      </c>
      <c r="H12" s="120">
        <f>Multi_Family!K79</f>
        <v>-3.4</v>
      </c>
      <c r="I12" s="120">
        <f>Multi_Family!K73</f>
        <v>150.526243902439</v>
      </c>
      <c r="J12" s="120">
        <f>Multi_Family!K73</f>
        <v>150.526243902439</v>
      </c>
      <c r="K12" s="120">
        <f>Multi_Family!K70</f>
        <v>83.224</v>
      </c>
      <c r="L12" s="120">
        <f>Multi_Family!K78</f>
        <v>-80.13</v>
      </c>
      <c r="M12" s="48"/>
    </row>
    <row r="13" spans="1:13" ht="15.75" customHeight="1">
      <c r="A13" s="46">
        <f t="shared" si="0"/>
        <v>44620</v>
      </c>
      <c r="B13" s="110" t="s">
        <v>53</v>
      </c>
      <c r="C13" s="120">
        <f>Multi_Family!L74</f>
        <v>1715.4240000000002</v>
      </c>
      <c r="D13" s="120">
        <f>Multi_Family!L76</f>
        <v>-65.19</v>
      </c>
      <c r="E13" s="120">
        <f>Multi_Family!L77</f>
        <v>0</v>
      </c>
      <c r="F13" s="120">
        <f>Multi_Family!L72</f>
        <v>131.264</v>
      </c>
      <c r="G13" s="163">
        <f>Multi_Family!L75</f>
        <v>107.78399999999999</v>
      </c>
      <c r="H13" s="120">
        <f>Multi_Family!L79</f>
        <v>-23.28</v>
      </c>
      <c r="I13" s="120">
        <f>Multi_Family!L73</f>
        <v>212.95260162601625</v>
      </c>
      <c r="J13" s="120">
        <f>Multi_Family!L73</f>
        <v>212.95260162601625</v>
      </c>
      <c r="K13" s="120">
        <f>Multi_Family!L70</f>
        <v>107.94400000000002</v>
      </c>
      <c r="L13" s="120">
        <f>Multi_Family!L78</f>
        <v>-78.41</v>
      </c>
      <c r="M13" s="48"/>
    </row>
    <row r="14" spans="1:13" ht="15.75" customHeight="1">
      <c r="A14" s="46">
        <f t="shared" si="0"/>
        <v>44651</v>
      </c>
      <c r="B14" s="110" t="s">
        <v>54</v>
      </c>
      <c r="C14" s="120">
        <f>Multi_Family!M74</f>
        <v>1859.6560000000002</v>
      </c>
      <c r="D14" s="120">
        <f>Multi_Family!M76</f>
        <v>-73.39</v>
      </c>
      <c r="E14" s="120">
        <f>Multi_Family!M77</f>
        <v>0</v>
      </c>
      <c r="F14" s="120">
        <f>Multi_Family!M72</f>
        <v>134.504</v>
      </c>
      <c r="G14" s="163">
        <f>Multi_Family!M75</f>
        <v>152.544</v>
      </c>
      <c r="H14" s="120">
        <f>Multi_Family!M79</f>
        <v>-17.3</v>
      </c>
      <c r="I14" s="120">
        <f>Multi_Family!M73</f>
        <v>268.1524552845528</v>
      </c>
      <c r="J14" s="120">
        <f>Multi_Family!M73</f>
        <v>268.1524552845528</v>
      </c>
      <c r="K14" s="120">
        <f>Multi_Family!M70</f>
        <v>104.48800000000001</v>
      </c>
      <c r="L14" s="120">
        <f>Multi_Family!M78</f>
        <v>-77.54</v>
      </c>
      <c r="M14" s="48"/>
    </row>
    <row r="15" spans="1:13" ht="15.75" customHeight="1">
      <c r="A15" s="46">
        <f t="shared" si="0"/>
        <v>44681</v>
      </c>
      <c r="B15" s="110" t="s">
        <v>55</v>
      </c>
      <c r="C15" s="120">
        <f>Multi_Family!N74</f>
        <v>1816.8400000000001</v>
      </c>
      <c r="D15" s="120">
        <f>Multi_Family!N76</f>
        <v>-55.61</v>
      </c>
      <c r="E15" s="120">
        <f>Multi_Family!N77</f>
        <v>0</v>
      </c>
      <c r="F15" s="120">
        <f>Multi_Family!N72</f>
        <v>158.15200000000002</v>
      </c>
      <c r="G15" s="163">
        <f>Multi_Family!N75</f>
        <v>185.48000000000002</v>
      </c>
      <c r="H15" s="120">
        <f>Multi_Family!N79</f>
        <v>-7.91</v>
      </c>
      <c r="I15" s="120">
        <f>Multi_Family!N73</f>
        <v>324.9494634146342</v>
      </c>
      <c r="J15" s="120">
        <f>Multi_Family!N73</f>
        <v>324.9494634146342</v>
      </c>
      <c r="K15" s="120">
        <f>Multi_Family!N70</f>
        <v>105.84000000000002</v>
      </c>
      <c r="L15" s="120">
        <f>Multi_Family!N78</f>
        <v>-87.38</v>
      </c>
      <c r="M15" s="48"/>
    </row>
    <row r="16" spans="1:13" ht="12.75">
      <c r="A16" s="47"/>
      <c r="C16" s="48"/>
      <c r="D16" s="48"/>
      <c r="E16" s="48"/>
      <c r="F16" s="48"/>
      <c r="G16" s="48"/>
      <c r="H16" s="48"/>
      <c r="I16" s="48"/>
      <c r="J16" s="48"/>
      <c r="K16" s="48"/>
      <c r="L16" s="47"/>
      <c r="M16" s="48"/>
    </row>
    <row r="17" spans="1:14" ht="12.75">
      <c r="A17" s="50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 t="s">
        <v>23</v>
      </c>
    </row>
    <row r="18" spans="1:13" ht="12.75">
      <c r="A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</row>
    <row r="19" spans="1:13" ht="12.75">
      <c r="A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</row>
    <row r="20" spans="1:13" ht="12.75">
      <c r="A20" s="47"/>
      <c r="C20" s="47"/>
      <c r="D20" s="47"/>
      <c r="F20" s="47"/>
      <c r="G20" s="47"/>
      <c r="H20" s="47"/>
      <c r="I20" s="47"/>
      <c r="J20" s="47"/>
      <c r="K20" s="47"/>
      <c r="L20" s="47"/>
      <c r="M20" s="48"/>
    </row>
    <row r="21" spans="1:13" ht="12.75">
      <c r="A21" s="47"/>
      <c r="C21" s="47"/>
      <c r="D21" s="47"/>
      <c r="F21" s="47"/>
      <c r="G21" s="47"/>
      <c r="H21" s="47"/>
      <c r="I21" s="47"/>
      <c r="J21" s="47"/>
      <c r="K21" s="47"/>
      <c r="L21" s="47"/>
      <c r="M21" s="48"/>
    </row>
    <row r="22" spans="1:13" ht="12.75">
      <c r="A22" s="47"/>
      <c r="C22" s="47"/>
      <c r="D22" s="47"/>
      <c r="G22" s="47"/>
      <c r="H22" s="47"/>
      <c r="I22" s="47"/>
      <c r="J22" s="47"/>
      <c r="K22" s="47"/>
      <c r="L22" s="47"/>
      <c r="M22" s="48"/>
    </row>
    <row r="23" spans="1:13" ht="12.75">
      <c r="A23" s="47"/>
      <c r="C23" s="47"/>
      <c r="D23" s="47"/>
      <c r="F23" s="47"/>
      <c r="G23" s="47"/>
      <c r="H23" s="47"/>
      <c r="I23" s="47"/>
      <c r="J23" s="47"/>
      <c r="K23" s="47"/>
      <c r="L23" s="47"/>
      <c r="M23" s="48"/>
    </row>
    <row r="24" spans="1:13" ht="12.75">
      <c r="A24" s="47"/>
      <c r="C24" s="47"/>
      <c r="D24" s="47"/>
      <c r="F24" s="47"/>
      <c r="G24" s="47"/>
      <c r="H24" s="47"/>
      <c r="I24" s="47"/>
      <c r="J24" s="47"/>
      <c r="K24" s="47"/>
      <c r="L24" s="47"/>
      <c r="M24" s="48"/>
    </row>
    <row r="25" spans="1:13" ht="12.75">
      <c r="A25" s="47"/>
      <c r="C25" s="47"/>
      <c r="D25" s="47"/>
      <c r="F25" s="47"/>
      <c r="G25" s="47"/>
      <c r="H25" s="47"/>
      <c r="I25" s="47"/>
      <c r="J25" s="47"/>
      <c r="K25" s="47"/>
      <c r="L25" s="47"/>
      <c r="M25" s="48"/>
    </row>
    <row r="26" spans="1:13" ht="12.75">
      <c r="A26" s="47"/>
      <c r="C26" s="47"/>
      <c r="D26" s="47"/>
      <c r="F26" s="47"/>
      <c r="G26" s="47"/>
      <c r="H26" s="47"/>
      <c r="I26" s="47"/>
      <c r="J26" s="47"/>
      <c r="K26" s="47"/>
      <c r="L26" s="47"/>
      <c r="M26" s="48"/>
    </row>
    <row r="27" spans="1:13" ht="12.75">
      <c r="A27" s="47"/>
      <c r="C27" s="47"/>
      <c r="D27" s="47"/>
      <c r="F27" s="47"/>
      <c r="G27" s="47"/>
      <c r="H27" s="47"/>
      <c r="I27" s="47"/>
      <c r="J27" s="47"/>
      <c r="K27" s="47"/>
      <c r="L27" s="47"/>
      <c r="M27" s="48"/>
    </row>
    <row r="28" spans="1:13" ht="12.75">
      <c r="A28" s="47"/>
      <c r="C28" s="47"/>
      <c r="D28" s="47"/>
      <c r="F28" s="47"/>
      <c r="G28" s="47"/>
      <c r="H28" s="47"/>
      <c r="I28" s="47"/>
      <c r="J28" s="47"/>
      <c r="K28" s="47"/>
      <c r="L28" s="47"/>
      <c r="M28" s="47"/>
    </row>
    <row r="29" spans="1:13" ht="12.75">
      <c r="A29" s="47"/>
      <c r="C29" s="47"/>
      <c r="D29" s="47"/>
      <c r="F29" s="47"/>
      <c r="G29" s="47"/>
      <c r="H29" s="47"/>
      <c r="I29" s="47"/>
      <c r="J29" s="47"/>
      <c r="K29" s="47"/>
      <c r="L29" s="47"/>
      <c r="M29" s="47"/>
    </row>
    <row r="30" spans="1:13" ht="12.75">
      <c r="A30" s="47"/>
      <c r="C30" s="47"/>
      <c r="D30" s="47"/>
      <c r="F30" s="47"/>
      <c r="G30" s="47"/>
      <c r="H30" s="47"/>
      <c r="I30" s="47"/>
      <c r="J30" s="47"/>
      <c r="K30" s="47"/>
      <c r="L30" s="47"/>
      <c r="M30" s="47"/>
    </row>
    <row r="31" spans="1:13" ht="12.75">
      <c r="A31" s="47"/>
      <c r="C31" s="47"/>
      <c r="D31" s="47"/>
      <c r="F31" s="47"/>
      <c r="G31" s="47"/>
      <c r="H31" s="47"/>
      <c r="I31" s="47"/>
      <c r="J31" s="47"/>
      <c r="K31" s="47"/>
      <c r="L31" s="47"/>
      <c r="M31" s="47"/>
    </row>
    <row r="32" spans="1:13" ht="12.75">
      <c r="A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2.75">
      <c r="A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2.75">
      <c r="A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2.75">
      <c r="A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2.75">
      <c r="A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2.75">
      <c r="A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2.75">
      <c r="A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2.75">
      <c r="A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2.75">
      <c r="A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2.75">
      <c r="A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2.75">
      <c r="A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2.75">
      <c r="A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2.75">
      <c r="A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2.75">
      <c r="A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2.75">
      <c r="A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>
      <c r="A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2.75">
      <c r="A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2.75">
      <c r="A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>
      <c r="A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2.75">
      <c r="A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2.75">
      <c r="A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2.75">
      <c r="A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2.75">
      <c r="A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>
      <c r="A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2.75">
      <c r="A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2.75">
      <c r="A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2.75">
      <c r="A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2.75">
      <c r="A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2.75">
      <c r="A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2.75">
      <c r="A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2.75">
      <c r="A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2.75">
      <c r="A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2.75">
      <c r="A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2.75">
      <c r="A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2.75">
      <c r="A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2.75">
      <c r="A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2.75">
      <c r="A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2.75">
      <c r="A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2.75">
      <c r="A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2.75">
      <c r="A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2.75">
      <c r="A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2.75">
      <c r="A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2.75">
      <c r="A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2.75">
      <c r="A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2.75">
      <c r="A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2.75">
      <c r="A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2.75">
      <c r="A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2.75">
      <c r="A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2.75">
      <c r="A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2.75">
      <c r="A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2.75">
      <c r="A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2.75">
      <c r="A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2.75">
      <c r="A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2.75">
      <c r="A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2.75">
      <c r="A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2.75">
      <c r="A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2.75">
      <c r="A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2.7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2.75">
      <c r="A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2.75">
      <c r="A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2.75">
      <c r="A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2.75">
      <c r="A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2.75">
      <c r="A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2.75">
      <c r="A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2.75">
      <c r="A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2.75">
      <c r="A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2.75">
      <c r="A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2.75">
      <c r="A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2.75">
      <c r="A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2.75">
      <c r="A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2.75">
      <c r="A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2.75">
      <c r="A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2.75">
      <c r="A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2.75">
      <c r="A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2.75">
      <c r="A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.75">
      <c r="A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>
      <c r="A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2.75">
      <c r="A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2.75">
      <c r="A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2.75">
      <c r="A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2.75">
      <c r="A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2.75">
      <c r="A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2.75">
      <c r="A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2.75">
      <c r="A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2.75">
      <c r="A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38" t="str">
        <f>"Multi-Family Tonnages by Commodity ("&amp;TEXT(A6,"mmmm yyyy")&amp;" through "&amp;TEXT(A17,"mmmm yyyy")&amp;")"</f>
        <v>Multi-Family Tonnages by Commodity (May 2021 through April 2022)</v>
      </c>
      <c r="B1" s="39"/>
    </row>
    <row r="2" spans="1:2" ht="12.75">
      <c r="A2" s="40" t="s">
        <v>56</v>
      </c>
      <c r="B2" s="40"/>
    </row>
    <row r="3" spans="1:14" ht="12.75">
      <c r="A3" s="39"/>
      <c r="B3" s="41"/>
      <c r="C3" s="42" t="s">
        <v>14</v>
      </c>
      <c r="D3" s="42" t="s">
        <v>15</v>
      </c>
      <c r="E3" s="42" t="s">
        <v>78</v>
      </c>
      <c r="F3" s="42" t="s">
        <v>31</v>
      </c>
      <c r="G3" s="42" t="s">
        <v>79</v>
      </c>
      <c r="H3" s="42" t="s">
        <v>17</v>
      </c>
      <c r="I3" s="42" t="s">
        <v>18</v>
      </c>
      <c r="J3" s="42" t="s">
        <v>19</v>
      </c>
      <c r="K3" s="42" t="s">
        <v>20</v>
      </c>
      <c r="L3" s="42" t="s">
        <v>21</v>
      </c>
      <c r="M3" s="42"/>
      <c r="N3" s="42" t="s">
        <v>22</v>
      </c>
    </row>
    <row r="4" spans="1:5" s="44" customFormat="1" ht="12.75">
      <c r="A4" s="43"/>
      <c r="B4" s="43"/>
      <c r="D4" s="45"/>
      <c r="E4" s="45"/>
    </row>
    <row r="5" spans="1:14" ht="12.75">
      <c r="A5" s="46"/>
      <c r="B5" s="47"/>
      <c r="C5" s="48"/>
      <c r="D5" s="48"/>
      <c r="E5" s="48"/>
      <c r="F5" s="48"/>
      <c r="G5" s="48"/>
      <c r="H5" s="48"/>
      <c r="I5" s="48"/>
      <c r="J5" s="48"/>
      <c r="L5" s="47"/>
      <c r="M5" s="44"/>
      <c r="N5" s="48" t="s">
        <v>23</v>
      </c>
    </row>
    <row r="6" spans="1:16" ht="12.75">
      <c r="A6" s="105">
        <f>Multi_Family!$C$6</f>
        <v>44317</v>
      </c>
      <c r="B6" s="47" t="s">
        <v>44</v>
      </c>
      <c r="C6" s="84">
        <f>Multi_Family!C32</f>
        <v>1.459828</v>
      </c>
      <c r="D6" s="85">
        <f>Multi_Family!C34</f>
        <v>11.10544</v>
      </c>
      <c r="E6" s="84">
        <f>Multi_Family!C35</f>
        <v>0</v>
      </c>
      <c r="F6" s="84">
        <f>Multi_Family!C30</f>
        <v>1.262796</v>
      </c>
      <c r="G6" s="84">
        <f>Multi_Family!C33</f>
        <v>0.188076</v>
      </c>
      <c r="H6" s="84">
        <f>Multi_Family!C37</f>
        <v>28.918924000000004</v>
      </c>
      <c r="I6" s="84">
        <f>Multi_Family!C31/2</f>
        <v>1.603124</v>
      </c>
      <c r="J6" s="84">
        <f>Multi_Family!C31/2</f>
        <v>1.603124</v>
      </c>
      <c r="K6" s="84">
        <f>Multi_Family!C28</f>
        <v>21.969068</v>
      </c>
      <c r="L6" s="84">
        <f>Multi_Family!C36</f>
        <v>21.44962</v>
      </c>
      <c r="M6" s="44"/>
      <c r="N6" s="106">
        <f aca="true" t="shared" si="0" ref="N6:N17">SUM(C6:L6)</f>
        <v>89.56</v>
      </c>
      <c r="O6" s="57"/>
      <c r="P6" s="49"/>
    </row>
    <row r="7" spans="1:16" ht="12.75">
      <c r="A7" s="46">
        <f aca="true" t="shared" si="1" ref="A7:A17">EOMONTH(A6,1)</f>
        <v>44377</v>
      </c>
      <c r="B7" s="47" t="s">
        <v>45</v>
      </c>
      <c r="C7" s="84">
        <f>Multi_Family!D32</f>
        <v>1.7592589999999997</v>
      </c>
      <c r="D7" s="85">
        <f>Multi_Family!D34</f>
        <v>13.38332</v>
      </c>
      <c r="E7" s="84">
        <f>Multi_Family!D35</f>
        <v>0</v>
      </c>
      <c r="F7" s="84">
        <f>Multi_Family!D30</f>
        <v>1.5218129999999999</v>
      </c>
      <c r="G7" s="84">
        <f>Multi_Family!D33</f>
        <v>0.22665299999999997</v>
      </c>
      <c r="H7" s="84">
        <f>Multi_Family!D37</f>
        <v>34.850597</v>
      </c>
      <c r="I7" s="84">
        <f>Multi_Family!D31/2</f>
        <v>1.9319469999999999</v>
      </c>
      <c r="J7" s="84">
        <f>Multi_Family!D31/2</f>
        <v>1.9319469999999999</v>
      </c>
      <c r="K7" s="84">
        <f>Multi_Family!D28</f>
        <v>26.475229</v>
      </c>
      <c r="L7" s="84">
        <f>Multi_Family!D36</f>
        <v>25.849234999999997</v>
      </c>
      <c r="M7" s="44"/>
      <c r="N7" s="106">
        <f t="shared" si="0"/>
        <v>107.92999999999999</v>
      </c>
      <c r="P7" s="49"/>
    </row>
    <row r="8" spans="1:16" ht="12.75">
      <c r="A8" s="46">
        <f t="shared" si="1"/>
        <v>44408</v>
      </c>
      <c r="B8" s="47" t="s">
        <v>46</v>
      </c>
      <c r="C8" s="84">
        <f>Multi_Family!E32</f>
        <v>1.5905120000000001</v>
      </c>
      <c r="D8" s="85">
        <f>Multi_Family!E34</f>
        <v>15.100827</v>
      </c>
      <c r="E8" s="84">
        <f>Multi_Family!E35</f>
        <v>0</v>
      </c>
      <c r="F8" s="84">
        <f>Multi_Family!E30</f>
        <v>1.373624</v>
      </c>
      <c r="G8" s="84">
        <f>Multi_Family!E33</f>
        <v>0.189777</v>
      </c>
      <c r="H8" s="84">
        <f>Multi_Family!E37</f>
        <v>31.548167000000003</v>
      </c>
      <c r="I8" s="84">
        <f>Multi_Family!E31/2</f>
        <v>2.0559175</v>
      </c>
      <c r="J8" s="84">
        <f>Multi_Family!E31/2</f>
        <v>2.0559175</v>
      </c>
      <c r="K8" s="84">
        <f>Multi_Family!E28</f>
        <v>22.854573000000002</v>
      </c>
      <c r="L8" s="84">
        <f>Multi_Family!E36</f>
        <v>13.600685</v>
      </c>
      <c r="M8" s="44"/>
      <c r="N8" s="106">
        <f t="shared" si="0"/>
        <v>90.37</v>
      </c>
      <c r="P8" s="49"/>
    </row>
    <row r="9" spans="1:16" ht="12.75">
      <c r="A9" s="46">
        <f t="shared" si="1"/>
        <v>44439</v>
      </c>
      <c r="B9" s="47" t="s">
        <v>47</v>
      </c>
      <c r="C9" s="84">
        <f>Multi_Family!F32</f>
        <v>1.7270880000000002</v>
      </c>
      <c r="D9" s="85">
        <f>Multi_Family!F34</f>
        <v>16.397523000000003</v>
      </c>
      <c r="E9" s="84">
        <f>Multi_Family!F35</f>
        <v>0</v>
      </c>
      <c r="F9" s="84">
        <f>Multi_Family!F30</f>
        <v>1.4915760000000002</v>
      </c>
      <c r="G9" s="84">
        <f>Multi_Family!F33</f>
        <v>0.206073</v>
      </c>
      <c r="H9" s="84">
        <f>Multi_Family!F37</f>
        <v>34.257183000000005</v>
      </c>
      <c r="I9" s="84">
        <f>Multi_Family!F31/2</f>
        <v>2.2324575</v>
      </c>
      <c r="J9" s="84">
        <f>Multi_Family!F31/2</f>
        <v>2.2324575</v>
      </c>
      <c r="K9" s="84">
        <f>Multi_Family!F28</f>
        <v>24.817077000000005</v>
      </c>
      <c r="L9" s="84">
        <f>Multi_Family!F36</f>
        <v>14.768565</v>
      </c>
      <c r="M9" s="44"/>
      <c r="N9" s="106">
        <f t="shared" si="0"/>
        <v>98.13000000000002</v>
      </c>
      <c r="P9" s="49"/>
    </row>
    <row r="10" spans="1:16" ht="12.75">
      <c r="A10" s="46">
        <f t="shared" si="1"/>
        <v>44469</v>
      </c>
      <c r="B10" s="47" t="s">
        <v>48</v>
      </c>
      <c r="C10" s="84">
        <f>Multi_Family!G32</f>
        <v>1.6412</v>
      </c>
      <c r="D10" s="85">
        <f>Multi_Family!G34</f>
        <v>15.582075</v>
      </c>
      <c r="E10" s="84">
        <f>Multi_Family!G35</f>
        <v>0</v>
      </c>
      <c r="F10" s="84">
        <f>Multi_Family!G30</f>
        <v>1.4174</v>
      </c>
      <c r="G10" s="84">
        <f>Multi_Family!G33</f>
        <v>0.195825</v>
      </c>
      <c r="H10" s="84">
        <f>Multi_Family!G37</f>
        <v>32.553575</v>
      </c>
      <c r="I10" s="84">
        <f>Multi_Family!G31/2</f>
        <v>2.1214375</v>
      </c>
      <c r="J10" s="84">
        <f>Multi_Family!G31/2</f>
        <v>2.1214375</v>
      </c>
      <c r="K10" s="84">
        <f>Multi_Family!G28</f>
        <v>23.582925000000003</v>
      </c>
      <c r="L10" s="84">
        <f>Multi_Family!G36</f>
        <v>14.034125</v>
      </c>
      <c r="M10" s="44"/>
      <c r="N10" s="106">
        <f t="shared" si="0"/>
        <v>93.25000000000001</v>
      </c>
      <c r="P10" s="49"/>
    </row>
    <row r="11" spans="1:16" ht="12.75">
      <c r="A11" s="46">
        <f t="shared" si="1"/>
        <v>44500</v>
      </c>
      <c r="B11" s="47" t="s">
        <v>49</v>
      </c>
      <c r="C11" s="84">
        <f>Multi_Family!H32</f>
        <v>1.557072</v>
      </c>
      <c r="D11" s="85">
        <f>Multi_Family!H34</f>
        <v>14.783337</v>
      </c>
      <c r="E11" s="84">
        <f>Multi_Family!H35</f>
        <v>0</v>
      </c>
      <c r="F11" s="84">
        <f>Multi_Family!H30</f>
        <v>1.344744</v>
      </c>
      <c r="G11" s="84">
        <f>Multi_Family!H33</f>
        <v>0.18578699999999998</v>
      </c>
      <c r="H11" s="84">
        <f>Multi_Family!H37</f>
        <v>30.884877000000003</v>
      </c>
      <c r="I11" s="84">
        <f>Multi_Family!H31/2</f>
        <v>2.0126925</v>
      </c>
      <c r="J11" s="84">
        <f>Multi_Family!H31/2</f>
        <v>2.0126925</v>
      </c>
      <c r="K11" s="84">
        <f>Multi_Family!H28</f>
        <v>22.374063</v>
      </c>
      <c r="L11" s="84">
        <f>Multi_Family!H36</f>
        <v>13.314734999999999</v>
      </c>
      <c r="M11" s="44"/>
      <c r="N11" s="106">
        <f t="shared" si="0"/>
        <v>88.47000000000001</v>
      </c>
      <c r="P11" s="49"/>
    </row>
    <row r="12" spans="1:16" ht="12.75">
      <c r="A12" s="46">
        <f t="shared" si="1"/>
        <v>44530</v>
      </c>
      <c r="B12" s="47" t="s">
        <v>50</v>
      </c>
      <c r="C12" s="84">
        <f>Multi_Family!I32</f>
        <v>1.7693280000000002</v>
      </c>
      <c r="D12" s="85">
        <f>Multi_Family!I34</f>
        <v>16.798563</v>
      </c>
      <c r="E12" s="84">
        <f>Multi_Family!I35</f>
        <v>0</v>
      </c>
      <c r="F12" s="84">
        <f>Multi_Family!I30</f>
        <v>1.528056</v>
      </c>
      <c r="G12" s="84">
        <f>Multi_Family!I33</f>
        <v>0.211113</v>
      </c>
      <c r="H12" s="84">
        <f>Multi_Family!I37</f>
        <v>35.095023000000005</v>
      </c>
      <c r="I12" s="84">
        <f>Multi_Family!I31/2</f>
        <v>2.2870575</v>
      </c>
      <c r="J12" s="84">
        <f>Multi_Family!I31/2</f>
        <v>2.2870575</v>
      </c>
      <c r="K12" s="84">
        <f>Multi_Family!I28</f>
        <v>25.424037000000002</v>
      </c>
      <c r="L12" s="84">
        <f>Multi_Family!I36</f>
        <v>15.129764999999999</v>
      </c>
      <c r="M12" s="44"/>
      <c r="N12" s="106">
        <f t="shared" si="0"/>
        <v>100.53</v>
      </c>
      <c r="P12" s="49"/>
    </row>
    <row r="13" spans="1:16" s="159" customFormat="1" ht="12.75">
      <c r="A13" s="105">
        <f t="shared" si="1"/>
        <v>44561</v>
      </c>
      <c r="B13" s="70" t="s">
        <v>51</v>
      </c>
      <c r="C13" s="156">
        <f>Multi_Family!J32</f>
        <v>1.4349280000000002</v>
      </c>
      <c r="D13" s="157">
        <f>Multi_Family!J34</f>
        <v>13.623663</v>
      </c>
      <c r="E13" s="156">
        <f>Multi_Family!J35</f>
        <v>0</v>
      </c>
      <c r="F13" s="156">
        <f>Multi_Family!J30</f>
        <v>1.239256</v>
      </c>
      <c r="G13" s="156">
        <f>Multi_Family!J33</f>
        <v>0.171213</v>
      </c>
      <c r="H13" s="156">
        <f>Multi_Family!J37</f>
        <v>28.462123000000002</v>
      </c>
      <c r="I13" s="156">
        <f>Multi_Family!J31/2</f>
        <v>1.8548075</v>
      </c>
      <c r="J13" s="156">
        <f>Multi_Family!J31/2</f>
        <v>1.8548075</v>
      </c>
      <c r="K13" s="156">
        <f>Multi_Family!J28</f>
        <v>20.618937000000003</v>
      </c>
      <c r="L13" s="156">
        <f>Multi_Family!J36</f>
        <v>12.270265</v>
      </c>
      <c r="M13" s="158"/>
      <c r="N13" s="150">
        <f t="shared" si="0"/>
        <v>81.53</v>
      </c>
      <c r="P13" s="160"/>
    </row>
    <row r="14" spans="1:16" ht="12.75">
      <c r="A14" s="46">
        <f t="shared" si="1"/>
        <v>44592</v>
      </c>
      <c r="B14" s="47" t="s">
        <v>52</v>
      </c>
      <c r="C14" s="84">
        <f>Multi_Family!K32</f>
        <v>1.9699260000000003</v>
      </c>
      <c r="D14" s="85">
        <f>Multi_Family!K34</f>
        <v>19.643925000000003</v>
      </c>
      <c r="E14" s="84">
        <f>Multi_Family!K35</f>
        <v>0</v>
      </c>
      <c r="F14" s="84">
        <f>Multi_Family!K30</f>
        <v>1.6268490000000002</v>
      </c>
      <c r="G14" s="84">
        <f>Multi_Family!K33</f>
        <v>0.21027300000000004</v>
      </c>
      <c r="H14" s="84">
        <f>Multi_Family!K37</f>
        <v>36.63177000000001</v>
      </c>
      <c r="I14" s="84">
        <f>Multi_Family!K31/2</f>
        <v>2.7224820000000003</v>
      </c>
      <c r="J14" s="84">
        <f>Multi_Family!K31/2</f>
        <v>2.7224820000000003</v>
      </c>
      <c r="K14" s="84">
        <f>Multi_Family!K28</f>
        <v>28.884870000000006</v>
      </c>
      <c r="L14" s="84">
        <f>Multi_Family!K36</f>
        <v>16.257423000000003</v>
      </c>
      <c r="M14" s="44"/>
      <c r="N14" s="106">
        <f t="shared" si="0"/>
        <v>110.67000000000003</v>
      </c>
      <c r="P14" s="49"/>
    </row>
    <row r="15" spans="1:16" ht="12.75">
      <c r="A15" s="46">
        <f t="shared" si="1"/>
        <v>44620</v>
      </c>
      <c r="B15" s="47" t="s">
        <v>53</v>
      </c>
      <c r="C15" s="84">
        <f>Multi_Family!L32</f>
        <v>1.47651</v>
      </c>
      <c r="D15" s="85">
        <f>Multi_Family!L34</f>
        <v>14.723625</v>
      </c>
      <c r="E15" s="84">
        <f>Multi_Family!L35</f>
        <v>0</v>
      </c>
      <c r="F15" s="84">
        <f>Multi_Family!L30</f>
        <v>1.219365</v>
      </c>
      <c r="G15" s="84">
        <f>Multi_Family!L33</f>
        <v>0.157605</v>
      </c>
      <c r="H15" s="84">
        <f>Multi_Family!L37</f>
        <v>27.456450000000004</v>
      </c>
      <c r="I15" s="84">
        <f>Multi_Family!L31/2</f>
        <v>2.04057</v>
      </c>
      <c r="J15" s="84">
        <f>Multi_Family!L31/2</f>
        <v>2.04057</v>
      </c>
      <c r="K15" s="84">
        <f>Multi_Family!L28</f>
        <v>21.64995</v>
      </c>
      <c r="L15" s="84">
        <f>Multi_Family!L36</f>
        <v>12.185355000000001</v>
      </c>
      <c r="M15" s="44"/>
      <c r="N15" s="106">
        <f t="shared" si="0"/>
        <v>82.95000000000002</v>
      </c>
      <c r="P15" s="49"/>
    </row>
    <row r="16" spans="1:16" ht="12.75">
      <c r="A16" s="46">
        <f t="shared" si="1"/>
        <v>44651</v>
      </c>
      <c r="B16" s="47" t="s">
        <v>54</v>
      </c>
      <c r="C16" s="84">
        <f>Multi_Family!M32</f>
        <v>1.677116</v>
      </c>
      <c r="D16" s="85">
        <f>Multi_Family!M34</f>
        <v>16.72405</v>
      </c>
      <c r="E16" s="84">
        <f>Multi_Family!M35</f>
        <v>0</v>
      </c>
      <c r="F16" s="84">
        <f>Multi_Family!M30</f>
        <v>1.3850339999999999</v>
      </c>
      <c r="G16" s="84">
        <f>Multi_Family!M33</f>
        <v>0.179018</v>
      </c>
      <c r="H16" s="84">
        <f>Multi_Family!M37</f>
        <v>31.18682</v>
      </c>
      <c r="I16" s="84">
        <f>Multi_Family!M31/2</f>
        <v>2.317812</v>
      </c>
      <c r="J16" s="84">
        <f>Multi_Family!M31/2</f>
        <v>2.317812</v>
      </c>
      <c r="K16" s="84">
        <f>Multi_Family!M28</f>
        <v>24.59142</v>
      </c>
      <c r="L16" s="84">
        <f>Multi_Family!M36</f>
        <v>13.840918</v>
      </c>
      <c r="M16" s="44"/>
      <c r="N16" s="106">
        <f t="shared" si="0"/>
        <v>94.22000000000001</v>
      </c>
      <c r="P16" s="49"/>
    </row>
    <row r="17" spans="1:16" ht="12.75">
      <c r="A17" s="46">
        <f t="shared" si="1"/>
        <v>44681</v>
      </c>
      <c r="B17" s="47" t="s">
        <v>55</v>
      </c>
      <c r="C17" s="84">
        <f>Multi_Family!N32</f>
        <v>1.559992</v>
      </c>
      <c r="D17" s="85">
        <f>Multi_Family!N34</f>
        <v>15.556099999999999</v>
      </c>
      <c r="E17" s="84">
        <f>Multi_Family!N35</f>
        <v>0</v>
      </c>
      <c r="F17" s="84">
        <f>Multi_Family!N30</f>
        <v>1.288308</v>
      </c>
      <c r="G17" s="84">
        <f>Multi_Family!N33</f>
        <v>0.166516</v>
      </c>
      <c r="H17" s="84">
        <f>Multi_Family!N37</f>
        <v>29.008840000000003</v>
      </c>
      <c r="I17" s="84">
        <f>Multi_Family!N31/2</f>
        <v>2.155944</v>
      </c>
      <c r="J17" s="84">
        <f>Multi_Family!N31/2</f>
        <v>2.155944</v>
      </c>
      <c r="K17" s="84">
        <f>Multi_Family!N28</f>
        <v>22.87404</v>
      </c>
      <c r="L17" s="84">
        <f>Multi_Family!N36</f>
        <v>12.874316</v>
      </c>
      <c r="M17" s="44"/>
      <c r="N17" s="106">
        <f t="shared" si="0"/>
        <v>87.63999999999999</v>
      </c>
      <c r="P17" s="49"/>
    </row>
    <row r="18" spans="1:15" ht="12.75">
      <c r="A18" s="50" t="s">
        <v>24</v>
      </c>
      <c r="B18" s="47"/>
      <c r="C18" s="118">
        <f aca="true" t="shared" si="2" ref="C18:L18">SUM(C6:C17)</f>
        <v>19.622759000000006</v>
      </c>
      <c r="D18" s="118">
        <f t="shared" si="2"/>
        <v>183.422448</v>
      </c>
      <c r="E18" s="118">
        <f t="shared" si="2"/>
        <v>0</v>
      </c>
      <c r="F18" s="118">
        <f t="shared" si="2"/>
        <v>16.698820999999995</v>
      </c>
      <c r="G18" s="118">
        <f t="shared" si="2"/>
        <v>2.287929</v>
      </c>
      <c r="H18" s="118">
        <f t="shared" si="2"/>
        <v>380.85434900000007</v>
      </c>
      <c r="I18" s="118">
        <f t="shared" si="2"/>
        <v>25.336248999999995</v>
      </c>
      <c r="J18" s="118">
        <f t="shared" si="2"/>
        <v>25.336248999999995</v>
      </c>
      <c r="K18" s="118">
        <f t="shared" si="2"/>
        <v>286.11618899999996</v>
      </c>
      <c r="L18" s="118">
        <f t="shared" si="2"/>
        <v>185.575007</v>
      </c>
      <c r="M18" s="44"/>
      <c r="N18" s="119">
        <f>SUM(N6:N17)</f>
        <v>1125.25</v>
      </c>
      <c r="O18" s="48"/>
    </row>
    <row r="19" spans="1:14" ht="12.7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4"/>
      <c r="N19" s="48"/>
    </row>
    <row r="20" spans="1:14" ht="12.75">
      <c r="A20" s="3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4"/>
      <c r="N20" s="48"/>
    </row>
    <row r="21" spans="1:14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4"/>
      <c r="N21" s="48"/>
    </row>
    <row r="22" spans="1:14" ht="12.7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4"/>
      <c r="N22" s="48"/>
    </row>
    <row r="23" spans="1:14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4"/>
      <c r="N23" s="48"/>
    </row>
    <row r="24" spans="1:14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4"/>
      <c r="N24" s="48"/>
    </row>
    <row r="25" spans="1:14" ht="12.75">
      <c r="A25" s="47"/>
      <c r="B25" s="47"/>
      <c r="C25" s="47"/>
      <c r="E25" s="47"/>
      <c r="F25" s="47"/>
      <c r="G25" s="47"/>
      <c r="H25" s="47"/>
      <c r="I25" s="47"/>
      <c r="J25" s="47"/>
      <c r="K25" s="47"/>
      <c r="L25" s="47"/>
      <c r="M25" s="44"/>
      <c r="N25" s="48"/>
    </row>
    <row r="26" spans="1:14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4"/>
      <c r="N26" s="48"/>
    </row>
    <row r="27" spans="1:14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4"/>
      <c r="N27" s="48"/>
    </row>
    <row r="28" spans="1:14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4"/>
      <c r="N28" s="47"/>
    </row>
    <row r="29" spans="1:14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4"/>
      <c r="N29" s="47"/>
    </row>
    <row r="30" spans="1:14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4"/>
      <c r="N30" s="47"/>
    </row>
    <row r="31" spans="1:14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4"/>
      <c r="N31" s="47"/>
    </row>
    <row r="32" spans="1:14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4"/>
      <c r="N32" s="47"/>
    </row>
    <row r="33" spans="1:14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4"/>
      <c r="N33" s="47"/>
    </row>
    <row r="34" spans="1:14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4"/>
      <c r="N34" s="47"/>
    </row>
    <row r="35" spans="1:14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4"/>
      <c r="N35" s="47"/>
    </row>
    <row r="36" spans="1:14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4"/>
      <c r="N36" s="47"/>
    </row>
    <row r="37" spans="1:14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4"/>
      <c r="N37" s="47"/>
    </row>
    <row r="38" spans="1:14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4"/>
      <c r="N38" s="47"/>
    </row>
    <row r="39" spans="1:14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1:14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1:14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4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4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4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14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</sheetData>
  <sheetProtection/>
  <printOptions/>
  <pageMargins left="0.5" right="0.5" top="0.75" bottom="0.7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showGridLines="0" zoomScalePageLayoutView="0" workbookViewId="0" topLeftCell="A1">
      <pane xSplit="2" ySplit="6" topLeftCell="C7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A1" sqref="A1"/>
    </sheetView>
  </sheetViews>
  <sheetFormatPr defaultColWidth="9.140625" defaultRowHeight="12.75"/>
  <cols>
    <col min="1" max="1" width="6.00390625" style="47" customWidth="1"/>
    <col min="2" max="2" width="17.8515625" style="47" customWidth="1"/>
    <col min="3" max="4" width="9.8515625" style="47" customWidth="1"/>
    <col min="5" max="5" width="11.28125" style="47" customWidth="1"/>
    <col min="6" max="7" width="9.57421875" style="47" customWidth="1"/>
    <col min="8" max="8" width="9.8515625" style="47" customWidth="1"/>
    <col min="9" max="9" width="10.421875" style="47" customWidth="1"/>
    <col min="10" max="10" width="10.7109375" style="47" customWidth="1"/>
    <col min="11" max="11" width="9.140625" style="47" customWidth="1"/>
    <col min="12" max="12" width="9.140625" style="70" customWidth="1"/>
    <col min="13" max="14" width="9.140625" style="47" customWidth="1"/>
    <col min="15" max="15" width="10.7109375" style="47" bestFit="1" customWidth="1"/>
    <col min="16" max="16384" width="9.140625" style="47" customWidth="1"/>
  </cols>
  <sheetData>
    <row r="1" ht="11.25"/>
    <row r="2" spans="2:3" ht="11.25">
      <c r="B2" s="61" t="str">
        <f>+'WUTC_AW of Lynnwood_MF'!A1</f>
        <v>Rabanco Ltd (dba Allied Waste of Lynnwood)</v>
      </c>
      <c r="C2" s="62"/>
    </row>
    <row r="3" ht="11.25">
      <c r="C3" s="62"/>
    </row>
    <row r="4" spans="3:10" ht="11.25">
      <c r="C4" s="63"/>
      <c r="D4" s="63"/>
      <c r="E4" s="63"/>
      <c r="F4" s="63"/>
      <c r="G4" s="63"/>
      <c r="H4" s="64"/>
      <c r="I4" s="64"/>
      <c r="J4" s="61"/>
    </row>
    <row r="5" spans="3:10" ht="11.25">
      <c r="C5" s="63"/>
      <c r="D5" s="63"/>
      <c r="E5" s="63"/>
      <c r="F5" s="63"/>
      <c r="G5" s="63"/>
      <c r="H5" s="64"/>
      <c r="I5" s="64"/>
      <c r="J5" s="63"/>
    </row>
    <row r="6" spans="3:14" ht="9.75" customHeight="1">
      <c r="C6" s="166">
        <v>44317</v>
      </c>
      <c r="D6" s="65">
        <f aca="true" t="shared" si="0" ref="D6:N6">EOMONTH(C6,1)</f>
        <v>44377</v>
      </c>
      <c r="E6" s="65">
        <f t="shared" si="0"/>
        <v>44408</v>
      </c>
      <c r="F6" s="65">
        <f t="shared" si="0"/>
        <v>44439</v>
      </c>
      <c r="G6" s="65">
        <f t="shared" si="0"/>
        <v>44469</v>
      </c>
      <c r="H6" s="65">
        <f t="shared" si="0"/>
        <v>44500</v>
      </c>
      <c r="I6" s="65">
        <f t="shared" si="0"/>
        <v>44530</v>
      </c>
      <c r="J6" s="65">
        <f t="shared" si="0"/>
        <v>44561</v>
      </c>
      <c r="K6" s="65">
        <f t="shared" si="0"/>
        <v>44592</v>
      </c>
      <c r="L6" s="65">
        <f t="shared" si="0"/>
        <v>44620</v>
      </c>
      <c r="M6" s="65">
        <f t="shared" si="0"/>
        <v>44651</v>
      </c>
      <c r="N6" s="65">
        <f t="shared" si="0"/>
        <v>44681</v>
      </c>
    </row>
    <row r="7" spans="1:14" s="48" customFormat="1" ht="11.25">
      <c r="A7" s="66" t="s">
        <v>25</v>
      </c>
      <c r="C7" s="102">
        <v>89.56</v>
      </c>
      <c r="D7" s="142">
        <v>107.92999999999999</v>
      </c>
      <c r="E7" s="102">
        <v>90.37</v>
      </c>
      <c r="F7" s="102">
        <v>98.13000000000001</v>
      </c>
      <c r="G7" s="102">
        <v>93.25</v>
      </c>
      <c r="H7" s="102">
        <v>88.47</v>
      </c>
      <c r="I7" s="102">
        <v>100.53</v>
      </c>
      <c r="J7" s="102">
        <v>81.53</v>
      </c>
      <c r="K7" s="102">
        <v>110.67000000000002</v>
      </c>
      <c r="L7" s="102">
        <v>82.95</v>
      </c>
      <c r="M7" s="102">
        <v>94.22</v>
      </c>
      <c r="N7" s="102">
        <v>87.64</v>
      </c>
    </row>
    <row r="8" spans="1:14" ht="11.25">
      <c r="A8" s="47" t="s">
        <v>26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</row>
    <row r="9" spans="1:14" ht="11.25">
      <c r="A9" s="47" t="s">
        <v>27</v>
      </c>
      <c r="C9" s="68">
        <f aca="true" t="shared" si="1" ref="C9:N9">+C7*C8</f>
        <v>0</v>
      </c>
      <c r="D9" s="68">
        <f t="shared" si="1"/>
        <v>0</v>
      </c>
      <c r="E9" s="68">
        <f t="shared" si="1"/>
        <v>0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144">
        <f t="shared" si="1"/>
        <v>0</v>
      </c>
      <c r="M9" s="68">
        <f t="shared" si="1"/>
        <v>0</v>
      </c>
      <c r="N9" s="68">
        <f t="shared" si="1"/>
        <v>0</v>
      </c>
    </row>
    <row r="10" spans="1:14" ht="11.25">
      <c r="A10" s="61" t="s">
        <v>28</v>
      </c>
      <c r="C10" s="69">
        <f aca="true" t="shared" si="2" ref="C10:N10">+C7-C9</f>
        <v>89.56</v>
      </c>
      <c r="D10" s="69">
        <f t="shared" si="2"/>
        <v>107.92999999999999</v>
      </c>
      <c r="E10" s="69">
        <f t="shared" si="2"/>
        <v>90.37</v>
      </c>
      <c r="F10" s="69">
        <f t="shared" si="2"/>
        <v>98.13000000000001</v>
      </c>
      <c r="G10" s="69">
        <f t="shared" si="2"/>
        <v>93.25</v>
      </c>
      <c r="H10" s="69">
        <f t="shared" si="2"/>
        <v>88.47</v>
      </c>
      <c r="I10" s="69">
        <f t="shared" si="2"/>
        <v>100.53</v>
      </c>
      <c r="J10" s="69">
        <f t="shared" si="2"/>
        <v>81.53</v>
      </c>
      <c r="K10" s="69">
        <f t="shared" si="2"/>
        <v>110.67000000000002</v>
      </c>
      <c r="L10" s="145">
        <f t="shared" si="2"/>
        <v>82.95</v>
      </c>
      <c r="M10" s="69">
        <f t="shared" si="2"/>
        <v>94.22</v>
      </c>
      <c r="N10" s="69">
        <f t="shared" si="2"/>
        <v>87.64</v>
      </c>
    </row>
    <row r="11" ht="11.25"/>
    <row r="12" ht="11.25">
      <c r="A12" s="61" t="s">
        <v>29</v>
      </c>
    </row>
    <row r="13" spans="2:14" s="70" customFormat="1" ht="11.25">
      <c r="B13" s="70" t="s">
        <v>16</v>
      </c>
      <c r="C13" s="103">
        <v>0</v>
      </c>
      <c r="D13" s="103">
        <f>+C13</f>
        <v>0</v>
      </c>
      <c r="E13" s="103">
        <v>0</v>
      </c>
      <c r="F13" s="103">
        <f aca="true" t="shared" si="3" ref="F13:M13">+E13</f>
        <v>0</v>
      </c>
      <c r="G13" s="103">
        <f t="shared" si="3"/>
        <v>0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v>0</v>
      </c>
      <c r="L13" s="103">
        <f t="shared" si="3"/>
        <v>0</v>
      </c>
      <c r="M13" s="103">
        <f t="shared" si="3"/>
        <v>0</v>
      </c>
      <c r="N13" s="103">
        <v>0</v>
      </c>
    </row>
    <row r="14" spans="2:14" s="70" customFormat="1" ht="11.25">
      <c r="B14" s="70" t="s">
        <v>20</v>
      </c>
      <c r="C14" s="103">
        <v>0.2453</v>
      </c>
      <c r="D14" s="103">
        <f aca="true" t="shared" si="4" ref="D14:N23">+C14</f>
        <v>0.2453</v>
      </c>
      <c r="E14" s="103">
        <v>0.2529</v>
      </c>
      <c r="F14" s="103">
        <f t="shared" si="4"/>
        <v>0.2529</v>
      </c>
      <c r="G14" s="103">
        <f t="shared" si="4"/>
        <v>0.2529</v>
      </c>
      <c r="H14" s="103">
        <f t="shared" si="4"/>
        <v>0.2529</v>
      </c>
      <c r="I14" s="103">
        <f t="shared" si="4"/>
        <v>0.2529</v>
      </c>
      <c r="J14" s="103">
        <f t="shared" si="4"/>
        <v>0.2529</v>
      </c>
      <c r="K14" s="103">
        <v>0.261</v>
      </c>
      <c r="L14" s="103">
        <f t="shared" si="4"/>
        <v>0.261</v>
      </c>
      <c r="M14" s="103">
        <f t="shared" si="4"/>
        <v>0.261</v>
      </c>
      <c r="N14" s="103">
        <f t="shared" si="4"/>
        <v>0.261</v>
      </c>
    </row>
    <row r="15" spans="2:14" s="70" customFormat="1" ht="11.25">
      <c r="B15" s="70" t="s">
        <v>30</v>
      </c>
      <c r="C15" s="103">
        <v>0</v>
      </c>
      <c r="D15" s="103">
        <f t="shared" si="4"/>
        <v>0</v>
      </c>
      <c r="E15" s="103">
        <v>0</v>
      </c>
      <c r="F15" s="103">
        <f t="shared" si="4"/>
        <v>0</v>
      </c>
      <c r="G15" s="103">
        <f t="shared" si="4"/>
        <v>0</v>
      </c>
      <c r="H15" s="103">
        <f t="shared" si="4"/>
        <v>0</v>
      </c>
      <c r="I15" s="103">
        <f t="shared" si="4"/>
        <v>0</v>
      </c>
      <c r="J15" s="103">
        <f t="shared" si="4"/>
        <v>0</v>
      </c>
      <c r="K15" s="103">
        <v>0</v>
      </c>
      <c r="L15" s="103">
        <f t="shared" si="4"/>
        <v>0</v>
      </c>
      <c r="M15" s="103">
        <f t="shared" si="4"/>
        <v>0</v>
      </c>
      <c r="N15" s="103">
        <f t="shared" si="4"/>
        <v>0</v>
      </c>
    </row>
    <row r="16" spans="2:14" s="70" customFormat="1" ht="11.25">
      <c r="B16" s="70" t="s">
        <v>31</v>
      </c>
      <c r="C16" s="103">
        <v>0.0141</v>
      </c>
      <c r="D16" s="103">
        <f t="shared" si="4"/>
        <v>0.0141</v>
      </c>
      <c r="E16" s="103">
        <v>0.0152</v>
      </c>
      <c r="F16" s="103">
        <f t="shared" si="4"/>
        <v>0.0152</v>
      </c>
      <c r="G16" s="103">
        <f t="shared" si="4"/>
        <v>0.0152</v>
      </c>
      <c r="H16" s="103">
        <f t="shared" si="4"/>
        <v>0.0152</v>
      </c>
      <c r="I16" s="103">
        <f t="shared" si="4"/>
        <v>0.0152</v>
      </c>
      <c r="J16" s="103">
        <f t="shared" si="4"/>
        <v>0.0152</v>
      </c>
      <c r="K16" s="103">
        <v>0.0147</v>
      </c>
      <c r="L16" s="103">
        <f t="shared" si="4"/>
        <v>0.0147</v>
      </c>
      <c r="M16" s="103">
        <f t="shared" si="4"/>
        <v>0.0147</v>
      </c>
      <c r="N16" s="103">
        <f t="shared" si="4"/>
        <v>0.0147</v>
      </c>
    </row>
    <row r="17" spans="2:14" s="70" customFormat="1" ht="11.25">
      <c r="B17" s="70" t="s">
        <v>32</v>
      </c>
      <c r="C17" s="103">
        <v>0.0358</v>
      </c>
      <c r="D17" s="103">
        <f t="shared" si="4"/>
        <v>0.0358</v>
      </c>
      <c r="E17" s="103">
        <v>0.0455</v>
      </c>
      <c r="F17" s="103">
        <f t="shared" si="4"/>
        <v>0.0455</v>
      </c>
      <c r="G17" s="103">
        <f t="shared" si="4"/>
        <v>0.0455</v>
      </c>
      <c r="H17" s="103">
        <f t="shared" si="4"/>
        <v>0.0455</v>
      </c>
      <c r="I17" s="103">
        <f t="shared" si="4"/>
        <v>0.0455</v>
      </c>
      <c r="J17" s="103">
        <f t="shared" si="4"/>
        <v>0.0455</v>
      </c>
      <c r="K17" s="103">
        <v>0.0492</v>
      </c>
      <c r="L17" s="103">
        <f t="shared" si="4"/>
        <v>0.0492</v>
      </c>
      <c r="M17" s="103">
        <f t="shared" si="4"/>
        <v>0.0492</v>
      </c>
      <c r="N17" s="103">
        <f t="shared" si="4"/>
        <v>0.0492</v>
      </c>
    </row>
    <row r="18" spans="2:14" s="70" customFormat="1" ht="11.25">
      <c r="B18" s="70" t="s">
        <v>33</v>
      </c>
      <c r="C18" s="103">
        <v>0.0163</v>
      </c>
      <c r="D18" s="103">
        <f t="shared" si="4"/>
        <v>0.0163</v>
      </c>
      <c r="E18" s="103">
        <v>0.0176</v>
      </c>
      <c r="F18" s="103">
        <f t="shared" si="4"/>
        <v>0.0176</v>
      </c>
      <c r="G18" s="103">
        <f t="shared" si="4"/>
        <v>0.0176</v>
      </c>
      <c r="H18" s="103">
        <f t="shared" si="4"/>
        <v>0.0176</v>
      </c>
      <c r="I18" s="103">
        <f t="shared" si="4"/>
        <v>0.0176</v>
      </c>
      <c r="J18" s="103">
        <f t="shared" si="4"/>
        <v>0.0176</v>
      </c>
      <c r="K18" s="103">
        <v>0.0178</v>
      </c>
      <c r="L18" s="103">
        <f t="shared" si="4"/>
        <v>0.0178</v>
      </c>
      <c r="M18" s="103">
        <f t="shared" si="4"/>
        <v>0.0178</v>
      </c>
      <c r="N18" s="103">
        <f t="shared" si="4"/>
        <v>0.0178</v>
      </c>
    </row>
    <row r="19" spans="2:14" s="70" customFormat="1" ht="11.25">
      <c r="B19" s="47" t="s">
        <v>34</v>
      </c>
      <c r="C19" s="103">
        <v>0.0021</v>
      </c>
      <c r="D19" s="103">
        <f t="shared" si="4"/>
        <v>0.0021</v>
      </c>
      <c r="E19" s="103">
        <v>0.0021</v>
      </c>
      <c r="F19" s="103">
        <f t="shared" si="4"/>
        <v>0.0021</v>
      </c>
      <c r="G19" s="103">
        <f t="shared" si="4"/>
        <v>0.0021</v>
      </c>
      <c r="H19" s="103">
        <f t="shared" si="4"/>
        <v>0.0021</v>
      </c>
      <c r="I19" s="103">
        <f t="shared" si="4"/>
        <v>0.0021</v>
      </c>
      <c r="J19" s="103">
        <f t="shared" si="4"/>
        <v>0.0021</v>
      </c>
      <c r="K19" s="103">
        <v>0.0019</v>
      </c>
      <c r="L19" s="103">
        <f t="shared" si="4"/>
        <v>0.0019</v>
      </c>
      <c r="M19" s="103">
        <f t="shared" si="4"/>
        <v>0.0019</v>
      </c>
      <c r="N19" s="103">
        <f t="shared" si="4"/>
        <v>0.0019</v>
      </c>
    </row>
    <row r="20" spans="2:14" s="70" customFormat="1" ht="11.25">
      <c r="B20" s="47" t="s">
        <v>15</v>
      </c>
      <c r="C20" s="103">
        <v>0.124</v>
      </c>
      <c r="D20" s="103">
        <f t="shared" si="4"/>
        <v>0.124</v>
      </c>
      <c r="E20" s="103">
        <v>0.1671</v>
      </c>
      <c r="F20" s="103">
        <f t="shared" si="4"/>
        <v>0.1671</v>
      </c>
      <c r="G20" s="103">
        <f t="shared" si="4"/>
        <v>0.1671</v>
      </c>
      <c r="H20" s="103">
        <f t="shared" si="4"/>
        <v>0.1671</v>
      </c>
      <c r="I20" s="103">
        <f t="shared" si="4"/>
        <v>0.1671</v>
      </c>
      <c r="J20" s="103">
        <f t="shared" si="4"/>
        <v>0.1671</v>
      </c>
      <c r="K20" s="103">
        <v>0.1775</v>
      </c>
      <c r="L20" s="103">
        <f t="shared" si="4"/>
        <v>0.1775</v>
      </c>
      <c r="M20" s="103">
        <f t="shared" si="4"/>
        <v>0.1775</v>
      </c>
      <c r="N20" s="103">
        <f t="shared" si="4"/>
        <v>0.1775</v>
      </c>
    </row>
    <row r="21" spans="2:14" s="70" customFormat="1" ht="11.25">
      <c r="B21" s="70" t="s">
        <v>77</v>
      </c>
      <c r="C21" s="103">
        <v>0</v>
      </c>
      <c r="D21" s="103">
        <f t="shared" si="4"/>
        <v>0</v>
      </c>
      <c r="E21" s="103">
        <v>0</v>
      </c>
      <c r="F21" s="103">
        <f t="shared" si="4"/>
        <v>0</v>
      </c>
      <c r="G21" s="103">
        <f t="shared" si="4"/>
        <v>0</v>
      </c>
      <c r="H21" s="103">
        <f t="shared" si="4"/>
        <v>0</v>
      </c>
      <c r="I21" s="103">
        <f t="shared" si="4"/>
        <v>0</v>
      </c>
      <c r="J21" s="103">
        <f t="shared" si="4"/>
        <v>0</v>
      </c>
      <c r="K21" s="103">
        <v>0</v>
      </c>
      <c r="L21" s="103">
        <f t="shared" si="4"/>
        <v>0</v>
      </c>
      <c r="M21" s="103">
        <f t="shared" si="4"/>
        <v>0</v>
      </c>
      <c r="N21" s="103">
        <f t="shared" si="4"/>
        <v>0</v>
      </c>
    </row>
    <row r="22" spans="2:14" s="70" customFormat="1" ht="11.25">
      <c r="B22" s="70" t="s">
        <v>35</v>
      </c>
      <c r="C22" s="103">
        <v>0.2395</v>
      </c>
      <c r="D22" s="103">
        <f t="shared" si="4"/>
        <v>0.2395</v>
      </c>
      <c r="E22" s="103">
        <v>0.1505</v>
      </c>
      <c r="F22" s="103">
        <f t="shared" si="4"/>
        <v>0.1505</v>
      </c>
      <c r="G22" s="103">
        <f t="shared" si="4"/>
        <v>0.1505</v>
      </c>
      <c r="H22" s="103">
        <f t="shared" si="4"/>
        <v>0.1505</v>
      </c>
      <c r="I22" s="103">
        <f t="shared" si="4"/>
        <v>0.1505</v>
      </c>
      <c r="J22" s="103">
        <f t="shared" si="4"/>
        <v>0.1505</v>
      </c>
      <c r="K22" s="103">
        <v>0.1469</v>
      </c>
      <c r="L22" s="103">
        <f t="shared" si="4"/>
        <v>0.1469</v>
      </c>
      <c r="M22" s="103">
        <f t="shared" si="4"/>
        <v>0.1469</v>
      </c>
      <c r="N22" s="103">
        <f t="shared" si="4"/>
        <v>0.1469</v>
      </c>
    </row>
    <row r="23" spans="2:14" s="70" customFormat="1" ht="11.25">
      <c r="B23" s="70" t="s">
        <v>36</v>
      </c>
      <c r="C23" s="104">
        <v>0.3229</v>
      </c>
      <c r="D23" s="103">
        <f t="shared" si="4"/>
        <v>0.3229</v>
      </c>
      <c r="E23" s="103">
        <v>0.3491</v>
      </c>
      <c r="F23" s="103">
        <f t="shared" si="4"/>
        <v>0.3491</v>
      </c>
      <c r="G23" s="103">
        <f t="shared" si="4"/>
        <v>0.3491</v>
      </c>
      <c r="H23" s="103">
        <f t="shared" si="4"/>
        <v>0.3491</v>
      </c>
      <c r="I23" s="103">
        <f t="shared" si="4"/>
        <v>0.3491</v>
      </c>
      <c r="J23" s="103">
        <f t="shared" si="4"/>
        <v>0.3491</v>
      </c>
      <c r="K23" s="103">
        <v>0.331</v>
      </c>
      <c r="L23" s="103">
        <f t="shared" si="4"/>
        <v>0.331</v>
      </c>
      <c r="M23" s="103">
        <f t="shared" si="4"/>
        <v>0.331</v>
      </c>
      <c r="N23" s="103">
        <f t="shared" si="4"/>
        <v>0.331</v>
      </c>
    </row>
    <row r="24" spans="3:14" ht="11.25">
      <c r="C24" s="71">
        <v>1</v>
      </c>
      <c r="D24" s="71">
        <v>1</v>
      </c>
      <c r="E24" s="71">
        <v>1</v>
      </c>
      <c r="F24" s="71">
        <v>1</v>
      </c>
      <c r="G24" s="71">
        <v>1</v>
      </c>
      <c r="H24" s="71">
        <v>1</v>
      </c>
      <c r="I24" s="71">
        <v>1</v>
      </c>
      <c r="J24" s="71">
        <v>1</v>
      </c>
      <c r="K24" s="71">
        <v>1</v>
      </c>
      <c r="L24" s="146">
        <v>1</v>
      </c>
      <c r="M24" s="71">
        <v>1</v>
      </c>
      <c r="N24" s="71">
        <v>1</v>
      </c>
    </row>
    <row r="26" ht="11.25">
      <c r="A26" s="61" t="s">
        <v>37</v>
      </c>
    </row>
    <row r="27" spans="2:14" ht="11.25">
      <c r="B27" s="47" t="s">
        <v>16</v>
      </c>
      <c r="C27" s="57">
        <f aca="true" t="shared" si="5" ref="C27:C37">+C$10*C13</f>
        <v>0</v>
      </c>
      <c r="D27" s="57">
        <f aca="true" t="shared" si="6" ref="D27:N27">+D$10*D13</f>
        <v>0</v>
      </c>
      <c r="E27" s="57">
        <f t="shared" si="6"/>
        <v>0</v>
      </c>
      <c r="F27" s="57">
        <f t="shared" si="6"/>
        <v>0</v>
      </c>
      <c r="G27" s="57">
        <f t="shared" si="6"/>
        <v>0</v>
      </c>
      <c r="H27" s="57">
        <f t="shared" si="6"/>
        <v>0</v>
      </c>
      <c r="I27" s="57">
        <f t="shared" si="6"/>
        <v>0</v>
      </c>
      <c r="J27" s="57">
        <f t="shared" si="6"/>
        <v>0</v>
      </c>
      <c r="K27" s="57">
        <f t="shared" si="6"/>
        <v>0</v>
      </c>
      <c r="L27" s="147">
        <f t="shared" si="6"/>
        <v>0</v>
      </c>
      <c r="M27" s="57">
        <f t="shared" si="6"/>
        <v>0</v>
      </c>
      <c r="N27" s="57">
        <f t="shared" si="6"/>
        <v>0</v>
      </c>
    </row>
    <row r="28" spans="2:14" ht="11.25">
      <c r="B28" s="47" t="s">
        <v>20</v>
      </c>
      <c r="C28" s="57">
        <f t="shared" si="5"/>
        <v>21.969068</v>
      </c>
      <c r="D28" s="57">
        <f aca="true" t="shared" si="7" ref="D28:N28">+D$10*D14</f>
        <v>26.475229</v>
      </c>
      <c r="E28" s="57">
        <f t="shared" si="7"/>
        <v>22.854573000000002</v>
      </c>
      <c r="F28" s="57">
        <f t="shared" si="7"/>
        <v>24.817077000000005</v>
      </c>
      <c r="G28" s="57">
        <f t="shared" si="7"/>
        <v>23.582925000000003</v>
      </c>
      <c r="H28" s="57">
        <f t="shared" si="7"/>
        <v>22.374063</v>
      </c>
      <c r="I28" s="57">
        <f t="shared" si="7"/>
        <v>25.424037000000002</v>
      </c>
      <c r="J28" s="57">
        <f t="shared" si="7"/>
        <v>20.618937000000003</v>
      </c>
      <c r="K28" s="57">
        <f t="shared" si="7"/>
        <v>28.884870000000006</v>
      </c>
      <c r="L28" s="147">
        <f t="shared" si="7"/>
        <v>21.64995</v>
      </c>
      <c r="M28" s="57">
        <f t="shared" si="7"/>
        <v>24.59142</v>
      </c>
      <c r="N28" s="57">
        <f t="shared" si="7"/>
        <v>22.87404</v>
      </c>
    </row>
    <row r="29" spans="2:14" ht="11.25">
      <c r="B29" s="47" t="s">
        <v>30</v>
      </c>
      <c r="C29" s="57">
        <f t="shared" si="5"/>
        <v>0</v>
      </c>
      <c r="D29" s="57">
        <f aca="true" t="shared" si="8" ref="D29:N29">+D$10*D15</f>
        <v>0</v>
      </c>
      <c r="E29" s="57">
        <f t="shared" si="8"/>
        <v>0</v>
      </c>
      <c r="F29" s="57">
        <f t="shared" si="8"/>
        <v>0</v>
      </c>
      <c r="G29" s="57">
        <f t="shared" si="8"/>
        <v>0</v>
      </c>
      <c r="H29" s="57">
        <f t="shared" si="8"/>
        <v>0</v>
      </c>
      <c r="I29" s="57">
        <f t="shared" si="8"/>
        <v>0</v>
      </c>
      <c r="J29" s="57">
        <f t="shared" si="8"/>
        <v>0</v>
      </c>
      <c r="K29" s="57">
        <f t="shared" si="8"/>
        <v>0</v>
      </c>
      <c r="L29" s="147">
        <f t="shared" si="8"/>
        <v>0</v>
      </c>
      <c r="M29" s="57">
        <f t="shared" si="8"/>
        <v>0</v>
      </c>
      <c r="N29" s="57">
        <f t="shared" si="8"/>
        <v>0</v>
      </c>
    </row>
    <row r="30" spans="2:14" ht="11.25">
      <c r="B30" s="47" t="s">
        <v>31</v>
      </c>
      <c r="C30" s="57">
        <f t="shared" si="5"/>
        <v>1.262796</v>
      </c>
      <c r="D30" s="57">
        <f aca="true" t="shared" si="9" ref="D30:N30">+D$10*D16</f>
        <v>1.5218129999999999</v>
      </c>
      <c r="E30" s="57">
        <f t="shared" si="9"/>
        <v>1.373624</v>
      </c>
      <c r="F30" s="57">
        <f t="shared" si="9"/>
        <v>1.4915760000000002</v>
      </c>
      <c r="G30" s="57">
        <f t="shared" si="9"/>
        <v>1.4174</v>
      </c>
      <c r="H30" s="57">
        <f t="shared" si="9"/>
        <v>1.344744</v>
      </c>
      <c r="I30" s="57">
        <f t="shared" si="9"/>
        <v>1.528056</v>
      </c>
      <c r="J30" s="57">
        <f t="shared" si="9"/>
        <v>1.239256</v>
      </c>
      <c r="K30" s="57">
        <f t="shared" si="9"/>
        <v>1.6268490000000002</v>
      </c>
      <c r="L30" s="147">
        <f t="shared" si="9"/>
        <v>1.219365</v>
      </c>
      <c r="M30" s="57">
        <f t="shared" si="9"/>
        <v>1.3850339999999999</v>
      </c>
      <c r="N30" s="57">
        <f t="shared" si="9"/>
        <v>1.288308</v>
      </c>
    </row>
    <row r="31" spans="2:14" ht="11.25">
      <c r="B31" s="47" t="s">
        <v>32</v>
      </c>
      <c r="C31" s="57">
        <f t="shared" si="5"/>
        <v>3.206248</v>
      </c>
      <c r="D31" s="57">
        <f aca="true" t="shared" si="10" ref="D31:N31">+D$10*D17</f>
        <v>3.8638939999999997</v>
      </c>
      <c r="E31" s="57">
        <f t="shared" si="10"/>
        <v>4.111835</v>
      </c>
      <c r="F31" s="57">
        <f t="shared" si="10"/>
        <v>4.464915</v>
      </c>
      <c r="G31" s="57">
        <f t="shared" si="10"/>
        <v>4.242875</v>
      </c>
      <c r="H31" s="57">
        <f t="shared" si="10"/>
        <v>4.025385</v>
      </c>
      <c r="I31" s="57">
        <f t="shared" si="10"/>
        <v>4.574115</v>
      </c>
      <c r="J31" s="57">
        <f t="shared" si="10"/>
        <v>3.709615</v>
      </c>
      <c r="K31" s="57">
        <f t="shared" si="10"/>
        <v>5.444964000000001</v>
      </c>
      <c r="L31" s="147">
        <f t="shared" si="10"/>
        <v>4.08114</v>
      </c>
      <c r="M31" s="57">
        <f t="shared" si="10"/>
        <v>4.635624</v>
      </c>
      <c r="N31" s="57">
        <f t="shared" si="10"/>
        <v>4.311888</v>
      </c>
    </row>
    <row r="32" spans="2:14" ht="11.25">
      <c r="B32" s="47" t="s">
        <v>33</v>
      </c>
      <c r="C32" s="57">
        <f t="shared" si="5"/>
        <v>1.459828</v>
      </c>
      <c r="D32" s="57">
        <f aca="true" t="shared" si="11" ref="D32:N32">+D$10*D18</f>
        <v>1.7592589999999997</v>
      </c>
      <c r="E32" s="57">
        <f t="shared" si="11"/>
        <v>1.5905120000000001</v>
      </c>
      <c r="F32" s="57">
        <f t="shared" si="11"/>
        <v>1.7270880000000002</v>
      </c>
      <c r="G32" s="57">
        <f t="shared" si="11"/>
        <v>1.6412</v>
      </c>
      <c r="H32" s="57">
        <f t="shared" si="11"/>
        <v>1.557072</v>
      </c>
      <c r="I32" s="57">
        <f t="shared" si="11"/>
        <v>1.7693280000000002</v>
      </c>
      <c r="J32" s="57">
        <f t="shared" si="11"/>
        <v>1.4349280000000002</v>
      </c>
      <c r="K32" s="57">
        <f t="shared" si="11"/>
        <v>1.9699260000000003</v>
      </c>
      <c r="L32" s="147">
        <f t="shared" si="11"/>
        <v>1.47651</v>
      </c>
      <c r="M32" s="57">
        <f t="shared" si="11"/>
        <v>1.677116</v>
      </c>
      <c r="N32" s="57">
        <f t="shared" si="11"/>
        <v>1.559992</v>
      </c>
    </row>
    <row r="33" spans="2:14" ht="11.25">
      <c r="B33" s="47" t="s">
        <v>34</v>
      </c>
      <c r="C33" s="57">
        <f t="shared" si="5"/>
        <v>0.188076</v>
      </c>
      <c r="D33" s="57">
        <f aca="true" t="shared" si="12" ref="D33:N33">+D$10*D19</f>
        <v>0.22665299999999997</v>
      </c>
      <c r="E33" s="57">
        <f t="shared" si="12"/>
        <v>0.189777</v>
      </c>
      <c r="F33" s="57">
        <f t="shared" si="12"/>
        <v>0.206073</v>
      </c>
      <c r="G33" s="57">
        <f t="shared" si="12"/>
        <v>0.195825</v>
      </c>
      <c r="H33" s="57">
        <f t="shared" si="12"/>
        <v>0.18578699999999998</v>
      </c>
      <c r="I33" s="57">
        <f t="shared" si="12"/>
        <v>0.211113</v>
      </c>
      <c r="J33" s="57">
        <f t="shared" si="12"/>
        <v>0.171213</v>
      </c>
      <c r="K33" s="57">
        <f t="shared" si="12"/>
        <v>0.21027300000000004</v>
      </c>
      <c r="L33" s="147">
        <f t="shared" si="12"/>
        <v>0.157605</v>
      </c>
      <c r="M33" s="57">
        <f t="shared" si="12"/>
        <v>0.179018</v>
      </c>
      <c r="N33" s="57">
        <f t="shared" si="12"/>
        <v>0.166516</v>
      </c>
    </row>
    <row r="34" spans="2:14" ht="11.25">
      <c r="B34" s="47" t="s">
        <v>15</v>
      </c>
      <c r="C34" s="57">
        <f t="shared" si="5"/>
        <v>11.10544</v>
      </c>
      <c r="D34" s="57">
        <f aca="true" t="shared" si="13" ref="D34:N34">+D$10*D20</f>
        <v>13.38332</v>
      </c>
      <c r="E34" s="57">
        <f t="shared" si="13"/>
        <v>15.100827</v>
      </c>
      <c r="F34" s="57">
        <f t="shared" si="13"/>
        <v>16.397523000000003</v>
      </c>
      <c r="G34" s="57">
        <f t="shared" si="13"/>
        <v>15.582075</v>
      </c>
      <c r="H34" s="57">
        <f t="shared" si="13"/>
        <v>14.783337</v>
      </c>
      <c r="I34" s="57">
        <f t="shared" si="13"/>
        <v>16.798563</v>
      </c>
      <c r="J34" s="57">
        <f t="shared" si="13"/>
        <v>13.623663</v>
      </c>
      <c r="K34" s="57">
        <f t="shared" si="13"/>
        <v>19.643925000000003</v>
      </c>
      <c r="L34" s="147">
        <f t="shared" si="13"/>
        <v>14.723625</v>
      </c>
      <c r="M34" s="57">
        <f t="shared" si="13"/>
        <v>16.72405</v>
      </c>
      <c r="N34" s="57">
        <f t="shared" si="13"/>
        <v>15.556099999999999</v>
      </c>
    </row>
    <row r="35" spans="2:14" ht="11.25">
      <c r="B35" s="70" t="s">
        <v>77</v>
      </c>
      <c r="C35" s="57">
        <f t="shared" si="5"/>
        <v>0</v>
      </c>
      <c r="D35" s="57">
        <f aca="true" t="shared" si="14" ref="D35:N35">+D$10*D21</f>
        <v>0</v>
      </c>
      <c r="E35" s="57">
        <f t="shared" si="14"/>
        <v>0</v>
      </c>
      <c r="F35" s="57">
        <f t="shared" si="14"/>
        <v>0</v>
      </c>
      <c r="G35" s="57">
        <f t="shared" si="14"/>
        <v>0</v>
      </c>
      <c r="H35" s="57">
        <f t="shared" si="14"/>
        <v>0</v>
      </c>
      <c r="I35" s="57">
        <f t="shared" si="14"/>
        <v>0</v>
      </c>
      <c r="J35" s="57">
        <f t="shared" si="14"/>
        <v>0</v>
      </c>
      <c r="K35" s="57">
        <f t="shared" si="14"/>
        <v>0</v>
      </c>
      <c r="L35" s="147">
        <f t="shared" si="14"/>
        <v>0</v>
      </c>
      <c r="M35" s="57">
        <f t="shared" si="14"/>
        <v>0</v>
      </c>
      <c r="N35" s="57">
        <f t="shared" si="14"/>
        <v>0</v>
      </c>
    </row>
    <row r="36" spans="2:14" ht="11.25">
      <c r="B36" s="47" t="s">
        <v>35</v>
      </c>
      <c r="C36" s="57">
        <f t="shared" si="5"/>
        <v>21.44962</v>
      </c>
      <c r="D36" s="57">
        <f aca="true" t="shared" si="15" ref="D36:N36">+D$10*D22</f>
        <v>25.849234999999997</v>
      </c>
      <c r="E36" s="57">
        <f t="shared" si="15"/>
        <v>13.600685</v>
      </c>
      <c r="F36" s="57">
        <f t="shared" si="15"/>
        <v>14.768565</v>
      </c>
      <c r="G36" s="57">
        <f t="shared" si="15"/>
        <v>14.034125</v>
      </c>
      <c r="H36" s="57">
        <f t="shared" si="15"/>
        <v>13.314734999999999</v>
      </c>
      <c r="I36" s="57">
        <f t="shared" si="15"/>
        <v>15.129764999999999</v>
      </c>
      <c r="J36" s="57">
        <f t="shared" si="15"/>
        <v>12.270265</v>
      </c>
      <c r="K36" s="57">
        <f t="shared" si="15"/>
        <v>16.257423000000003</v>
      </c>
      <c r="L36" s="147">
        <f t="shared" si="15"/>
        <v>12.185355000000001</v>
      </c>
      <c r="M36" s="57">
        <f t="shared" si="15"/>
        <v>13.840918</v>
      </c>
      <c r="N36" s="57">
        <f t="shared" si="15"/>
        <v>12.874316</v>
      </c>
    </row>
    <row r="37" spans="2:14" ht="11.25">
      <c r="B37" s="47" t="s">
        <v>36</v>
      </c>
      <c r="C37" s="68">
        <f t="shared" si="5"/>
        <v>28.918924000000004</v>
      </c>
      <c r="D37" s="68">
        <f aca="true" t="shared" si="16" ref="D37:N37">+D$10*D23</f>
        <v>34.850597</v>
      </c>
      <c r="E37" s="68">
        <f t="shared" si="16"/>
        <v>31.548167000000003</v>
      </c>
      <c r="F37" s="68">
        <f t="shared" si="16"/>
        <v>34.257183000000005</v>
      </c>
      <c r="G37" s="68">
        <f t="shared" si="16"/>
        <v>32.553575</v>
      </c>
      <c r="H37" s="68">
        <f t="shared" si="16"/>
        <v>30.884877000000003</v>
      </c>
      <c r="I37" s="68">
        <f t="shared" si="16"/>
        <v>35.095023000000005</v>
      </c>
      <c r="J37" s="68">
        <f t="shared" si="16"/>
        <v>28.462123000000002</v>
      </c>
      <c r="K37" s="68">
        <f t="shared" si="16"/>
        <v>36.63177000000001</v>
      </c>
      <c r="L37" s="144">
        <f t="shared" si="16"/>
        <v>27.456450000000004</v>
      </c>
      <c r="M37" s="68">
        <f t="shared" si="16"/>
        <v>31.18682</v>
      </c>
      <c r="N37" s="68">
        <f t="shared" si="16"/>
        <v>29.008840000000003</v>
      </c>
    </row>
    <row r="38" spans="3:14" ht="11.25">
      <c r="C38" s="57">
        <f>SUM(C27:C37)</f>
        <v>89.56</v>
      </c>
      <c r="D38" s="57">
        <f aca="true" t="shared" si="17" ref="D38:N38">SUM(D27:D37)</f>
        <v>107.92999999999998</v>
      </c>
      <c r="E38" s="57">
        <f t="shared" si="17"/>
        <v>90.37</v>
      </c>
      <c r="F38" s="57">
        <f t="shared" si="17"/>
        <v>98.13000000000002</v>
      </c>
      <c r="G38" s="57">
        <f t="shared" si="17"/>
        <v>93.25</v>
      </c>
      <c r="H38" s="57">
        <f t="shared" si="17"/>
        <v>88.47</v>
      </c>
      <c r="I38" s="57">
        <f t="shared" si="17"/>
        <v>100.53</v>
      </c>
      <c r="J38" s="57">
        <f t="shared" si="17"/>
        <v>81.53</v>
      </c>
      <c r="K38" s="57">
        <f t="shared" si="17"/>
        <v>110.67000000000002</v>
      </c>
      <c r="L38" s="147">
        <f t="shared" si="17"/>
        <v>82.95000000000002</v>
      </c>
      <c r="M38" s="57">
        <f t="shared" si="17"/>
        <v>94.22</v>
      </c>
      <c r="N38" s="57">
        <f t="shared" si="17"/>
        <v>87.64</v>
      </c>
    </row>
    <row r="40" ht="11.25">
      <c r="A40" s="61" t="s">
        <v>38</v>
      </c>
    </row>
    <row r="41" spans="2:14" ht="11.25">
      <c r="B41" s="47" t="s">
        <v>16</v>
      </c>
      <c r="C41" s="72">
        <v>1</v>
      </c>
      <c r="D41" s="73">
        <v>1</v>
      </c>
      <c r="E41" s="73">
        <v>1</v>
      </c>
      <c r="F41" s="73">
        <v>1</v>
      </c>
      <c r="G41" s="73">
        <v>1</v>
      </c>
      <c r="H41" s="73">
        <v>1</v>
      </c>
      <c r="I41" s="73">
        <v>1</v>
      </c>
      <c r="J41" s="73">
        <v>1</v>
      </c>
      <c r="K41" s="73">
        <v>1</v>
      </c>
      <c r="L41" s="67">
        <v>1</v>
      </c>
      <c r="M41" s="73">
        <v>1</v>
      </c>
      <c r="N41" s="73">
        <v>1</v>
      </c>
    </row>
    <row r="42" spans="2:14" ht="11.25">
      <c r="B42" s="47" t="s">
        <v>20</v>
      </c>
      <c r="C42" s="72">
        <v>1</v>
      </c>
      <c r="D42" s="73">
        <v>1</v>
      </c>
      <c r="E42" s="73">
        <v>1</v>
      </c>
      <c r="F42" s="73">
        <v>1</v>
      </c>
      <c r="G42" s="73">
        <v>1</v>
      </c>
      <c r="H42" s="73">
        <v>1</v>
      </c>
      <c r="I42" s="73">
        <v>1</v>
      </c>
      <c r="J42" s="73">
        <v>1</v>
      </c>
      <c r="K42" s="73">
        <v>1</v>
      </c>
      <c r="L42" s="67">
        <v>1</v>
      </c>
      <c r="M42" s="73">
        <v>1</v>
      </c>
      <c r="N42" s="73">
        <v>1</v>
      </c>
    </row>
    <row r="43" spans="2:14" ht="11.25">
      <c r="B43" s="47" t="s">
        <v>30</v>
      </c>
      <c r="C43" s="72">
        <v>1</v>
      </c>
      <c r="D43" s="73">
        <v>1</v>
      </c>
      <c r="E43" s="73">
        <v>1</v>
      </c>
      <c r="F43" s="73">
        <v>1</v>
      </c>
      <c r="G43" s="73">
        <v>1</v>
      </c>
      <c r="H43" s="73">
        <v>1</v>
      </c>
      <c r="I43" s="73">
        <v>1</v>
      </c>
      <c r="J43" s="73">
        <v>1</v>
      </c>
      <c r="K43" s="73">
        <v>1</v>
      </c>
      <c r="L43" s="67">
        <v>1</v>
      </c>
      <c r="M43" s="73">
        <v>1</v>
      </c>
      <c r="N43" s="73">
        <v>1</v>
      </c>
    </row>
    <row r="44" spans="2:14" ht="11.25">
      <c r="B44" s="47" t="s">
        <v>31</v>
      </c>
      <c r="C44" s="72">
        <v>1</v>
      </c>
      <c r="D44" s="73">
        <v>1</v>
      </c>
      <c r="E44" s="73">
        <v>1</v>
      </c>
      <c r="F44" s="73">
        <v>1</v>
      </c>
      <c r="G44" s="73">
        <v>1</v>
      </c>
      <c r="H44" s="73">
        <v>1</v>
      </c>
      <c r="I44" s="73">
        <v>1</v>
      </c>
      <c r="J44" s="73">
        <v>1</v>
      </c>
      <c r="K44" s="73">
        <v>1</v>
      </c>
      <c r="L44" s="67">
        <v>1</v>
      </c>
      <c r="M44" s="73">
        <v>1</v>
      </c>
      <c r="N44" s="73">
        <v>1</v>
      </c>
    </row>
    <row r="45" spans="2:14" ht="11.25">
      <c r="B45" s="47" t="s">
        <v>32</v>
      </c>
      <c r="C45" s="72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67">
        <v>1</v>
      </c>
      <c r="M45" s="73">
        <v>1</v>
      </c>
      <c r="N45" s="73">
        <v>1</v>
      </c>
    </row>
    <row r="46" spans="2:14" ht="11.25">
      <c r="B46" s="47" t="s">
        <v>33</v>
      </c>
      <c r="C46" s="72">
        <v>1</v>
      </c>
      <c r="D46" s="73">
        <v>1</v>
      </c>
      <c r="E46" s="73">
        <v>1</v>
      </c>
      <c r="F46" s="73">
        <v>1</v>
      </c>
      <c r="G46" s="73">
        <v>1</v>
      </c>
      <c r="H46" s="73">
        <v>1</v>
      </c>
      <c r="I46" s="73">
        <v>1</v>
      </c>
      <c r="J46" s="73">
        <v>1</v>
      </c>
      <c r="K46" s="73">
        <v>1</v>
      </c>
      <c r="L46" s="67">
        <v>1</v>
      </c>
      <c r="M46" s="73">
        <v>1</v>
      </c>
      <c r="N46" s="73">
        <v>1</v>
      </c>
    </row>
    <row r="47" spans="2:14" ht="11.25">
      <c r="B47" s="47" t="s">
        <v>34</v>
      </c>
      <c r="C47" s="72">
        <v>1</v>
      </c>
      <c r="D47" s="73">
        <v>1</v>
      </c>
      <c r="E47" s="73">
        <v>1</v>
      </c>
      <c r="F47" s="73">
        <v>1</v>
      </c>
      <c r="G47" s="73">
        <v>1</v>
      </c>
      <c r="H47" s="73">
        <v>1</v>
      </c>
      <c r="I47" s="73">
        <v>1</v>
      </c>
      <c r="J47" s="73">
        <v>1</v>
      </c>
      <c r="K47" s="73">
        <v>1</v>
      </c>
      <c r="L47" s="67">
        <v>1</v>
      </c>
      <c r="M47" s="73">
        <v>1</v>
      </c>
      <c r="N47" s="73">
        <v>1</v>
      </c>
    </row>
    <row r="48" spans="2:14" ht="11.25">
      <c r="B48" s="47" t="s">
        <v>15</v>
      </c>
      <c r="C48" s="72">
        <v>1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73">
        <v>1</v>
      </c>
      <c r="J48" s="73">
        <v>1</v>
      </c>
      <c r="K48" s="73">
        <v>1</v>
      </c>
      <c r="L48" s="67">
        <v>1</v>
      </c>
      <c r="M48" s="73">
        <v>1</v>
      </c>
      <c r="N48" s="73">
        <v>1</v>
      </c>
    </row>
    <row r="49" spans="2:14" ht="11.25">
      <c r="B49" s="70" t="s">
        <v>77</v>
      </c>
      <c r="C49" s="72">
        <v>1</v>
      </c>
      <c r="D49" s="73">
        <v>1</v>
      </c>
      <c r="E49" s="73">
        <v>1</v>
      </c>
      <c r="F49" s="73">
        <v>1</v>
      </c>
      <c r="G49" s="73">
        <v>1</v>
      </c>
      <c r="H49" s="73">
        <v>1</v>
      </c>
      <c r="I49" s="73">
        <v>1</v>
      </c>
      <c r="J49" s="73">
        <v>1</v>
      </c>
      <c r="K49" s="73">
        <v>1</v>
      </c>
      <c r="L49" s="67">
        <v>1</v>
      </c>
      <c r="M49" s="73">
        <v>1</v>
      </c>
      <c r="N49" s="73">
        <v>1</v>
      </c>
    </row>
    <row r="50" spans="2:14" ht="11.25">
      <c r="B50" s="47" t="s">
        <v>35</v>
      </c>
      <c r="C50" s="72">
        <v>1</v>
      </c>
      <c r="D50" s="73">
        <v>1</v>
      </c>
      <c r="E50" s="73">
        <v>1</v>
      </c>
      <c r="F50" s="73">
        <v>1</v>
      </c>
      <c r="G50" s="73">
        <v>1</v>
      </c>
      <c r="H50" s="73">
        <v>1</v>
      </c>
      <c r="I50" s="73">
        <v>1</v>
      </c>
      <c r="J50" s="73">
        <v>1</v>
      </c>
      <c r="K50" s="73">
        <v>1</v>
      </c>
      <c r="L50" s="67">
        <v>1</v>
      </c>
      <c r="M50" s="73">
        <v>1</v>
      </c>
      <c r="N50" s="73">
        <v>1</v>
      </c>
    </row>
    <row r="51" spans="3:14" ht="14.25" customHeight="1">
      <c r="C51" s="71"/>
      <c r="D51" s="73"/>
      <c r="E51" s="73"/>
      <c r="F51" s="73"/>
      <c r="G51" s="73"/>
      <c r="H51" s="73"/>
      <c r="I51" s="73"/>
      <c r="J51" s="73"/>
      <c r="K51" s="73"/>
      <c r="L51" s="67"/>
      <c r="M51" s="73"/>
      <c r="N51" s="73"/>
    </row>
    <row r="52" spans="1:14" ht="11.25">
      <c r="A52" s="47" t="s">
        <v>36</v>
      </c>
      <c r="C52" s="71">
        <f>+C65/C37</f>
        <v>1</v>
      </c>
      <c r="D52" s="73">
        <v>1</v>
      </c>
      <c r="E52" s="73">
        <v>1</v>
      </c>
      <c r="F52" s="73">
        <v>1</v>
      </c>
      <c r="G52" s="73">
        <v>1</v>
      </c>
      <c r="H52" s="73">
        <v>1</v>
      </c>
      <c r="I52" s="73">
        <v>1</v>
      </c>
      <c r="J52" s="73">
        <v>1</v>
      </c>
      <c r="K52" s="73">
        <v>1</v>
      </c>
      <c r="L52" s="67">
        <v>1</v>
      </c>
      <c r="M52" s="73">
        <v>1</v>
      </c>
      <c r="N52" s="73">
        <v>1</v>
      </c>
    </row>
    <row r="53" spans="12:14" ht="11.25">
      <c r="L53" s="146"/>
      <c r="N53" s="73"/>
    </row>
    <row r="54" spans="1:14" ht="11.25">
      <c r="A54" s="61" t="s">
        <v>39</v>
      </c>
      <c r="L54" s="146"/>
      <c r="N54" s="73"/>
    </row>
    <row r="55" spans="2:14" ht="11.25">
      <c r="B55" s="47" t="s">
        <v>16</v>
      </c>
      <c r="C55" s="57">
        <f>+C27*C41</f>
        <v>0</v>
      </c>
      <c r="D55" s="57">
        <f aca="true" t="shared" si="18" ref="D55:N55">+D27*D41</f>
        <v>0</v>
      </c>
      <c r="E55" s="57">
        <f t="shared" si="18"/>
        <v>0</v>
      </c>
      <c r="F55" s="57">
        <f t="shared" si="18"/>
        <v>0</v>
      </c>
      <c r="G55" s="57">
        <f t="shared" si="18"/>
        <v>0</v>
      </c>
      <c r="H55" s="57">
        <f t="shared" si="18"/>
        <v>0</v>
      </c>
      <c r="I55" s="57">
        <f t="shared" si="18"/>
        <v>0</v>
      </c>
      <c r="J55" s="57">
        <f t="shared" si="18"/>
        <v>0</v>
      </c>
      <c r="K55" s="57">
        <f t="shared" si="18"/>
        <v>0</v>
      </c>
      <c r="L55" s="147">
        <f t="shared" si="18"/>
        <v>0</v>
      </c>
      <c r="M55" s="57">
        <f t="shared" si="18"/>
        <v>0</v>
      </c>
      <c r="N55" s="57">
        <f t="shared" si="18"/>
        <v>0</v>
      </c>
    </row>
    <row r="56" spans="2:14" ht="11.25">
      <c r="B56" s="47" t="s">
        <v>20</v>
      </c>
      <c r="C56" s="57">
        <f aca="true" t="shared" si="19" ref="C56:N56">+C28*C42</f>
        <v>21.969068</v>
      </c>
      <c r="D56" s="57">
        <f t="shared" si="19"/>
        <v>26.475229</v>
      </c>
      <c r="E56" s="57">
        <f t="shared" si="19"/>
        <v>22.854573000000002</v>
      </c>
      <c r="F56" s="57">
        <f t="shared" si="19"/>
        <v>24.817077000000005</v>
      </c>
      <c r="G56" s="57">
        <f t="shared" si="19"/>
        <v>23.582925000000003</v>
      </c>
      <c r="H56" s="57">
        <f t="shared" si="19"/>
        <v>22.374063</v>
      </c>
      <c r="I56" s="57">
        <f t="shared" si="19"/>
        <v>25.424037000000002</v>
      </c>
      <c r="J56" s="57">
        <f t="shared" si="19"/>
        <v>20.618937000000003</v>
      </c>
      <c r="K56" s="57">
        <f t="shared" si="19"/>
        <v>28.884870000000006</v>
      </c>
      <c r="L56" s="147">
        <f t="shared" si="19"/>
        <v>21.64995</v>
      </c>
      <c r="M56" s="57">
        <f t="shared" si="19"/>
        <v>24.59142</v>
      </c>
      <c r="N56" s="57">
        <f t="shared" si="19"/>
        <v>22.87404</v>
      </c>
    </row>
    <row r="57" spans="2:14" ht="11.25">
      <c r="B57" s="47" t="s">
        <v>30</v>
      </c>
      <c r="C57" s="57">
        <f aca="true" t="shared" si="20" ref="C57:N57">+C29*C43</f>
        <v>0</v>
      </c>
      <c r="D57" s="57">
        <f t="shared" si="20"/>
        <v>0</v>
      </c>
      <c r="E57" s="57">
        <f t="shared" si="20"/>
        <v>0</v>
      </c>
      <c r="F57" s="57">
        <f t="shared" si="20"/>
        <v>0</v>
      </c>
      <c r="G57" s="57">
        <f t="shared" si="20"/>
        <v>0</v>
      </c>
      <c r="H57" s="57">
        <f t="shared" si="20"/>
        <v>0</v>
      </c>
      <c r="I57" s="57">
        <f t="shared" si="20"/>
        <v>0</v>
      </c>
      <c r="J57" s="57">
        <f t="shared" si="20"/>
        <v>0</v>
      </c>
      <c r="K57" s="57">
        <f t="shared" si="20"/>
        <v>0</v>
      </c>
      <c r="L57" s="147">
        <f t="shared" si="20"/>
        <v>0</v>
      </c>
      <c r="M57" s="57">
        <f t="shared" si="20"/>
        <v>0</v>
      </c>
      <c r="N57" s="57">
        <f t="shared" si="20"/>
        <v>0</v>
      </c>
    </row>
    <row r="58" spans="2:14" ht="11.25">
      <c r="B58" s="47" t="s">
        <v>31</v>
      </c>
      <c r="C58" s="57">
        <f aca="true" t="shared" si="21" ref="C58:N58">+C30*C44</f>
        <v>1.262796</v>
      </c>
      <c r="D58" s="57">
        <f t="shared" si="21"/>
        <v>1.5218129999999999</v>
      </c>
      <c r="E58" s="57">
        <f t="shared" si="21"/>
        <v>1.373624</v>
      </c>
      <c r="F58" s="57">
        <f t="shared" si="21"/>
        <v>1.4915760000000002</v>
      </c>
      <c r="G58" s="57">
        <f t="shared" si="21"/>
        <v>1.4174</v>
      </c>
      <c r="H58" s="57">
        <f t="shared" si="21"/>
        <v>1.344744</v>
      </c>
      <c r="I58" s="57">
        <f t="shared" si="21"/>
        <v>1.528056</v>
      </c>
      <c r="J58" s="57">
        <f t="shared" si="21"/>
        <v>1.239256</v>
      </c>
      <c r="K58" s="57">
        <f t="shared" si="21"/>
        <v>1.6268490000000002</v>
      </c>
      <c r="L58" s="147">
        <f t="shared" si="21"/>
        <v>1.219365</v>
      </c>
      <c r="M58" s="57">
        <f t="shared" si="21"/>
        <v>1.3850339999999999</v>
      </c>
      <c r="N58" s="57">
        <f t="shared" si="21"/>
        <v>1.288308</v>
      </c>
    </row>
    <row r="59" spans="2:14" ht="11.25">
      <c r="B59" s="47" t="s">
        <v>32</v>
      </c>
      <c r="C59" s="57">
        <f aca="true" t="shared" si="22" ref="C59:N59">+C31*C45</f>
        <v>3.206248</v>
      </c>
      <c r="D59" s="57">
        <f t="shared" si="22"/>
        <v>3.8638939999999997</v>
      </c>
      <c r="E59" s="57">
        <f t="shared" si="22"/>
        <v>4.111835</v>
      </c>
      <c r="F59" s="57">
        <f t="shared" si="22"/>
        <v>4.464915</v>
      </c>
      <c r="G59" s="57">
        <f t="shared" si="22"/>
        <v>4.242875</v>
      </c>
      <c r="H59" s="57">
        <f t="shared" si="22"/>
        <v>4.025385</v>
      </c>
      <c r="I59" s="57">
        <f t="shared" si="22"/>
        <v>4.574115</v>
      </c>
      <c r="J59" s="57">
        <f t="shared" si="22"/>
        <v>3.709615</v>
      </c>
      <c r="K59" s="57">
        <f t="shared" si="22"/>
        <v>5.444964000000001</v>
      </c>
      <c r="L59" s="147">
        <f t="shared" si="22"/>
        <v>4.08114</v>
      </c>
      <c r="M59" s="57">
        <f t="shared" si="22"/>
        <v>4.635624</v>
      </c>
      <c r="N59" s="57">
        <f t="shared" si="22"/>
        <v>4.311888</v>
      </c>
    </row>
    <row r="60" spans="2:14" ht="11.25">
      <c r="B60" s="47" t="s">
        <v>33</v>
      </c>
      <c r="C60" s="74">
        <f aca="true" t="shared" si="23" ref="C60:N60">+C32*C46</f>
        <v>1.459828</v>
      </c>
      <c r="D60" s="74">
        <f t="shared" si="23"/>
        <v>1.7592589999999997</v>
      </c>
      <c r="E60" s="74">
        <f t="shared" si="23"/>
        <v>1.5905120000000001</v>
      </c>
      <c r="F60" s="74">
        <f t="shared" si="23"/>
        <v>1.7270880000000002</v>
      </c>
      <c r="G60" s="74">
        <f t="shared" si="23"/>
        <v>1.6412</v>
      </c>
      <c r="H60" s="74">
        <f t="shared" si="23"/>
        <v>1.557072</v>
      </c>
      <c r="I60" s="74">
        <f t="shared" si="23"/>
        <v>1.7693280000000002</v>
      </c>
      <c r="J60" s="74">
        <f t="shared" si="23"/>
        <v>1.4349280000000002</v>
      </c>
      <c r="K60" s="74">
        <f t="shared" si="23"/>
        <v>1.9699260000000003</v>
      </c>
      <c r="L60" s="148">
        <f t="shared" si="23"/>
        <v>1.47651</v>
      </c>
      <c r="M60" s="74">
        <f t="shared" si="23"/>
        <v>1.677116</v>
      </c>
      <c r="N60" s="74">
        <f t="shared" si="23"/>
        <v>1.559992</v>
      </c>
    </row>
    <row r="61" spans="2:14" ht="11.25">
      <c r="B61" s="47" t="s">
        <v>34</v>
      </c>
      <c r="C61" s="57">
        <f aca="true" t="shared" si="24" ref="C61:N61">+C33*C47</f>
        <v>0.188076</v>
      </c>
      <c r="D61" s="57">
        <f t="shared" si="24"/>
        <v>0.22665299999999997</v>
      </c>
      <c r="E61" s="57">
        <f t="shared" si="24"/>
        <v>0.189777</v>
      </c>
      <c r="F61" s="57">
        <f t="shared" si="24"/>
        <v>0.206073</v>
      </c>
      <c r="G61" s="57">
        <f t="shared" si="24"/>
        <v>0.195825</v>
      </c>
      <c r="H61" s="57">
        <f t="shared" si="24"/>
        <v>0.18578699999999998</v>
      </c>
      <c r="I61" s="57">
        <f t="shared" si="24"/>
        <v>0.211113</v>
      </c>
      <c r="J61" s="57">
        <f t="shared" si="24"/>
        <v>0.171213</v>
      </c>
      <c r="K61" s="57">
        <f t="shared" si="24"/>
        <v>0.21027300000000004</v>
      </c>
      <c r="L61" s="147">
        <f t="shared" si="24"/>
        <v>0.157605</v>
      </c>
      <c r="M61" s="57">
        <f t="shared" si="24"/>
        <v>0.179018</v>
      </c>
      <c r="N61" s="57">
        <f t="shared" si="24"/>
        <v>0.166516</v>
      </c>
    </row>
    <row r="62" spans="2:14" ht="11.25">
      <c r="B62" s="47" t="s">
        <v>27</v>
      </c>
      <c r="C62" s="57">
        <f aca="true" t="shared" si="25" ref="C62:N62">+C34*C48</f>
        <v>11.10544</v>
      </c>
      <c r="D62" s="57">
        <f t="shared" si="25"/>
        <v>13.38332</v>
      </c>
      <c r="E62" s="57">
        <f t="shared" si="25"/>
        <v>15.100827</v>
      </c>
      <c r="F62" s="57">
        <f t="shared" si="25"/>
        <v>16.397523000000003</v>
      </c>
      <c r="G62" s="57">
        <f t="shared" si="25"/>
        <v>15.582075</v>
      </c>
      <c r="H62" s="57">
        <f t="shared" si="25"/>
        <v>14.783337</v>
      </c>
      <c r="I62" s="57">
        <f t="shared" si="25"/>
        <v>16.798563</v>
      </c>
      <c r="J62" s="57">
        <f t="shared" si="25"/>
        <v>13.623663</v>
      </c>
      <c r="K62" s="57">
        <f t="shared" si="25"/>
        <v>19.643925000000003</v>
      </c>
      <c r="L62" s="147">
        <f t="shared" si="25"/>
        <v>14.723625</v>
      </c>
      <c r="M62" s="57">
        <f t="shared" si="25"/>
        <v>16.72405</v>
      </c>
      <c r="N62" s="57">
        <f t="shared" si="25"/>
        <v>15.556099999999999</v>
      </c>
    </row>
    <row r="63" spans="2:14" ht="11.25">
      <c r="B63" s="70" t="s">
        <v>77</v>
      </c>
      <c r="C63" s="57">
        <f aca="true" t="shared" si="26" ref="C63:N63">+C35*C49</f>
        <v>0</v>
      </c>
      <c r="D63" s="57">
        <f t="shared" si="26"/>
        <v>0</v>
      </c>
      <c r="E63" s="57">
        <f t="shared" si="26"/>
        <v>0</v>
      </c>
      <c r="F63" s="57">
        <f t="shared" si="26"/>
        <v>0</v>
      </c>
      <c r="G63" s="57">
        <f t="shared" si="26"/>
        <v>0</v>
      </c>
      <c r="H63" s="57">
        <f t="shared" si="26"/>
        <v>0</v>
      </c>
      <c r="I63" s="57">
        <f t="shared" si="26"/>
        <v>0</v>
      </c>
      <c r="J63" s="57">
        <f t="shared" si="26"/>
        <v>0</v>
      </c>
      <c r="K63" s="57">
        <f t="shared" si="26"/>
        <v>0</v>
      </c>
      <c r="L63" s="147">
        <f t="shared" si="26"/>
        <v>0</v>
      </c>
      <c r="M63" s="57">
        <f t="shared" si="26"/>
        <v>0</v>
      </c>
      <c r="N63" s="57">
        <f t="shared" si="26"/>
        <v>0</v>
      </c>
    </row>
    <row r="64" spans="2:14" ht="11.25">
      <c r="B64" s="47" t="s">
        <v>35</v>
      </c>
      <c r="C64" s="57">
        <f aca="true" t="shared" si="27" ref="C64:N64">+C36*C50</f>
        <v>21.44962</v>
      </c>
      <c r="D64" s="57">
        <f t="shared" si="27"/>
        <v>25.849234999999997</v>
      </c>
      <c r="E64" s="57">
        <f t="shared" si="27"/>
        <v>13.600685</v>
      </c>
      <c r="F64" s="57">
        <f t="shared" si="27"/>
        <v>14.768565</v>
      </c>
      <c r="G64" s="57">
        <f t="shared" si="27"/>
        <v>14.034125</v>
      </c>
      <c r="H64" s="57">
        <f t="shared" si="27"/>
        <v>13.314734999999999</v>
      </c>
      <c r="I64" s="57">
        <f t="shared" si="27"/>
        <v>15.129764999999999</v>
      </c>
      <c r="J64" s="57">
        <f t="shared" si="27"/>
        <v>12.270265</v>
      </c>
      <c r="K64" s="57">
        <f t="shared" si="27"/>
        <v>16.257423000000003</v>
      </c>
      <c r="L64" s="147">
        <f t="shared" si="27"/>
        <v>12.185355000000001</v>
      </c>
      <c r="M64" s="57">
        <f t="shared" si="27"/>
        <v>13.840918</v>
      </c>
      <c r="N64" s="57">
        <f t="shared" si="27"/>
        <v>12.874316</v>
      </c>
    </row>
    <row r="65" spans="2:14" ht="11.25">
      <c r="B65" s="47" t="s">
        <v>36</v>
      </c>
      <c r="C65" s="68">
        <f aca="true" t="shared" si="28" ref="C65:N65">+C7-SUM(C55:C64)</f>
        <v>28.918924000000004</v>
      </c>
      <c r="D65" s="68">
        <f t="shared" si="28"/>
        <v>34.85059700000001</v>
      </c>
      <c r="E65" s="68">
        <f t="shared" si="28"/>
        <v>31.548167000000007</v>
      </c>
      <c r="F65" s="68">
        <f t="shared" si="28"/>
        <v>34.25718299999999</v>
      </c>
      <c r="G65" s="68">
        <f t="shared" si="28"/>
        <v>32.553574999999995</v>
      </c>
      <c r="H65" s="68">
        <f t="shared" si="28"/>
        <v>30.884877000000003</v>
      </c>
      <c r="I65" s="68">
        <f t="shared" si="28"/>
        <v>35.095023</v>
      </c>
      <c r="J65" s="68">
        <f t="shared" si="28"/>
        <v>28.462123</v>
      </c>
      <c r="K65" s="68">
        <f t="shared" si="28"/>
        <v>36.63177</v>
      </c>
      <c r="L65" s="144">
        <f t="shared" si="28"/>
        <v>27.456449999999997</v>
      </c>
      <c r="M65" s="68">
        <f t="shared" si="28"/>
        <v>31.186819999999997</v>
      </c>
      <c r="N65" s="68">
        <f t="shared" si="28"/>
        <v>29.00884</v>
      </c>
    </row>
    <row r="66" spans="3:14" ht="11.25">
      <c r="C66" s="57">
        <f aca="true" t="shared" si="29" ref="C66:N66">SUM(C55:C65)</f>
        <v>89.56</v>
      </c>
      <c r="D66" s="57">
        <f t="shared" si="29"/>
        <v>107.92999999999999</v>
      </c>
      <c r="E66" s="57">
        <f t="shared" si="29"/>
        <v>90.37</v>
      </c>
      <c r="F66" s="57">
        <f t="shared" si="29"/>
        <v>98.13000000000001</v>
      </c>
      <c r="G66" s="57">
        <f t="shared" si="29"/>
        <v>93.25</v>
      </c>
      <c r="H66" s="57">
        <f t="shared" si="29"/>
        <v>88.47</v>
      </c>
      <c r="I66" s="57">
        <f t="shared" si="29"/>
        <v>100.53</v>
      </c>
      <c r="J66" s="57">
        <f t="shared" si="29"/>
        <v>81.53</v>
      </c>
      <c r="K66" s="57">
        <f t="shared" si="29"/>
        <v>110.67000000000002</v>
      </c>
      <c r="L66" s="147">
        <f t="shared" si="29"/>
        <v>82.95</v>
      </c>
      <c r="M66" s="57">
        <f t="shared" si="29"/>
        <v>94.22</v>
      </c>
      <c r="N66" s="57">
        <f t="shared" si="29"/>
        <v>87.64</v>
      </c>
    </row>
    <row r="67" ht="7.5" customHeight="1"/>
    <row r="68" spans="1:5" ht="11.25">
      <c r="A68" s="75" t="s">
        <v>40</v>
      </c>
      <c r="E68" s="47" t="s">
        <v>63</v>
      </c>
    </row>
    <row r="69" spans="2:14" ht="11.25">
      <c r="B69" s="47" t="s">
        <v>16</v>
      </c>
      <c r="C69" s="135">
        <v>0</v>
      </c>
      <c r="D69" s="135">
        <v>0</v>
      </c>
      <c r="E69" s="135">
        <v>0</v>
      </c>
      <c r="F69" s="135">
        <v>0</v>
      </c>
      <c r="G69" s="136">
        <v>0</v>
      </c>
      <c r="H69" s="136">
        <v>0</v>
      </c>
      <c r="I69" s="135">
        <v>0</v>
      </c>
      <c r="J69" s="135">
        <v>0</v>
      </c>
      <c r="K69" s="135">
        <v>0</v>
      </c>
      <c r="L69" s="137">
        <v>0</v>
      </c>
      <c r="M69" s="137">
        <v>0</v>
      </c>
      <c r="N69" s="137">
        <v>0</v>
      </c>
    </row>
    <row r="70" spans="2:16" ht="11.25">
      <c r="B70" s="47" t="s">
        <v>20</v>
      </c>
      <c r="C70" s="135">
        <v>131.504</v>
      </c>
      <c r="D70" s="135">
        <v>154.096</v>
      </c>
      <c r="E70" s="135">
        <v>142.168</v>
      </c>
      <c r="F70" s="135">
        <v>146.29600000000002</v>
      </c>
      <c r="G70" s="136">
        <v>153.20000000000002</v>
      </c>
      <c r="H70" s="136">
        <v>151.29600000000002</v>
      </c>
      <c r="I70" s="135">
        <v>129.08800000000002</v>
      </c>
      <c r="J70" s="135">
        <v>119.28</v>
      </c>
      <c r="K70" s="135">
        <v>83.224</v>
      </c>
      <c r="L70" s="135">
        <v>107.94400000000002</v>
      </c>
      <c r="M70" s="135">
        <v>104.48800000000001</v>
      </c>
      <c r="N70" s="135">
        <v>105.84000000000002</v>
      </c>
      <c r="P70" s="143"/>
    </row>
    <row r="71" spans="2:16" ht="11.25">
      <c r="B71" s="47" t="s">
        <v>30</v>
      </c>
      <c r="C71" s="135">
        <v>0</v>
      </c>
      <c r="D71" s="135">
        <v>0</v>
      </c>
      <c r="E71" s="135">
        <v>0</v>
      </c>
      <c r="F71" s="135">
        <v>0</v>
      </c>
      <c r="G71" s="136">
        <v>0</v>
      </c>
      <c r="H71" s="136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P71" s="143"/>
    </row>
    <row r="72" spans="2:16" ht="11.25">
      <c r="B72" s="47" t="s">
        <v>31</v>
      </c>
      <c r="C72" s="135">
        <v>176.12800000000001</v>
      </c>
      <c r="D72" s="135">
        <v>209.168</v>
      </c>
      <c r="E72" s="135">
        <v>189.88</v>
      </c>
      <c r="F72" s="135">
        <v>171.784</v>
      </c>
      <c r="G72" s="136">
        <v>154.28</v>
      </c>
      <c r="H72" s="136">
        <v>155.34400000000002</v>
      </c>
      <c r="I72" s="135">
        <v>160.656</v>
      </c>
      <c r="J72" s="135">
        <v>168.928</v>
      </c>
      <c r="K72" s="135">
        <v>112.04000000000002</v>
      </c>
      <c r="L72" s="135">
        <v>131.264</v>
      </c>
      <c r="M72" s="135">
        <v>134.504</v>
      </c>
      <c r="N72" s="135">
        <v>158.15200000000002</v>
      </c>
      <c r="P72" s="143"/>
    </row>
    <row r="73" spans="2:16" ht="11.25">
      <c r="B73" s="47" t="s">
        <v>32</v>
      </c>
      <c r="C73" s="135">
        <v>299.36916201117316</v>
      </c>
      <c r="D73" s="135">
        <v>444.90221229050275</v>
      </c>
      <c r="E73" s="135">
        <v>363.4323868131869</v>
      </c>
      <c r="F73" s="135">
        <v>436.2276747252748</v>
      </c>
      <c r="G73" s="136">
        <v>382.0567384615385</v>
      </c>
      <c r="H73" s="136">
        <v>262.971287912088</v>
      </c>
      <c r="I73" s="135">
        <v>275.3715692307693</v>
      </c>
      <c r="J73" s="135">
        <v>235.31657142857142</v>
      </c>
      <c r="K73" s="135">
        <v>150.526243902439</v>
      </c>
      <c r="L73" s="135">
        <v>212.95260162601625</v>
      </c>
      <c r="M73" s="135">
        <v>268.1524552845528</v>
      </c>
      <c r="N73" s="135">
        <v>324.9494634146342</v>
      </c>
      <c r="P73" s="143"/>
    </row>
    <row r="74" spans="2:16" ht="11.25">
      <c r="B74" s="47" t="s">
        <v>33</v>
      </c>
      <c r="C74" s="135">
        <v>1189.808</v>
      </c>
      <c r="D74" s="135">
        <v>1217.48</v>
      </c>
      <c r="E74" s="135">
        <v>1261.632</v>
      </c>
      <c r="F74" s="135">
        <v>1291.592</v>
      </c>
      <c r="G74" s="136">
        <v>1399.968</v>
      </c>
      <c r="H74" s="136">
        <v>1432.5680000000002</v>
      </c>
      <c r="I74" s="135">
        <v>1208.28</v>
      </c>
      <c r="J74" s="135">
        <v>1267.616</v>
      </c>
      <c r="K74" s="135">
        <v>1508.5120000000002</v>
      </c>
      <c r="L74" s="135">
        <v>1715.4240000000002</v>
      </c>
      <c r="M74" s="135">
        <v>1859.6560000000002</v>
      </c>
      <c r="N74" s="135">
        <v>1816.8400000000001</v>
      </c>
      <c r="P74" s="143"/>
    </row>
    <row r="75" spans="2:16" ht="11.25">
      <c r="B75" s="47" t="s">
        <v>34</v>
      </c>
      <c r="C75" s="135">
        <v>142.04000000000002</v>
      </c>
      <c r="D75" s="135">
        <v>165.69600000000003</v>
      </c>
      <c r="E75" s="135">
        <v>150.072</v>
      </c>
      <c r="F75" s="135">
        <v>138.856</v>
      </c>
      <c r="G75" s="136">
        <v>123.49600000000001</v>
      </c>
      <c r="H75" s="136">
        <v>135.408</v>
      </c>
      <c r="I75" s="135">
        <v>145.808</v>
      </c>
      <c r="J75" s="135">
        <v>152.824</v>
      </c>
      <c r="K75" s="135">
        <v>86.968</v>
      </c>
      <c r="L75" s="135">
        <v>107.78399999999999</v>
      </c>
      <c r="M75" s="135">
        <v>152.544</v>
      </c>
      <c r="N75" s="135">
        <v>185.48000000000002</v>
      </c>
      <c r="P75" s="143"/>
    </row>
    <row r="76" spans="2:16" ht="11.25">
      <c r="B76" s="47" t="s">
        <v>27</v>
      </c>
      <c r="C76" s="137">
        <v>-24.73</v>
      </c>
      <c r="D76" s="137">
        <v>-9.94</v>
      </c>
      <c r="E76" s="137">
        <v>-46.2</v>
      </c>
      <c r="F76" s="137">
        <v>-52.58</v>
      </c>
      <c r="G76" s="138">
        <v>-48.34</v>
      </c>
      <c r="H76" s="138">
        <v>-46.82</v>
      </c>
      <c r="I76" s="135">
        <v>-57.68</v>
      </c>
      <c r="J76" s="135">
        <v>-51.06</v>
      </c>
      <c r="K76" s="135">
        <v>-77.32</v>
      </c>
      <c r="L76" s="135">
        <v>-65.19</v>
      </c>
      <c r="M76" s="135">
        <v>-73.39</v>
      </c>
      <c r="N76" s="135">
        <v>-55.61</v>
      </c>
      <c r="P76" s="143"/>
    </row>
    <row r="77" spans="2:16" ht="11.25">
      <c r="B77" s="70" t="s">
        <v>77</v>
      </c>
      <c r="C77" s="137">
        <v>0</v>
      </c>
      <c r="D77" s="137">
        <v>0</v>
      </c>
      <c r="E77" s="137">
        <v>0</v>
      </c>
      <c r="F77" s="137">
        <v>0</v>
      </c>
      <c r="G77" s="138">
        <v>0</v>
      </c>
      <c r="H77" s="138">
        <v>0</v>
      </c>
      <c r="I77" s="137">
        <v>0</v>
      </c>
      <c r="J77" s="137">
        <v>0</v>
      </c>
      <c r="K77" s="137">
        <v>0</v>
      </c>
      <c r="L77" s="137">
        <v>0</v>
      </c>
      <c r="M77" s="137">
        <v>0</v>
      </c>
      <c r="N77" s="137">
        <v>0</v>
      </c>
      <c r="P77" s="143"/>
    </row>
    <row r="78" spans="2:14" ht="11.25">
      <c r="B78" s="47" t="s">
        <v>35</v>
      </c>
      <c r="C78" s="137">
        <v>-78.93</v>
      </c>
      <c r="D78" s="137">
        <v>-83.88</v>
      </c>
      <c r="E78" s="137">
        <v>-83.07</v>
      </c>
      <c r="F78" s="137">
        <v>-80.11</v>
      </c>
      <c r="G78" s="138">
        <v>-81.75</v>
      </c>
      <c r="H78" s="138">
        <v>-81.75</v>
      </c>
      <c r="I78" s="137">
        <v>-74.78</v>
      </c>
      <c r="J78" s="137">
        <v>-82.44</v>
      </c>
      <c r="K78" s="137">
        <v>-80.13</v>
      </c>
      <c r="L78" s="137">
        <v>-78.41</v>
      </c>
      <c r="M78" s="137">
        <v>-77.54</v>
      </c>
      <c r="N78" s="137">
        <v>-87.38</v>
      </c>
    </row>
    <row r="79" spans="2:15" ht="11.25">
      <c r="B79" s="47" t="s">
        <v>36</v>
      </c>
      <c r="C79" s="135">
        <v>46.64</v>
      </c>
      <c r="D79" s="135">
        <v>64.08800000000001</v>
      </c>
      <c r="E79" s="135">
        <v>50.080000000000005</v>
      </c>
      <c r="F79" s="135">
        <v>57.176</v>
      </c>
      <c r="G79" s="136">
        <v>53.29600000000001</v>
      </c>
      <c r="H79" s="136">
        <v>60.592</v>
      </c>
      <c r="I79" s="135">
        <v>32.848000000000006</v>
      </c>
      <c r="J79" s="135">
        <v>-8.57</v>
      </c>
      <c r="K79" s="135">
        <v>-3.4</v>
      </c>
      <c r="L79" s="135">
        <v>-23.28</v>
      </c>
      <c r="M79" s="135">
        <v>-17.3</v>
      </c>
      <c r="N79" s="137">
        <v>-7.91</v>
      </c>
      <c r="O79" s="87">
        <f>SUM(C69:N79)</f>
        <v>24688.362367100748</v>
      </c>
    </row>
    <row r="80" ht="7.5" customHeight="1"/>
    <row r="81" ht="11.25">
      <c r="A81" s="61" t="s">
        <v>41</v>
      </c>
    </row>
    <row r="82" spans="2:15" ht="11.25">
      <c r="B82" s="47" t="s">
        <v>16</v>
      </c>
      <c r="C82" s="76">
        <f>+C69*C55</f>
        <v>0</v>
      </c>
      <c r="D82" s="57">
        <f aca="true" t="shared" si="30" ref="D82:M82">+D69*D55</f>
        <v>0</v>
      </c>
      <c r="E82" s="57">
        <f t="shared" si="30"/>
        <v>0</v>
      </c>
      <c r="F82" s="57">
        <f t="shared" si="30"/>
        <v>0</v>
      </c>
      <c r="G82" s="57">
        <f t="shared" si="30"/>
        <v>0</v>
      </c>
      <c r="H82" s="57">
        <f t="shared" si="30"/>
        <v>0</v>
      </c>
      <c r="I82" s="57">
        <f t="shared" si="30"/>
        <v>0</v>
      </c>
      <c r="J82" s="57">
        <f t="shared" si="30"/>
        <v>0</v>
      </c>
      <c r="K82" s="57">
        <f t="shared" si="30"/>
        <v>0</v>
      </c>
      <c r="L82" s="147">
        <f t="shared" si="30"/>
        <v>0</v>
      </c>
      <c r="M82" s="57">
        <f t="shared" si="30"/>
        <v>0</v>
      </c>
      <c r="N82" s="57">
        <f>+N69*N55</f>
        <v>0</v>
      </c>
      <c r="O82" s="87">
        <f aca="true" t="shared" si="31" ref="O82:O92">SUM(C82:N82)</f>
        <v>0</v>
      </c>
    </row>
    <row r="83" spans="2:15" ht="11.25">
      <c r="B83" s="47" t="s">
        <v>20</v>
      </c>
      <c r="C83" s="76">
        <f aca="true" t="shared" si="32" ref="C83:N83">+C70*C56</f>
        <v>2889.0203182719997</v>
      </c>
      <c r="D83" s="57">
        <f t="shared" si="32"/>
        <v>4079.726887984</v>
      </c>
      <c r="E83" s="57">
        <f t="shared" si="32"/>
        <v>3249.1889342640006</v>
      </c>
      <c r="F83" s="57">
        <f t="shared" si="32"/>
        <v>3630.639096792001</v>
      </c>
      <c r="G83" s="57">
        <f t="shared" si="32"/>
        <v>3612.904110000001</v>
      </c>
      <c r="H83" s="57">
        <f t="shared" si="32"/>
        <v>3385.1062356480006</v>
      </c>
      <c r="I83" s="57">
        <f t="shared" si="32"/>
        <v>3281.938088256001</v>
      </c>
      <c r="J83" s="57">
        <f t="shared" si="32"/>
        <v>2459.4268053600003</v>
      </c>
      <c r="K83" s="57">
        <f t="shared" si="32"/>
        <v>2403.9144208800008</v>
      </c>
      <c r="L83" s="147">
        <f t="shared" si="32"/>
        <v>2336.9822028000003</v>
      </c>
      <c r="M83" s="57">
        <f t="shared" si="32"/>
        <v>2569.5082929600003</v>
      </c>
      <c r="N83" s="57">
        <f t="shared" si="32"/>
        <v>2420.9883936000006</v>
      </c>
      <c r="O83" s="87">
        <f t="shared" si="31"/>
        <v>36319.343786815996</v>
      </c>
    </row>
    <row r="84" spans="2:15" ht="11.25">
      <c r="B84" s="47" t="s">
        <v>30</v>
      </c>
      <c r="C84" s="76">
        <f aca="true" t="shared" si="33" ref="C84:N84">+C71*C57</f>
        <v>0</v>
      </c>
      <c r="D84" s="57">
        <f t="shared" si="33"/>
        <v>0</v>
      </c>
      <c r="E84" s="57">
        <f t="shared" si="33"/>
        <v>0</v>
      </c>
      <c r="F84" s="57">
        <f t="shared" si="33"/>
        <v>0</v>
      </c>
      <c r="G84" s="57">
        <f t="shared" si="33"/>
        <v>0</v>
      </c>
      <c r="H84" s="57">
        <f t="shared" si="33"/>
        <v>0</v>
      </c>
      <c r="I84" s="57">
        <f t="shared" si="33"/>
        <v>0</v>
      </c>
      <c r="J84" s="57">
        <f t="shared" si="33"/>
        <v>0</v>
      </c>
      <c r="K84" s="57">
        <f t="shared" si="33"/>
        <v>0</v>
      </c>
      <c r="L84" s="147">
        <f t="shared" si="33"/>
        <v>0</v>
      </c>
      <c r="M84" s="57">
        <f t="shared" si="33"/>
        <v>0</v>
      </c>
      <c r="N84" s="57">
        <f t="shared" si="33"/>
        <v>0</v>
      </c>
      <c r="O84" s="87">
        <f t="shared" si="31"/>
        <v>0</v>
      </c>
    </row>
    <row r="85" spans="2:15" ht="11.25">
      <c r="B85" s="47" t="s">
        <v>31</v>
      </c>
      <c r="C85" s="76">
        <f aca="true" t="shared" si="34" ref="C85:N85">+C72*C58</f>
        <v>222.41373388800002</v>
      </c>
      <c r="D85" s="57">
        <f t="shared" si="34"/>
        <v>318.314581584</v>
      </c>
      <c r="E85" s="57">
        <f t="shared" si="34"/>
        <v>260.82372512</v>
      </c>
      <c r="F85" s="57">
        <f t="shared" si="34"/>
        <v>256.22889158400005</v>
      </c>
      <c r="G85" s="57">
        <f t="shared" si="34"/>
        <v>218.676472</v>
      </c>
      <c r="H85" s="57">
        <f t="shared" si="34"/>
        <v>208.897911936</v>
      </c>
      <c r="I85" s="57">
        <f t="shared" si="34"/>
        <v>245.491364736</v>
      </c>
      <c r="J85" s="57">
        <f t="shared" si="34"/>
        <v>209.34503756799998</v>
      </c>
      <c r="K85" s="57">
        <f t="shared" si="34"/>
        <v>182.27216196000006</v>
      </c>
      <c r="L85" s="147">
        <f t="shared" si="34"/>
        <v>160.05872736</v>
      </c>
      <c r="M85" s="57">
        <f t="shared" si="34"/>
        <v>186.29261313599997</v>
      </c>
      <c r="N85" s="57">
        <f t="shared" si="34"/>
        <v>203.74848681600002</v>
      </c>
      <c r="O85" s="87">
        <f t="shared" si="31"/>
        <v>2672.5637076880002</v>
      </c>
    </row>
    <row r="86" spans="2:15" ht="11.25">
      <c r="B86" s="47" t="s">
        <v>32</v>
      </c>
      <c r="C86" s="76">
        <f aca="true" t="shared" si="35" ref="C86:N86">+C73*C59</f>
        <v>959.8517769599999</v>
      </c>
      <c r="D86" s="57">
        <f t="shared" si="35"/>
        <v>1719.0549886559998</v>
      </c>
      <c r="E86" s="57">
        <f t="shared" si="35"/>
        <v>1494.3740082320003</v>
      </c>
      <c r="F86" s="57">
        <f t="shared" si="35"/>
        <v>1947.7194882960007</v>
      </c>
      <c r="G86" s="57">
        <f t="shared" si="35"/>
        <v>1621.0189842</v>
      </c>
      <c r="H86" s="57">
        <f t="shared" si="35"/>
        <v>1058.5606777920002</v>
      </c>
      <c r="I86" s="57">
        <f t="shared" si="35"/>
        <v>1259.5812253920003</v>
      </c>
      <c r="J86" s="57">
        <f t="shared" si="35"/>
        <v>872.9338831199999</v>
      </c>
      <c r="K86" s="57">
        <f t="shared" si="35"/>
        <v>819.609979104</v>
      </c>
      <c r="L86" s="147">
        <f t="shared" si="35"/>
        <v>869.0893806</v>
      </c>
      <c r="M86" s="57">
        <f t="shared" si="35"/>
        <v>1243.0539573759997</v>
      </c>
      <c r="N86" s="57">
        <f t="shared" si="35"/>
        <v>1401.1456919040002</v>
      </c>
      <c r="O86" s="87">
        <f t="shared" si="31"/>
        <v>15265.994041632002</v>
      </c>
    </row>
    <row r="87" spans="2:15" ht="11.25">
      <c r="B87" s="47" t="s">
        <v>33</v>
      </c>
      <c r="C87" s="76">
        <f aca="true" t="shared" si="36" ref="C87:N87">+C74*C60</f>
        <v>1736.915033024</v>
      </c>
      <c r="D87" s="57">
        <f t="shared" si="36"/>
        <v>2141.8626473199997</v>
      </c>
      <c r="E87" s="57">
        <f t="shared" si="36"/>
        <v>2006.6408355840003</v>
      </c>
      <c r="F87" s="57">
        <f t="shared" si="36"/>
        <v>2230.6930440960004</v>
      </c>
      <c r="G87" s="57">
        <f t="shared" si="36"/>
        <v>2297.6274816</v>
      </c>
      <c r="H87" s="57">
        <f t="shared" si="36"/>
        <v>2230.6115208960005</v>
      </c>
      <c r="I87" s="57">
        <f t="shared" si="36"/>
        <v>2137.8436358400004</v>
      </c>
      <c r="J87" s="57">
        <f t="shared" si="36"/>
        <v>1818.9376916480003</v>
      </c>
      <c r="K87" s="57">
        <f t="shared" si="36"/>
        <v>2971.657010112001</v>
      </c>
      <c r="L87" s="147">
        <f t="shared" si="36"/>
        <v>2532.84069024</v>
      </c>
      <c r="M87" s="57">
        <f t="shared" si="36"/>
        <v>3118.8588320960002</v>
      </c>
      <c r="N87" s="57">
        <f t="shared" si="36"/>
        <v>2834.2558652800003</v>
      </c>
      <c r="O87" s="87">
        <f t="shared" si="31"/>
        <v>28058.744287736004</v>
      </c>
    </row>
    <row r="88" spans="2:15" ht="11.25">
      <c r="B88" s="47" t="s">
        <v>34</v>
      </c>
      <c r="C88" s="76">
        <f aca="true" t="shared" si="37" ref="C88:N88">+C75*C61</f>
        <v>26.714315040000002</v>
      </c>
      <c r="D88" s="57">
        <f t="shared" si="37"/>
        <v>37.555495488</v>
      </c>
      <c r="E88" s="57">
        <f t="shared" si="37"/>
        <v>28.480213944</v>
      </c>
      <c r="F88" s="57">
        <f t="shared" si="37"/>
        <v>28.614472488</v>
      </c>
      <c r="G88" s="57">
        <f t="shared" si="37"/>
        <v>24.1836042</v>
      </c>
      <c r="H88" s="57">
        <f t="shared" si="37"/>
        <v>25.157046095999995</v>
      </c>
      <c r="I88" s="57">
        <f t="shared" si="37"/>
        <v>30.781964304</v>
      </c>
      <c r="J88" s="57">
        <f t="shared" si="37"/>
        <v>26.165455512</v>
      </c>
      <c r="K88" s="57">
        <f t="shared" si="37"/>
        <v>18.287022264000004</v>
      </c>
      <c r="L88" s="147">
        <f t="shared" si="37"/>
        <v>16.98729732</v>
      </c>
      <c r="M88" s="57">
        <f t="shared" si="37"/>
        <v>27.308121792000005</v>
      </c>
      <c r="N88" s="57">
        <f t="shared" si="37"/>
        <v>30.88538768</v>
      </c>
      <c r="O88" s="87">
        <f t="shared" si="31"/>
        <v>321.120396128</v>
      </c>
    </row>
    <row r="89" spans="2:15" ht="11.25">
      <c r="B89" s="47" t="s">
        <v>27</v>
      </c>
      <c r="C89" s="76">
        <f aca="true" t="shared" si="38" ref="C89:N89">+C76*C62</f>
        <v>-274.6375312</v>
      </c>
      <c r="D89" s="57">
        <f t="shared" si="38"/>
        <v>-133.0302008</v>
      </c>
      <c r="E89" s="57">
        <f t="shared" si="38"/>
        <v>-697.6582074</v>
      </c>
      <c r="F89" s="57">
        <f t="shared" si="38"/>
        <v>-862.1817593400001</v>
      </c>
      <c r="G89" s="57">
        <f t="shared" si="38"/>
        <v>-753.2375055</v>
      </c>
      <c r="H89" s="57">
        <f t="shared" si="38"/>
        <v>-692.15583834</v>
      </c>
      <c r="I89" s="57">
        <f t="shared" si="38"/>
        <v>-968.9411138400001</v>
      </c>
      <c r="J89" s="57">
        <f t="shared" si="38"/>
        <v>-695.62423278</v>
      </c>
      <c r="K89" s="57">
        <f t="shared" si="38"/>
        <v>-1518.868281</v>
      </c>
      <c r="L89" s="147">
        <f t="shared" si="38"/>
        <v>-959.8331137499999</v>
      </c>
      <c r="M89" s="57">
        <f t="shared" si="38"/>
        <v>-1227.3780295</v>
      </c>
      <c r="N89" s="57">
        <f t="shared" si="38"/>
        <v>-865.074721</v>
      </c>
      <c r="O89" s="87">
        <f t="shared" si="31"/>
        <v>-9648.620534450001</v>
      </c>
    </row>
    <row r="90" spans="2:15" ht="11.25">
      <c r="B90" s="70" t="s">
        <v>77</v>
      </c>
      <c r="C90" s="76">
        <f aca="true" t="shared" si="39" ref="C90:N90">+C77*C63</f>
        <v>0</v>
      </c>
      <c r="D90" s="57">
        <f t="shared" si="39"/>
        <v>0</v>
      </c>
      <c r="E90" s="57">
        <f t="shared" si="39"/>
        <v>0</v>
      </c>
      <c r="F90" s="57">
        <f t="shared" si="39"/>
        <v>0</v>
      </c>
      <c r="G90" s="57">
        <f t="shared" si="39"/>
        <v>0</v>
      </c>
      <c r="H90" s="57">
        <f t="shared" si="39"/>
        <v>0</v>
      </c>
      <c r="I90" s="57">
        <f t="shared" si="39"/>
        <v>0</v>
      </c>
      <c r="J90" s="57">
        <f t="shared" si="39"/>
        <v>0</v>
      </c>
      <c r="K90" s="57">
        <f t="shared" si="39"/>
        <v>0</v>
      </c>
      <c r="L90" s="147">
        <f t="shared" si="39"/>
        <v>0</v>
      </c>
      <c r="M90" s="57">
        <f t="shared" si="39"/>
        <v>0</v>
      </c>
      <c r="N90" s="57">
        <f t="shared" si="39"/>
        <v>0</v>
      </c>
      <c r="O90" s="87">
        <f t="shared" si="31"/>
        <v>0</v>
      </c>
    </row>
    <row r="91" spans="2:15" ht="11.25">
      <c r="B91" s="47" t="s">
        <v>35</v>
      </c>
      <c r="C91" s="76">
        <f aca="true" t="shared" si="40" ref="C91:N91">+C78*C64</f>
        <v>-1693.0185066000001</v>
      </c>
      <c r="D91" s="57">
        <f t="shared" si="40"/>
        <v>-2168.2338317999997</v>
      </c>
      <c r="E91" s="57">
        <f t="shared" si="40"/>
        <v>-1129.80890295</v>
      </c>
      <c r="F91" s="57">
        <f t="shared" si="40"/>
        <v>-1183.10974215</v>
      </c>
      <c r="G91" s="57">
        <f t="shared" si="40"/>
        <v>-1147.28971875</v>
      </c>
      <c r="H91" s="57">
        <f t="shared" si="40"/>
        <v>-1088.47958625</v>
      </c>
      <c r="I91" s="57">
        <f t="shared" si="40"/>
        <v>-1131.4038266999999</v>
      </c>
      <c r="J91" s="57">
        <f t="shared" si="40"/>
        <v>-1011.5606466</v>
      </c>
      <c r="K91" s="57">
        <f t="shared" si="40"/>
        <v>-1302.7073049900002</v>
      </c>
      <c r="L91" s="147">
        <f t="shared" si="40"/>
        <v>-955.45368555</v>
      </c>
      <c r="M91" s="57">
        <f t="shared" si="40"/>
        <v>-1073.22478172</v>
      </c>
      <c r="N91" s="57">
        <f t="shared" si="40"/>
        <v>-1124.95773208</v>
      </c>
      <c r="O91" s="87">
        <f t="shared" si="31"/>
        <v>-15009.24826614</v>
      </c>
    </row>
    <row r="92" spans="2:15" ht="11.25">
      <c r="B92" s="47" t="s">
        <v>36</v>
      </c>
      <c r="C92" s="77">
        <f aca="true" t="shared" si="41" ref="C92:N92">+C79*C65</f>
        <v>1348.7786153600002</v>
      </c>
      <c r="D92" s="68">
        <f t="shared" si="41"/>
        <v>2233.5050605360007</v>
      </c>
      <c r="E92" s="68">
        <f t="shared" si="41"/>
        <v>1579.9322033600006</v>
      </c>
      <c r="F92" s="68">
        <f t="shared" si="41"/>
        <v>1958.6886952079994</v>
      </c>
      <c r="G92" s="68">
        <f t="shared" si="41"/>
        <v>1734.9753332</v>
      </c>
      <c r="H92" s="68">
        <f t="shared" si="41"/>
        <v>1871.3764671840001</v>
      </c>
      <c r="I92" s="68">
        <f t="shared" si="41"/>
        <v>1152.801315504</v>
      </c>
      <c r="J92" s="68">
        <f t="shared" si="41"/>
        <v>-243.92039411</v>
      </c>
      <c r="K92" s="57">
        <f t="shared" si="41"/>
        <v>-124.54801800000001</v>
      </c>
      <c r="L92" s="147">
        <f t="shared" si="41"/>
        <v>-639.186156</v>
      </c>
      <c r="M92" s="57">
        <f t="shared" si="41"/>
        <v>-539.531986</v>
      </c>
      <c r="N92" s="57">
        <f t="shared" si="41"/>
        <v>-229.4599244</v>
      </c>
      <c r="O92" s="87">
        <f t="shared" si="31"/>
        <v>10103.411211842003</v>
      </c>
    </row>
    <row r="93" spans="1:15" ht="11.25">
      <c r="A93" s="61" t="s">
        <v>42</v>
      </c>
      <c r="B93" s="61"/>
      <c r="C93" s="78">
        <f aca="true" t="shared" si="42" ref="C93:N93">SUM(C82:C92)</f>
        <v>5216.037754743999</v>
      </c>
      <c r="D93" s="79">
        <f t="shared" si="42"/>
        <v>8228.755628968001</v>
      </c>
      <c r="E93" s="79">
        <f t="shared" si="42"/>
        <v>6791.972810154002</v>
      </c>
      <c r="F93" s="79">
        <f t="shared" si="42"/>
        <v>8007.292186974001</v>
      </c>
      <c r="G93" s="79">
        <f t="shared" si="42"/>
        <v>7608.858760950001</v>
      </c>
      <c r="H93" s="79">
        <f t="shared" si="42"/>
        <v>6999.074434962002</v>
      </c>
      <c r="I93" s="79">
        <f t="shared" si="42"/>
        <v>6008.092653492002</v>
      </c>
      <c r="J93" s="79">
        <f t="shared" si="42"/>
        <v>3435.7035997180005</v>
      </c>
      <c r="K93" s="86">
        <f t="shared" si="42"/>
        <v>3449.616990330002</v>
      </c>
      <c r="L93" s="149">
        <f t="shared" si="42"/>
        <v>3361.48534302</v>
      </c>
      <c r="M93" s="86">
        <f t="shared" si="42"/>
        <v>4304.8870201400005</v>
      </c>
      <c r="N93" s="86">
        <f t="shared" si="42"/>
        <v>4671.531447800001</v>
      </c>
      <c r="O93" s="87">
        <f>SUM(C93:N93)</f>
        <v>68083.30863125202</v>
      </c>
    </row>
    <row r="94" spans="1:15" ht="11.25">
      <c r="A94" s="61" t="s">
        <v>43</v>
      </c>
      <c r="B94" s="61"/>
      <c r="C94" s="78">
        <f aca="true" t="shared" si="43" ref="C94:N94">+C93/C66</f>
        <v>58.24070739999999</v>
      </c>
      <c r="D94" s="79">
        <f t="shared" si="43"/>
        <v>76.24159760000002</v>
      </c>
      <c r="E94" s="79">
        <f t="shared" si="43"/>
        <v>75.15738420000002</v>
      </c>
      <c r="F94" s="79">
        <f t="shared" si="43"/>
        <v>81.5988198</v>
      </c>
      <c r="G94" s="79">
        <f t="shared" si="43"/>
        <v>81.5963406</v>
      </c>
      <c r="H94" s="79">
        <f t="shared" si="43"/>
        <v>79.11240460000002</v>
      </c>
      <c r="I94" s="79">
        <f t="shared" si="43"/>
        <v>59.76417640000002</v>
      </c>
      <c r="J94" s="79">
        <f t="shared" si="43"/>
        <v>42.14036060000001</v>
      </c>
      <c r="K94" s="106">
        <f t="shared" si="43"/>
        <v>31.170299000000014</v>
      </c>
      <c r="L94" s="150">
        <f t="shared" si="43"/>
        <v>40.5242356</v>
      </c>
      <c r="M94" s="106">
        <f t="shared" si="43"/>
        <v>45.68973700000001</v>
      </c>
      <c r="N94" s="106">
        <f t="shared" si="43"/>
        <v>53.30364500000001</v>
      </c>
      <c r="O94" s="87"/>
    </row>
    <row r="95" ht="7.5" customHeight="1"/>
    <row r="96" spans="1:14" ht="11.25">
      <c r="A96" s="61"/>
      <c r="C96" s="87">
        <v>58.24</v>
      </c>
      <c r="D96" s="87">
        <v>76.24</v>
      </c>
      <c r="E96" s="87">
        <v>75.16</v>
      </c>
      <c r="F96" s="87">
        <v>81.6</v>
      </c>
      <c r="G96" s="87">
        <v>81.6</v>
      </c>
      <c r="H96" s="87">
        <v>79.11</v>
      </c>
      <c r="I96" s="87">
        <v>59.76</v>
      </c>
      <c r="J96" s="87">
        <v>42.14</v>
      </c>
      <c r="K96" s="87">
        <v>31.17</v>
      </c>
      <c r="L96" s="87">
        <v>40.52</v>
      </c>
      <c r="M96" s="87">
        <v>45.69</v>
      </c>
      <c r="N96" s="87">
        <v>53.3</v>
      </c>
    </row>
    <row r="97" spans="3:14" ht="11.25">
      <c r="C97" s="76">
        <f>C94-C96</f>
        <v>0.0007073999999889224</v>
      </c>
      <c r="D97" s="76">
        <f aca="true" t="shared" si="44" ref="D97:N97">D94-D96</f>
        <v>0.0015976000000250679</v>
      </c>
      <c r="E97" s="76">
        <f t="shared" si="44"/>
        <v>-0.0026157999999725234</v>
      </c>
      <c r="F97" s="76">
        <f t="shared" si="44"/>
        <v>-0.0011801999999931923</v>
      </c>
      <c r="G97" s="76">
        <f t="shared" si="44"/>
        <v>-0.0036593999999894322</v>
      </c>
      <c r="H97" s="76">
        <f t="shared" si="44"/>
        <v>0.002404600000019741</v>
      </c>
      <c r="I97" s="76">
        <f t="shared" si="44"/>
        <v>0.004176400000019953</v>
      </c>
      <c r="J97" s="76">
        <f t="shared" si="44"/>
        <v>0.00036060000000759374</v>
      </c>
      <c r="K97" s="76">
        <f t="shared" si="44"/>
        <v>0.0002990000000124837</v>
      </c>
      <c r="L97" s="76">
        <f t="shared" si="44"/>
        <v>0.004235599999994122</v>
      </c>
      <c r="M97" s="76">
        <f t="shared" si="44"/>
        <v>-0.00026299999998968815</v>
      </c>
      <c r="N97" s="76">
        <f t="shared" si="44"/>
        <v>0.003645000000012999</v>
      </c>
    </row>
    <row r="98" spans="1:10" ht="11.25">
      <c r="A98" s="61"/>
      <c r="B98" s="61"/>
      <c r="C98" s="78"/>
      <c r="D98" s="78"/>
      <c r="E98" s="78"/>
      <c r="F98" s="78"/>
      <c r="G98" s="78"/>
      <c r="H98" s="78"/>
      <c r="I98" s="78"/>
      <c r="J98" s="82"/>
    </row>
    <row r="99" spans="3:10" ht="7.5" customHeight="1">
      <c r="C99" s="81"/>
      <c r="D99" s="81"/>
      <c r="E99" s="81"/>
      <c r="F99" s="81"/>
      <c r="G99" s="81"/>
      <c r="H99" s="81"/>
      <c r="I99" s="81"/>
      <c r="J99" s="81"/>
    </row>
    <row r="100" spans="1:10" ht="11.25">
      <c r="A100" s="61"/>
      <c r="B100" s="61"/>
      <c r="C100" s="82"/>
      <c r="D100" s="82"/>
      <c r="E100" s="82"/>
      <c r="F100" s="82"/>
      <c r="G100" s="82"/>
      <c r="H100" s="82"/>
      <c r="I100" s="82"/>
      <c r="J100" s="82"/>
    </row>
    <row r="101" spans="3:10" ht="7.5" customHeight="1">
      <c r="C101" s="81"/>
      <c r="D101" s="81"/>
      <c r="E101" s="81"/>
      <c r="F101" s="81"/>
      <c r="G101" s="81"/>
      <c r="H101" s="81"/>
      <c r="I101" s="81"/>
      <c r="J101" s="81"/>
    </row>
    <row r="102" spans="1:10" ht="11.25">
      <c r="A102" s="61"/>
      <c r="C102" s="80"/>
      <c r="D102" s="80"/>
      <c r="E102" s="80"/>
      <c r="F102" s="80"/>
      <c r="G102" s="80"/>
      <c r="H102" s="80"/>
      <c r="I102" s="80"/>
      <c r="J102" s="83"/>
    </row>
    <row r="105" ht="11.25">
      <c r="B105" s="47" t="str">
        <f ca="1">CELL("filename")</f>
        <v>Z:\Division\Accounting II\WUTC Filings\Commodity Credits\Filing June 2022\Lynnwood\[Lynnwood Multi Family Commodity Credit Template - June 2022.xls]WUTC_AW of Lynnwood_MF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7.7109375" style="0" bestFit="1" customWidth="1"/>
    <col min="2" max="5" width="11.28125" style="0" bestFit="1" customWidth="1"/>
    <col min="6" max="6" width="10.7109375" style="0" bestFit="1" customWidth="1"/>
  </cols>
  <sheetData>
    <row r="3" ht="13.5" thickBot="1"/>
    <row r="4" spans="1:3" ht="13.5" thickBot="1">
      <c r="A4" s="167" t="s">
        <v>85</v>
      </c>
      <c r="B4" s="168"/>
      <c r="C4" s="169"/>
    </row>
    <row r="6" spans="5:6" ht="12.75">
      <c r="E6" s="170" t="s">
        <v>86</v>
      </c>
      <c r="F6" s="170" t="s">
        <v>87</v>
      </c>
    </row>
    <row r="7" spans="1:6" ht="12.75">
      <c r="A7" t="s">
        <v>88</v>
      </c>
      <c r="C7" s="171">
        <f>C4</f>
        <v>0</v>
      </c>
      <c r="E7" s="173" t="e">
        <f>C7*E12</f>
        <v>#DIV/0!</v>
      </c>
      <c r="F7" s="172" t="e">
        <f>C7*F12</f>
        <v>#DIV/0!</v>
      </c>
    </row>
    <row r="11" spans="1:6" ht="12.75">
      <c r="A11" t="s">
        <v>89</v>
      </c>
      <c r="B11" t="s">
        <v>90</v>
      </c>
      <c r="C11" t="s">
        <v>91</v>
      </c>
      <c r="D11" t="s">
        <v>22</v>
      </c>
      <c r="E11" t="s">
        <v>92</v>
      </c>
      <c r="F11" t="s">
        <v>93</v>
      </c>
    </row>
    <row r="12" spans="1:6" ht="12.75">
      <c r="A12">
        <v>4197</v>
      </c>
      <c r="B12" s="173"/>
      <c r="C12" s="173"/>
      <c r="D12" s="173">
        <f>B12+C12</f>
        <v>0</v>
      </c>
      <c r="E12" s="174" t="e">
        <f>B12/$D$12</f>
        <v>#DIV/0!</v>
      </c>
      <c r="F12" s="174" t="e">
        <f>C12/$D$12</f>
        <v>#DIV/0!</v>
      </c>
    </row>
    <row r="20" spans="1:5" ht="12.75">
      <c r="A20" s="165" t="s">
        <v>94</v>
      </c>
      <c r="E20" s="171" t="e">
        <f>F7</f>
        <v>#DIV/0!</v>
      </c>
    </row>
    <row r="22" spans="1:5" ht="12.75">
      <c r="A22" s="165" t="s">
        <v>96</v>
      </c>
      <c r="E22" s="175">
        <f>'WUTC_AW of Lynnwood_MF'!B26</f>
        <v>99388.68</v>
      </c>
    </row>
    <row r="24" spans="1:5" ht="12.75">
      <c r="A24" s="165" t="s">
        <v>95</v>
      </c>
      <c r="E24" s="176" t="e">
        <f>E20/E22</f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H1:S25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30.28125" style="0" bestFit="1" customWidth="1"/>
    <col min="10" max="10" width="12.28125" style="0" bestFit="1" customWidth="1"/>
    <col min="12" max="12" width="18.421875" style="0" bestFit="1" customWidth="1"/>
    <col min="14" max="14" width="24.8515625" style="0" bestFit="1" customWidth="1"/>
    <col min="17" max="17" width="19.421875" style="0" bestFit="1" customWidth="1"/>
    <col min="19" max="19" width="12.28125" style="0" bestFit="1" customWidth="1"/>
  </cols>
  <sheetData>
    <row r="1" spans="8:19" ht="12.75">
      <c r="H1" t="s">
        <v>97</v>
      </c>
      <c r="Q1" s="178" t="s">
        <v>98</v>
      </c>
      <c r="S1" t="s">
        <v>99</v>
      </c>
    </row>
    <row r="2" spans="8:17" ht="15.75">
      <c r="H2" t="s">
        <v>22</v>
      </c>
      <c r="I2" s="179" t="str">
        <f>"Revenue Retained "</f>
        <v>Revenue Retained </v>
      </c>
      <c r="J2" s="180"/>
      <c r="K2" s="181"/>
      <c r="L2" s="180"/>
      <c r="M2" s="181"/>
      <c r="N2" s="181"/>
      <c r="O2" s="182"/>
      <c r="Q2" s="178"/>
    </row>
    <row r="3" spans="9:17" ht="12.75">
      <c r="I3" s="183" t="s">
        <v>115</v>
      </c>
      <c r="J3" s="184"/>
      <c r="K3" s="185"/>
      <c r="L3" s="184"/>
      <c r="M3" s="185"/>
      <c r="N3" s="185"/>
      <c r="O3" s="186"/>
      <c r="Q3" s="178"/>
    </row>
    <row r="4" spans="9:19" ht="13.5" thickBot="1">
      <c r="I4" s="165"/>
      <c r="J4" s="187" t="s">
        <v>22</v>
      </c>
      <c r="K4" s="165"/>
      <c r="L4" s="188" t="s">
        <v>100</v>
      </c>
      <c r="M4" s="165"/>
      <c r="N4" s="189" t="s">
        <v>101</v>
      </c>
      <c r="O4" s="165"/>
      <c r="Q4" s="178" t="s">
        <v>102</v>
      </c>
      <c r="S4" t="s">
        <v>99</v>
      </c>
    </row>
    <row r="5" spans="9:19" ht="12.75">
      <c r="I5" t="s">
        <v>103</v>
      </c>
      <c r="J5" s="190">
        <f>L5*2</f>
        <v>395701.08</v>
      </c>
      <c r="K5" s="165"/>
      <c r="L5" s="191">
        <f>L13+L22</f>
        <v>197850.54</v>
      </c>
      <c r="M5" s="165"/>
      <c r="N5" s="191">
        <f>L5</f>
        <v>197850.54</v>
      </c>
      <c r="O5" s="165"/>
      <c r="Q5" s="178">
        <f>Q13+Q22</f>
        <v>197761.41619709606</v>
      </c>
      <c r="S5" s="192">
        <f>L5-Q5</f>
        <v>89.12380290395231</v>
      </c>
    </row>
    <row r="6" spans="9:19" ht="12.75">
      <c r="I6" t="s">
        <v>104</v>
      </c>
      <c r="J6" s="190">
        <f>L6*2</f>
        <v>68085.58</v>
      </c>
      <c r="K6" s="165"/>
      <c r="L6" s="191">
        <f>L14+L23</f>
        <v>34042.79</v>
      </c>
      <c r="M6" s="165"/>
      <c r="N6" s="191">
        <f>L6</f>
        <v>34042.79</v>
      </c>
      <c r="O6" s="165"/>
      <c r="Q6" s="178">
        <f>Q14+Q23</f>
        <v>34026.21</v>
      </c>
      <c r="S6" s="192">
        <f>L6-Q6</f>
        <v>16.580000000001746</v>
      </c>
    </row>
    <row r="8" spans="9:19" ht="13.5" thickBot="1">
      <c r="I8" s="193" t="s">
        <v>105</v>
      </c>
      <c r="J8" s="194">
        <f>SUM(J5:J6)</f>
        <v>463786.66000000003</v>
      </c>
      <c r="K8" s="165"/>
      <c r="L8" s="194">
        <f>SUM(L5:L6)</f>
        <v>231893.33000000002</v>
      </c>
      <c r="M8" s="195"/>
      <c r="N8" s="194">
        <f>SUM(N5:N6)</f>
        <v>231893.33000000002</v>
      </c>
      <c r="O8" s="192"/>
      <c r="Q8" s="194">
        <f>SUM(Q5:Q6)</f>
        <v>231787.62619709605</v>
      </c>
      <c r="S8" s="194">
        <f>L8-Q8</f>
        <v>105.70380290396861</v>
      </c>
    </row>
    <row r="10" spans="8:15" ht="15.75">
      <c r="H10" t="s">
        <v>106</v>
      </c>
      <c r="I10" s="179" t="str">
        <f>"Revenue Retained "</f>
        <v>Revenue Retained </v>
      </c>
      <c r="J10" s="180"/>
      <c r="K10" s="181"/>
      <c r="L10" s="180"/>
      <c r="M10" s="181"/>
      <c r="N10" s="181"/>
      <c r="O10" s="182"/>
    </row>
    <row r="11" ht="12.75">
      <c r="I11" s="183" t="s">
        <v>116</v>
      </c>
    </row>
    <row r="12" spans="10:19" ht="13.5" thickBot="1">
      <c r="J12" s="187" t="s">
        <v>22</v>
      </c>
      <c r="K12" s="165"/>
      <c r="L12" s="188" t="s">
        <v>100</v>
      </c>
      <c r="M12" s="165"/>
      <c r="N12" s="189" t="s">
        <v>101</v>
      </c>
      <c r="Q12" s="178" t="s">
        <v>102</v>
      </c>
      <c r="S12" t="s">
        <v>99</v>
      </c>
    </row>
    <row r="13" spans="9:19" ht="12.75">
      <c r="I13" t="s">
        <v>103</v>
      </c>
      <c r="J13" s="190">
        <f>L13*2</f>
        <v>395701.08</v>
      </c>
      <c r="K13" s="165"/>
      <c r="L13" s="196">
        <v>197850.54</v>
      </c>
      <c r="M13" s="165"/>
      <c r="N13" s="191">
        <f>L13</f>
        <v>197850.54</v>
      </c>
      <c r="Q13" s="197">
        <v>197761.41619709606</v>
      </c>
      <c r="S13" s="192">
        <f>L13-Q13</f>
        <v>89.12380290395231</v>
      </c>
    </row>
    <row r="14" spans="9:19" ht="12.75">
      <c r="I14" t="s">
        <v>104</v>
      </c>
      <c r="J14" s="190">
        <f>L14*2</f>
        <v>68085.58</v>
      </c>
      <c r="K14" s="165"/>
      <c r="L14" s="196">
        <v>34042.79</v>
      </c>
      <c r="M14" s="165"/>
      <c r="N14" s="191">
        <f>L14</f>
        <v>34042.79</v>
      </c>
      <c r="Q14" s="197">
        <v>34026.21</v>
      </c>
      <c r="S14" s="192">
        <f>L14-Q14</f>
        <v>16.580000000001746</v>
      </c>
    </row>
    <row r="16" spans="9:19" ht="13.5" thickBot="1">
      <c r="I16" s="193" t="s">
        <v>105</v>
      </c>
      <c r="J16" s="194">
        <f>SUM(J13:J14)</f>
        <v>463786.66000000003</v>
      </c>
      <c r="K16" s="165"/>
      <c r="L16" s="194">
        <f>SUM(L13:L14)</f>
        <v>231893.33000000002</v>
      </c>
      <c r="M16" s="195"/>
      <c r="N16" s="194">
        <f>SUM(N13:N14)</f>
        <v>231893.33000000002</v>
      </c>
      <c r="Q16" s="194">
        <f>SUM(Q13:Q14)</f>
        <v>231787.62619709605</v>
      </c>
      <c r="S16" s="194">
        <f>L16-Q16</f>
        <v>105.70380290396861</v>
      </c>
    </row>
    <row r="18" spans="8:14" ht="15.75">
      <c r="H18" t="s">
        <v>107</v>
      </c>
      <c r="I18" s="179" t="str">
        <f>"Revenue Retained "</f>
        <v>Revenue Retained </v>
      </c>
      <c r="J18" s="180"/>
      <c r="K18" s="181"/>
      <c r="L18" s="180"/>
      <c r="M18" s="181"/>
      <c r="N18" s="181"/>
    </row>
    <row r="19" spans="9:14" ht="12.75">
      <c r="I19" s="183" t="s">
        <v>117</v>
      </c>
      <c r="J19" s="184"/>
      <c r="K19" s="185"/>
      <c r="L19" s="184"/>
      <c r="M19" s="185"/>
      <c r="N19" s="185"/>
    </row>
    <row r="21" spans="10:19" ht="13.5" thickBot="1">
      <c r="J21" s="187" t="s">
        <v>22</v>
      </c>
      <c r="K21" s="165"/>
      <c r="L21" s="188" t="s">
        <v>100</v>
      </c>
      <c r="M21" s="165"/>
      <c r="N21" s="189" t="s">
        <v>101</v>
      </c>
      <c r="Q21" s="178" t="s">
        <v>102</v>
      </c>
      <c r="S21" t="s">
        <v>99</v>
      </c>
    </row>
    <row r="22" spans="9:19" ht="12.75">
      <c r="I22" t="s">
        <v>103</v>
      </c>
      <c r="J22" s="190">
        <f>L22*2</f>
        <v>0</v>
      </c>
      <c r="K22" s="165"/>
      <c r="L22" s="196"/>
      <c r="M22" s="165"/>
      <c r="N22" s="191">
        <f>L22</f>
        <v>0</v>
      </c>
      <c r="Q22" s="197"/>
      <c r="S22" s="192">
        <f>L22-Q22</f>
        <v>0</v>
      </c>
    </row>
    <row r="23" spans="9:19" ht="12.75">
      <c r="I23" t="s">
        <v>104</v>
      </c>
      <c r="J23" s="190">
        <f>L23*2</f>
        <v>0</v>
      </c>
      <c r="K23" s="165"/>
      <c r="L23" s="196"/>
      <c r="M23" s="165"/>
      <c r="N23" s="191">
        <f>L23</f>
        <v>0</v>
      </c>
      <c r="Q23" s="197"/>
      <c r="S23" s="192">
        <f>L23-Q23</f>
        <v>0</v>
      </c>
    </row>
    <row r="25" spans="9:19" ht="13.5" thickBot="1">
      <c r="I25" s="193" t="s">
        <v>105</v>
      </c>
      <c r="J25" s="194">
        <f>SUM(J22:J23)</f>
        <v>0</v>
      </c>
      <c r="K25" s="165"/>
      <c r="L25" s="194">
        <f>SUM(L22:L23)</f>
        <v>0</v>
      </c>
      <c r="M25" s="195"/>
      <c r="N25" s="194">
        <f>SUM(N22:N23)</f>
        <v>0</v>
      </c>
      <c r="Q25" s="194">
        <f>SUM(Q22:Q23)</f>
        <v>0</v>
      </c>
      <c r="S25" s="194">
        <f>L25-Q25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Gualberto, Christopher</cp:lastModifiedBy>
  <cp:lastPrinted>2019-06-13T22:49:12Z</cp:lastPrinted>
  <dcterms:created xsi:type="dcterms:W3CDTF">2008-05-23T15:47:44Z</dcterms:created>
  <dcterms:modified xsi:type="dcterms:W3CDTF">2022-06-14T20:41:14Z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Workpapers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RABANCO LTD.            </vt:lpwstr>
  </property>
  <property fmtid="{D5CDD505-2E9C-101B-9397-08002B2CF9AE}" pid="8" name="IsConfidential">
    <vt:lpwstr>0</vt:lpwstr>
  </property>
  <property fmtid="{D5CDD505-2E9C-101B-9397-08002B2CF9AE}" pid="9" name="IsEFSEC">
    <vt:lpwstr>0</vt:lpwstr>
  </property>
  <property fmtid="{D5CDD505-2E9C-101B-9397-08002B2CF9AE}" pid="10" name="DocketNumber">
    <vt:lpwstr>220450</vt:lpwstr>
  </property>
  <property fmtid="{D5CDD505-2E9C-101B-9397-08002B2CF9AE}" pid="11" name="Date1">
    <vt:lpwstr>2022-06-15T00:00:00Z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2022-06-15T00:00:00Z</vt:lpwstr>
  </property>
  <property fmtid="{D5CDD505-2E9C-101B-9397-08002B2CF9AE}" pid="15" name="Prefix">
    <vt:lpwstr>TG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</Properties>
</file>