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544CE690-DC9C-4FC7-9646-EAA2BC2E6EC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19" i="4"/>
  <c r="D19" i="4"/>
  <c r="C5" i="4"/>
  <c r="C6" i="4"/>
  <c r="C7" i="4"/>
  <c r="C8" i="4"/>
  <c r="C9" i="4"/>
  <c r="D9" i="4"/>
  <c r="D8" i="4"/>
  <c r="D7" i="4"/>
  <c r="D6" i="4"/>
  <c r="D5" i="4"/>
  <c r="D4" i="4"/>
  <c r="U9" i="4"/>
  <c r="U8" i="4"/>
  <c r="U7" i="4"/>
  <c r="U6" i="4"/>
  <c r="U5" i="4"/>
  <c r="U4" i="4"/>
  <c r="T5" i="4"/>
  <c r="T6" i="4"/>
  <c r="T7" i="4"/>
  <c r="T8" i="4"/>
  <c r="T9" i="4"/>
  <c r="T4" i="4"/>
  <c r="C4" i="4"/>
  <c r="G23" i="1" l="1"/>
  <c r="G29" i="1"/>
  <c r="G30" i="1"/>
  <c r="G28" i="1"/>
  <c r="F6" i="8" l="1"/>
  <c r="G6" i="8" s="1"/>
  <c r="F7" i="8"/>
  <c r="G7" i="8" s="1"/>
  <c r="F8" i="8"/>
  <c r="F9" i="8"/>
  <c r="F10" i="8"/>
  <c r="G10" i="8" s="1"/>
  <c r="F11" i="8"/>
  <c r="F12" i="8"/>
  <c r="F13" i="8"/>
  <c r="F14" i="8"/>
  <c r="F15" i="8"/>
  <c r="G15" i="8" s="1"/>
  <c r="F16" i="8"/>
  <c r="G16" i="8" s="1"/>
  <c r="F17" i="8"/>
  <c r="F18" i="8"/>
  <c r="F19" i="8"/>
  <c r="F20" i="8"/>
  <c r="F21" i="8"/>
  <c r="F22" i="8"/>
  <c r="G22" i="8" s="1"/>
  <c r="F23" i="8"/>
  <c r="F24" i="8"/>
  <c r="F25" i="8"/>
  <c r="G25" i="8" s="1"/>
  <c r="F26" i="8"/>
  <c r="G26" i="8" s="1"/>
  <c r="F27" i="8"/>
  <c r="F28" i="8"/>
  <c r="G28" i="8" s="1"/>
  <c r="F29" i="8"/>
  <c r="F30" i="8"/>
  <c r="F31" i="8"/>
  <c r="F32" i="8"/>
  <c r="F33" i="8"/>
  <c r="F34" i="8"/>
  <c r="G34" i="8" s="1"/>
  <c r="F35" i="8"/>
  <c r="F36" i="8"/>
  <c r="F37" i="8"/>
  <c r="F38" i="8"/>
  <c r="F39" i="8"/>
  <c r="F40" i="8"/>
  <c r="G40" i="8" s="1"/>
  <c r="F41" i="8"/>
  <c r="G41" i="8" s="1"/>
  <c r="F42" i="8"/>
  <c r="G42" i="8" s="1"/>
  <c r="F43" i="8"/>
  <c r="F44" i="8"/>
  <c r="G44" i="8" s="1"/>
  <c r="F45" i="8"/>
  <c r="F46" i="8"/>
  <c r="F47" i="8"/>
  <c r="G47" i="8" s="1"/>
  <c r="F48" i="8"/>
  <c r="F49" i="8"/>
  <c r="F50" i="8"/>
  <c r="F51" i="8"/>
  <c r="G51" i="8" s="1"/>
  <c r="F52" i="8"/>
  <c r="F53" i="8"/>
  <c r="G53" i="8" s="1"/>
  <c r="F54" i="8"/>
  <c r="F55" i="8"/>
  <c r="F56" i="8"/>
  <c r="F57" i="8"/>
  <c r="F58" i="8"/>
  <c r="G58" i="8" s="1"/>
  <c r="F59" i="8"/>
  <c r="F5" i="8"/>
  <c r="F63" i="8" l="1"/>
  <c r="D20" i="1" s="1"/>
  <c r="B19" i="4"/>
  <c r="B18" i="4"/>
  <c r="B17" i="4"/>
  <c r="B16" i="4"/>
  <c r="B15" i="4"/>
  <c r="B14" i="4"/>
  <c r="B13" i="4"/>
  <c r="B12" i="4"/>
  <c r="B11" i="4"/>
  <c r="B10" i="4"/>
  <c r="B9" i="4"/>
  <c r="B8" i="4"/>
  <c r="B5" i="4" l="1"/>
  <c r="B4" i="4"/>
  <c r="B7" i="4" l="1"/>
  <c r="B6" i="4"/>
  <c r="D28" i="4" l="1"/>
  <c r="D29" i="4"/>
  <c r="D25" i="4"/>
  <c r="D26" i="4"/>
  <c r="C13" i="4" l="1"/>
  <c r="C14" i="4"/>
  <c r="C15" i="4"/>
  <c r="C16" i="4"/>
  <c r="C17" i="4"/>
  <c r="C18" i="4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E18" i="1"/>
  <c r="E20" i="1"/>
  <c r="F3" i="8" l="1"/>
  <c r="F18" i="1"/>
  <c r="G5" i="8" l="1"/>
  <c r="G36" i="8"/>
  <c r="G12" i="8"/>
  <c r="G43" i="8"/>
  <c r="G27" i="8"/>
  <c r="G54" i="8"/>
  <c r="G30" i="8"/>
  <c r="G49" i="8"/>
  <c r="G29" i="8"/>
  <c r="G9" i="8"/>
  <c r="G56" i="8"/>
  <c r="G32" i="8"/>
  <c r="G8" i="8"/>
  <c r="G39" i="8"/>
  <c r="G23" i="8"/>
  <c r="G50" i="8"/>
  <c r="G18" i="8"/>
  <c r="G45" i="8"/>
  <c r="G21" i="8"/>
  <c r="G52" i="8"/>
  <c r="G24" i="8"/>
  <c r="G59" i="8"/>
  <c r="G35" i="8"/>
  <c r="G19" i="8"/>
  <c r="G46" i="8"/>
  <c r="G14" i="8"/>
  <c r="G37" i="8"/>
  <c r="G17" i="8"/>
  <c r="G48" i="8"/>
  <c r="G20" i="8"/>
  <c r="G55" i="8"/>
  <c r="G31" i="8"/>
  <c r="G11" i="8"/>
  <c r="G38" i="8"/>
  <c r="G57" i="8"/>
  <c r="G33" i="8"/>
  <c r="G13" i="8"/>
  <c r="G63" i="8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</authors>
  <commentList>
    <comment ref="C5" authorId="0" shapeId="0" xr:uid="{2AC32EFB-395E-4228-B2F7-3A1CAABD9ED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Updated population number from 553,661 to 553,723 based on updated spreadsheet from Grant Forsyth for 2021.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F9A50C1A-6B30-49D3-AF2B-E0C46F8463C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CH4 and N2O adjustments for both Rathdrum units to unit 1
</t>
        </r>
      </text>
    </comment>
    <comment ref="U7" authorId="0" shapeId="0" xr:uid="{688D4440-A521-42C1-90CE-284F3B3928A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15% AVA ownership of Colstrip Unit 3 and added CH4 and N2O adjustments for both units to Unit 3
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<sst xmlns="http://schemas.openxmlformats.org/spreadsheetml/2006/main" count="525" uniqueCount="264">
  <si>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</si>
  <si>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</si>
  <si>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</si>
  <si>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</si>
  <si>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</si>
  <si>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</si>
  <si>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</si>
  <si>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</si>
  <si>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</si>
  <si>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</si>
  <si>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</si>
  <si>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</si>
  <si>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</si>
  <si>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</si>
  <si>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</si>
  <si>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</si>
  <si>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</si>
  <si>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</si>
  <si>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</si>
  <si>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</si>
  <si>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</si>
  <si>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</si>
  <si>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</si>
  <si>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</si>
  <si>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</si>
  <si>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</si>
  <si>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</si>
  <si>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</si>
  <si>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</si>
  <si>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</si>
  <si>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</si>
  <si>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</si>
  <si>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</si>
  <si>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</si>
  <si>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</si>
  <si>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</si>
  <si>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</si>
  <si>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</si>
  <si>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</si>
  <si>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</si>
  <si>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</si>
  <si>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</si>
  <si>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</si>
  <si>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</si>
  <si>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</si>
  <si>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</si>
  <si>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</si>
  <si>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</si>
  <si>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</si>
  <si>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</si>
  <si>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</si>
  <si>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</si>
  <si>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</si>
  <si>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</si>
  <si>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</si>
  <si>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</si>
  <si>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</si>
  <si>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</si>
  <si>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</si>
  <si>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</si>
  <si>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</si>
  <si>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</si>
  <si>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</si>
  <si>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</si>
  <si>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</si>
  <si>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</si>
  <si>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</si>
  <si>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</si>
  <si>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</si>
  <si>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</si>
  <si>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</si>
  <si>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</si>
  <si>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</si>
  <si>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</si>
  <si>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</si>
  <si>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</si>
  <si>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</si>
  <si>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</si>
  <si>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</si>
  <si>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</si>
  <si>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</si>
  <si>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</si>
  <si>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</si>
  <si>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</si>
  <si>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</si>
  <si>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</si>
  <si>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</si>
  <si>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</si>
  <si>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</si>
  <si>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</si>
  <si>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</si>
  <si>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</si>
  <si>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</si>
  <si>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</si>
  <si>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</si>
  <si>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</si>
  <si>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</si>
  <si>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</si>
  <si>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</si>
  <si>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</si>
  <si>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</si>
  <si>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</si>
  <si>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</si>
  <si>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</si>
  <si>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</si>
  <si>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</si>
  <si>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</si>
  <si>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</si>
  <si>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</si>
  <si>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</si>
  <si>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</si>
  <si>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</si>
  <si>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</si>
  <si>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</si>
  <si>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</si>
  <si>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</si>
  <si>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</si>
  <si>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</si>
  <si>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</si>
  <si>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</si>
  <si>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</si>
  <si>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</si>
  <si>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</si>
  <si>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</si>
  <si>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</si>
  <si>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</si>
  <si>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</si>
  <si>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</si>
  <si>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</si>
  <si>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</si>
  <si>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</si>
  <si>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</si>
  <si>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</si>
  <si>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</si>
  <si>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</si>
  <si>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</si>
  <si>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</si>
  <si>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</si>
  <si>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</si>
  <si>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</si>
  <si>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</si>
  <si>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</si>
  <si>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</si>
  <si>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</si>
  <si>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</si>
  <si>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</si>
  <si>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</si>
  <si>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</si>
  <si>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</si>
  <si>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</si>
  <si>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</si>
  <si>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</si>
  <si>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</si>
  <si>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</si>
  <si>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</si>
  <si>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</si>
  <si>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</si>
  <si>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</si>
  <si>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</si>
  <si>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</si>
  <si>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</si>
  <si>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</si>
  <si>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</si>
  <si>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</si>
  <si>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</si>
  <si>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</si>
  <si>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</si>
  <si>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</si>
  <si>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</si>
  <si>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Public Service Co. of CO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</si>
  <si>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</si>
  <si>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</si>
  <si>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</si>
  <si>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</si>
  <si>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</si>
  <si>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</si>
  <si>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</si>
  <si>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</si>
  <si>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</si>
  <si>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</si>
  <si>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</si>
  <si>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Rainbow Energy Marketing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</si>
  <si>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</si>
  <si>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</si>
  <si>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</si>
  <si>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</si>
  <si>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</si>
  <si>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</si>
  <si>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</si>
  <si>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</si>
  <si>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</si>
  <si>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</si>
  <si>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</si>
  <si>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</si>
  <si>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</si>
  <si>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</si>
  <si>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</si>
  <si>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</si>
  <si>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</si>
  <si>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</si>
  <si>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</si>
  <si>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</si>
  <si>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</si>
  <si>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</si>
  <si>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</si>
  <si>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Clearwater Power Company</t>
  </si>
  <si>
    <t>Energy Keepers Inc.</t>
  </si>
  <si>
    <t>Gridforce Energy Management LLC</t>
  </si>
  <si>
    <t>Idaho Cnty Light &amp; Power Coop</t>
  </si>
  <si>
    <t>Idaho Power Company Balancing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</si>
  <si>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</si>
  <si>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</si>
  <si>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</si>
  <si>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</si>
  <si>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</si>
  <si>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</si>
  <si>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</si>
  <si>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</si>
  <si>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 xml:space="preserve">2018 Data </t>
  </si>
  <si>
    <t>MWh</t>
  </si>
  <si>
    <t>MW</t>
  </si>
  <si>
    <t>Type</t>
  </si>
  <si>
    <t>Adams-Neilson Solar</t>
  </si>
  <si>
    <t>NaturEner Power Watch LLC</t>
  </si>
  <si>
    <t>PNGC Power Inc.</t>
  </si>
  <si>
    <t>Talen Energy Montana LLC</t>
  </si>
  <si>
    <t>The City of Cove (PURPA Hydro)</t>
  </si>
  <si>
    <t>Clark Fork Hydro (PURPA Hydro)</t>
  </si>
  <si>
    <t>Spokane County (Sewer Plant Digester)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</si>
  <si>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</si>
  <si>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</si>
  <si>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Calculation Based Methodology</t>
  </si>
  <si>
    <t>Step 1</t>
  </si>
  <si>
    <t>Step 2</t>
  </si>
  <si>
    <t>Step 3</t>
  </si>
  <si>
    <t>Step 4</t>
  </si>
  <si>
    <t>Step 5</t>
  </si>
  <si>
    <t>Step 6</t>
  </si>
  <si>
    <t>Year: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</si>
  <si>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</si>
  <si>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</si>
  <si>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</si>
  <si>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</si>
  <si>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</si>
  <si>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</si>
  <si>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</si>
  <si>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</si>
  <si>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</si>
  <si>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</si>
  <si>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</si>
  <si>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</si>
  <si>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Record</t>
  </si>
  <si>
    <t>MMBtu</t>
  </si>
  <si>
    <t>kg/Mmbtu</t>
  </si>
  <si>
    <t>Mmbtu/bbl</t>
  </si>
  <si>
    <t>CO2 Metric Tons</t>
  </si>
  <si>
    <t>CO2e Metric Tons</t>
  </si>
  <si>
    <t>Known Resources Serving WA - EIA</t>
  </si>
  <si>
    <t>Known Resources Serving WA - EPA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</si>
  <si>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</si>
  <si>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Washington Department of Ecology Unknown Resource Default Rate =</t>
  </si>
  <si>
    <t>Metric Tons CO2 from Purchases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</si>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</sst>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7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12" borderId="0" xfId="0" applyFill="1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176" fontId="0" fillId="12" borderId="0" xfId="0" applyNumberFormat="1" applyFill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D11" sqref="D1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4"/>
      <c r="B3" s="55" t="s">
        <v>8</v>
      </c>
      <c r="C3" s="56" t="s">
        <v>16</v>
      </c>
      <c r="D3" s="61"/>
      <c r="E3" s="59"/>
    </row>
    <row r="4" spans="1:11" x14ac:dyDescent="0.25">
      <c r="A4" s="164" t="s">
        <v>9</v>
      </c>
      <c r="B4" s="166"/>
      <c r="C4" s="32">
        <v>2018</v>
      </c>
      <c r="D4" s="64" t="s">
        <v>29</v>
      </c>
      <c r="E4" s="60"/>
    </row>
    <row r="5" spans="1:11" ht="15.75" thickBot="1" x14ac:dyDescent="0.3">
      <c r="A5" s="167" t="s">
        <v>14</v>
      </c>
      <c r="B5" s="168"/>
      <c r="C5" s="57">
        <v>553723</v>
      </c>
      <c r="D5" s="58">
        <f>+D13/C5</f>
        <v>10.16903036355723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26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11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  <c r="I9" s="155"/>
      <c r="J9" s="155"/>
      <c r="K9" s="155"/>
    </row>
    <row r="10" spans="1:11" x14ac:dyDescent="0.25">
      <c r="A10" s="164" t="s">
        <v>5</v>
      </c>
      <c r="B10" s="165"/>
      <c r="C10" s="166"/>
      <c r="D10" s="62">
        <v>2466246</v>
      </c>
      <c r="E10" s="12">
        <f>+D10/D13</f>
        <v>0.43799009239497011</v>
      </c>
      <c r="F10" s="33">
        <v>226305</v>
      </c>
      <c r="G10" s="49">
        <f>+D10/F10</f>
        <v>10.897885596871479</v>
      </c>
      <c r="I10" s="155"/>
      <c r="J10" s="155"/>
      <c r="K10" s="155"/>
    </row>
    <row r="11" spans="1:11" x14ac:dyDescent="0.25">
      <c r="A11" s="164" t="s">
        <v>10</v>
      </c>
      <c r="B11" s="165"/>
      <c r="C11" s="166"/>
      <c r="D11" s="62">
        <v>2172293</v>
      </c>
      <c r="E11" s="12">
        <f>+D11/D13</f>
        <v>0.38578585095685786</v>
      </c>
      <c r="F11" s="27">
        <v>24995</v>
      </c>
      <c r="G11" s="49">
        <f>+D11/F11</f>
        <v>86.909101820364072</v>
      </c>
    </row>
    <row r="12" spans="1:11" x14ac:dyDescent="0.25">
      <c r="A12" s="164" t="s">
        <v>11</v>
      </c>
      <c r="B12" s="165"/>
      <c r="C12" s="166"/>
      <c r="D12" s="62">
        <v>992287</v>
      </c>
      <c r="E12" s="12">
        <f>+D12/D13</f>
        <v>0.17622405664817203</v>
      </c>
      <c r="F12" s="5"/>
      <c r="G12" s="38"/>
    </row>
    <row r="13" spans="1:11" ht="15.75" thickBot="1" x14ac:dyDescent="0.3">
      <c r="A13" s="39"/>
      <c r="B13" s="169" t="s">
        <v>6</v>
      </c>
      <c r="C13" s="168"/>
      <c r="D13" s="63">
        <f>SUM(D10:D12)</f>
        <v>5630826</v>
      </c>
      <c r="E13" s="40"/>
      <c r="F13" s="41"/>
      <c r="G13" s="42"/>
      <c r="I13" s="156"/>
    </row>
    <row r="15" spans="1:11" ht="19.5" thickBot="1" x14ac:dyDescent="0.35">
      <c r="B15" s="53" t="s">
        <v>27</v>
      </c>
    </row>
    <row r="16" spans="1:11" x14ac:dyDescent="0.25">
      <c r="A16" s="34"/>
      <c r="B16" s="35"/>
      <c r="C16" s="35"/>
      <c r="D16" s="35"/>
      <c r="E16" s="36" t="s">
        <v>21</v>
      </c>
      <c r="F16" s="43" t="s">
        <v>229</v>
      </c>
      <c r="G16" s="44"/>
    </row>
    <row r="17" spans="1:9" ht="18" x14ac:dyDescent="0.35">
      <c r="A17" s="45"/>
      <c r="B17" s="5"/>
      <c r="C17" s="5"/>
      <c r="D17" s="25" t="s">
        <v>12</v>
      </c>
      <c r="E17" s="18" t="s">
        <v>22</v>
      </c>
      <c r="F17" s="14" t="s">
        <v>2</v>
      </c>
      <c r="G17" s="38"/>
    </row>
    <row r="18" spans="1:9" x14ac:dyDescent="0.25">
      <c r="A18" s="164" t="s">
        <v>258</v>
      </c>
      <c r="B18" s="165"/>
      <c r="C18" s="166"/>
      <c r="D18" s="6">
        <f>+'Known Resources'!B41*0.65</f>
        <v>7060255.9296750007</v>
      </c>
      <c r="E18" s="12">
        <f>+D18/(D18+D20)</f>
        <v>1.156598591624072</v>
      </c>
      <c r="F18" s="6">
        <f>+'Known Resources'!D41*0.65</f>
        <v>1768619.4655344728</v>
      </c>
      <c r="G18" s="38"/>
      <c r="I18" s="140"/>
    </row>
    <row r="19" spans="1:9" s="148" customFormat="1" ht="15.75" thickBot="1" x14ac:dyDescent="0.3">
      <c r="A19" s="170" t="s">
        <v>257</v>
      </c>
      <c r="B19" s="170"/>
      <c r="C19" s="171"/>
      <c r="D19" s="6"/>
      <c r="E19" s="12"/>
      <c r="F19" s="162"/>
      <c r="G19" s="38"/>
      <c r="I19" s="140"/>
    </row>
    <row r="20" spans="1:9" ht="18" x14ac:dyDescent="0.35">
      <c r="A20" s="164" t="s">
        <v>24</v>
      </c>
      <c r="B20" s="165"/>
      <c r="C20" s="166"/>
      <c r="D20" s="50">
        <f>'Unknown Resources'!F63*0.65</f>
        <v>-955929</v>
      </c>
      <c r="E20" s="51">
        <f>+D20/(D18+D20)</f>
        <v>-0.15659859162407189</v>
      </c>
      <c r="F20" s="66">
        <f>+'Unknown Resources'!G63*0.65</f>
        <v>-50.120677751106413</v>
      </c>
      <c r="G20" s="68" t="s">
        <v>28</v>
      </c>
    </row>
    <row r="21" spans="1:9" ht="18.75" thickBot="1" x14ac:dyDescent="0.4">
      <c r="A21" s="39"/>
      <c r="B21" s="41"/>
      <c r="C21" s="41"/>
      <c r="D21" s="65">
        <f>+C4</f>
        <v>2018</v>
      </c>
      <c r="E21" s="46" t="s">
        <v>230</v>
      </c>
      <c r="F21" s="67">
        <f>SUM(F18:F20)</f>
        <v>1768569.3448567218</v>
      </c>
      <c r="G21" s="69">
        <f>+F21/G23</f>
        <v>1.7222332551815702</v>
      </c>
    </row>
    <row r="22" spans="1:9" ht="18" x14ac:dyDescent="0.35">
      <c r="A22" t="s">
        <v>139</v>
      </c>
    </row>
    <row r="23" spans="1:9" ht="18" x14ac:dyDescent="0.35">
      <c r="F23" s="17" t="s">
        <v>259</v>
      </c>
      <c r="G23" s="27">
        <f>G28</f>
        <v>1026904.6539054703</v>
      </c>
      <c r="H23" s="24"/>
    </row>
    <row r="25" spans="1:9" x14ac:dyDescent="0.25">
      <c r="B25" s="24" t="s">
        <v>15</v>
      </c>
      <c r="F25" s="19"/>
      <c r="G25" s="19"/>
    </row>
    <row r="26" spans="1:9" x14ac:dyDescent="0.25">
      <c r="E26" s="19"/>
      <c r="F26" s="19"/>
      <c r="G26" s="22" t="s">
        <v>19</v>
      </c>
    </row>
    <row r="27" spans="1:9" ht="18" x14ac:dyDescent="0.35">
      <c r="E27" s="19"/>
      <c r="F27" s="19"/>
      <c r="G27" s="23" t="s">
        <v>230</v>
      </c>
      <c r="H27" s="160" t="s">
        <v>1</v>
      </c>
    </row>
    <row r="28" spans="1:9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9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9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topLeftCell="A25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25.7109375" bestFit="1" customWidth="1"/>
  </cols>
  <sheetData>
    <row r="1" spans="1:34" ht="18.75" x14ac:dyDescent="0.3">
      <c r="A1" s="3" t="s">
        <v>3</v>
      </c>
      <c r="B1" s="31">
        <f>+Summary!C4</f>
        <v>2018</v>
      </c>
    </row>
    <row r="2" spans="1:34" ht="18.75" x14ac:dyDescent="0.3">
      <c r="A2" s="3"/>
      <c r="B2" s="7" t="s">
        <v>23</v>
      </c>
      <c r="C2" s="7">
        <f>+Summary!C4</f>
        <v>2018</v>
      </c>
      <c r="D2" s="7" t="s">
        <v>229</v>
      </c>
      <c r="F2" s="73" t="s">
        <v>218</v>
      </c>
      <c r="G2" s="74" t="s">
        <v>220</v>
      </c>
      <c r="H2" s="73" t="s">
        <v>221</v>
      </c>
      <c r="I2" s="75" t="s">
        <v>219</v>
      </c>
    </row>
    <row r="3" spans="1:34" ht="19.5" x14ac:dyDescent="0.35">
      <c r="A3" s="4" t="s">
        <v>0</v>
      </c>
      <c r="B3" s="8">
        <f>+Summary!C4</f>
        <v>2018</v>
      </c>
      <c r="C3" s="8" t="s">
        <v>263</v>
      </c>
      <c r="D3" s="8" t="s">
        <v>2</v>
      </c>
      <c r="E3" s="2"/>
      <c r="F3" s="73" t="s">
        <v>69</v>
      </c>
      <c r="G3" s="74">
        <v>233.4</v>
      </c>
      <c r="H3" s="73" t="s">
        <v>70</v>
      </c>
      <c r="I3" s="75">
        <v>1389037</v>
      </c>
      <c r="K3" s="148" t="s">
        <v>140</v>
      </c>
      <c r="L3" s="148" t="s">
        <v>141</v>
      </c>
      <c r="M3" s="148" t="s">
        <v>142</v>
      </c>
      <c r="N3" s="148" t="s">
        <v>143</v>
      </c>
      <c r="O3" s="148" t="s">
        <v>144</v>
      </c>
      <c r="P3" s="148" t="s">
        <v>145</v>
      </c>
      <c r="Q3" s="148" t="s">
        <v>146</v>
      </c>
      <c r="R3" s="148" t="s">
        <v>173</v>
      </c>
      <c r="S3" s="148" t="s">
        <v>147</v>
      </c>
      <c r="T3" s="148" t="s">
        <v>255</v>
      </c>
      <c r="U3" s="148" t="s">
        <v>256</v>
      </c>
      <c r="V3" s="148" t="s">
        <v>148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</row>
    <row r="4" spans="1:34" x14ac:dyDescent="0.25">
      <c r="A4" s="26" t="s">
        <v>31</v>
      </c>
      <c r="B4" s="27">
        <f>0.15*(R7+R8)</f>
        <v>1549885.5795000002</v>
      </c>
      <c r="C4" s="133">
        <f>D4/B4</f>
        <v>0.9298511323489167</v>
      </c>
      <c r="D4" s="6">
        <f>U7+U8</f>
        <v>1441162.8611093322</v>
      </c>
      <c r="F4" s="73" t="s">
        <v>71</v>
      </c>
      <c r="G4" s="74">
        <v>166.5</v>
      </c>
      <c r="H4" s="73" t="s">
        <v>72</v>
      </c>
      <c r="I4" s="75">
        <v>145074</v>
      </c>
      <c r="K4" s="148" t="s">
        <v>149</v>
      </c>
      <c r="L4" s="148" t="s">
        <v>150</v>
      </c>
      <c r="M4" s="148">
        <v>7456</v>
      </c>
      <c r="N4" s="148">
        <v>1</v>
      </c>
      <c r="O4" s="148"/>
      <c r="P4" s="148">
        <v>2018</v>
      </c>
      <c r="Q4" s="148" t="s">
        <v>151</v>
      </c>
      <c r="R4" s="155">
        <v>65783.570000000007</v>
      </c>
      <c r="S4" s="155">
        <v>39721.135000000002</v>
      </c>
      <c r="T4" s="155">
        <f>S4/1.1023</f>
        <v>36034.777283861018</v>
      </c>
      <c r="U4" s="140">
        <f>T4+Y44</f>
        <v>36131.123393201015</v>
      </c>
      <c r="V4" s="148">
        <v>668395.51</v>
      </c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1:34" x14ac:dyDescent="0.25">
      <c r="A5" s="28" t="s">
        <v>32</v>
      </c>
      <c r="B5" s="27">
        <f>R4+R5</f>
        <v>145112.35</v>
      </c>
      <c r="C5" s="133">
        <f t="shared" ref="C5:C9" si="0">D5/B5</f>
        <v>0.5441554633471406</v>
      </c>
      <c r="D5" s="6">
        <f>U4+U5</f>
        <v>78963.678051642448</v>
      </c>
      <c r="F5" s="73" t="s">
        <v>73</v>
      </c>
      <c r="G5" s="74">
        <v>61.8</v>
      </c>
      <c r="H5" s="73" t="s">
        <v>72</v>
      </c>
      <c r="I5" s="75">
        <v>1515</v>
      </c>
      <c r="K5" s="148" t="s">
        <v>149</v>
      </c>
      <c r="L5" s="148" t="s">
        <v>150</v>
      </c>
      <c r="M5" s="148">
        <v>7456</v>
      </c>
      <c r="N5" s="148">
        <v>2</v>
      </c>
      <c r="O5" s="148"/>
      <c r="P5" s="148">
        <v>2018</v>
      </c>
      <c r="Q5" s="148" t="s">
        <v>151</v>
      </c>
      <c r="R5" s="155">
        <v>79328.78</v>
      </c>
      <c r="S5" s="155">
        <v>47214.324999999997</v>
      </c>
      <c r="T5" s="155">
        <f t="shared" ref="T5:T9" si="1">S5/1.1023</f>
        <v>42832.554658441433</v>
      </c>
      <c r="U5" s="140">
        <f>T5</f>
        <v>42832.554658441433</v>
      </c>
      <c r="V5" s="148">
        <v>794449.87600000005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4" x14ac:dyDescent="0.25">
      <c r="A6" s="28" t="s">
        <v>33</v>
      </c>
      <c r="B6" s="27">
        <f t="shared" ref="B6:B7" si="2">I5</f>
        <v>1515</v>
      </c>
      <c r="C6" s="133">
        <f t="shared" si="0"/>
        <v>0.65139516926732677</v>
      </c>
      <c r="D6" s="6">
        <f>U28+Y45</f>
        <v>986.86368144000005</v>
      </c>
      <c r="F6" s="73" t="s">
        <v>74</v>
      </c>
      <c r="G6" s="74">
        <v>24.6</v>
      </c>
      <c r="H6" s="73" t="s">
        <v>72</v>
      </c>
      <c r="I6" s="75">
        <v>47931</v>
      </c>
      <c r="K6" s="148" t="s">
        <v>149</v>
      </c>
      <c r="L6" s="148" t="s">
        <v>152</v>
      </c>
      <c r="M6" s="148">
        <v>55179</v>
      </c>
      <c r="N6" s="148" t="s">
        <v>153</v>
      </c>
      <c r="O6" s="148"/>
      <c r="P6" s="148">
        <v>2018</v>
      </c>
      <c r="Q6" s="148" t="s">
        <v>151</v>
      </c>
      <c r="R6" s="155">
        <v>1618239.11</v>
      </c>
      <c r="S6" s="155">
        <v>668953.33900000004</v>
      </c>
      <c r="T6" s="155">
        <f t="shared" si="1"/>
        <v>606870.48807039822</v>
      </c>
      <c r="U6" s="140">
        <f>T6+Y51</f>
        <v>607483.96742939821</v>
      </c>
      <c r="V6" s="152">
        <v>11300000</v>
      </c>
      <c r="X6" s="148"/>
      <c r="Y6" s="148"/>
      <c r="Z6" s="148"/>
      <c r="AA6" s="148"/>
      <c r="AB6" s="148"/>
      <c r="AC6" s="148"/>
      <c r="AD6" s="148"/>
      <c r="AE6" s="148"/>
      <c r="AF6" s="148"/>
      <c r="AG6" s="152"/>
      <c r="AH6" s="148"/>
    </row>
    <row r="7" spans="1:34" x14ac:dyDescent="0.25">
      <c r="A7" s="28" t="s">
        <v>34</v>
      </c>
      <c r="B7" s="27">
        <f t="shared" si="2"/>
        <v>47931</v>
      </c>
      <c r="C7" s="133">
        <f t="shared" si="0"/>
        <v>0.48745631792551791</v>
      </c>
      <c r="D7" s="6">
        <f>U29+Y46</f>
        <v>23364.268774487999</v>
      </c>
      <c r="F7" s="73" t="s">
        <v>75</v>
      </c>
      <c r="G7" s="74">
        <v>295</v>
      </c>
      <c r="H7" s="73" t="s">
        <v>72</v>
      </c>
      <c r="I7" s="75">
        <v>1495191</v>
      </c>
      <c r="K7" s="148" t="s">
        <v>154</v>
      </c>
      <c r="L7" s="148" t="s">
        <v>155</v>
      </c>
      <c r="M7" s="148">
        <v>6076</v>
      </c>
      <c r="N7" s="148">
        <v>3</v>
      </c>
      <c r="O7" s="148"/>
      <c r="P7" s="148">
        <v>2018</v>
      </c>
      <c r="Q7" s="148" t="s">
        <v>151</v>
      </c>
      <c r="R7" s="155">
        <v>5341894.33</v>
      </c>
      <c r="S7" s="155">
        <v>5541603.4440000001</v>
      </c>
      <c r="T7" s="155">
        <f t="shared" si="1"/>
        <v>5027309.6652453961</v>
      </c>
      <c r="U7" s="140">
        <f>(0.15*T7)+Y42+Y43</f>
        <v>765161.8158403493</v>
      </c>
      <c r="V7" s="152">
        <v>52800000</v>
      </c>
      <c r="X7" s="148"/>
      <c r="Y7" s="148"/>
      <c r="Z7" s="148"/>
      <c r="AA7" s="148"/>
      <c r="AB7" s="148"/>
      <c r="AC7" s="148"/>
      <c r="AD7" s="148"/>
      <c r="AE7" s="148"/>
      <c r="AF7" s="148"/>
      <c r="AG7" s="152"/>
      <c r="AH7" s="152"/>
    </row>
    <row r="8" spans="1:34" x14ac:dyDescent="0.25">
      <c r="A8" s="28" t="s">
        <v>35</v>
      </c>
      <c r="B8" s="27">
        <f>R9</f>
        <v>1514792.16</v>
      </c>
      <c r="C8" s="133">
        <f t="shared" si="0"/>
        <v>0.37222780753497953</v>
      </c>
      <c r="D8" s="6">
        <f>U9</f>
        <v>563847.76458797592</v>
      </c>
      <c r="F8" s="73" t="s">
        <v>76</v>
      </c>
      <c r="G8" s="74">
        <v>7.2</v>
      </c>
      <c r="H8" s="73" t="s">
        <v>72</v>
      </c>
      <c r="I8" s="76">
        <v>8118</v>
      </c>
      <c r="K8" s="148" t="s">
        <v>154</v>
      </c>
      <c r="L8" s="148" t="s">
        <v>155</v>
      </c>
      <c r="M8" s="148">
        <v>6076</v>
      </c>
      <c r="N8" s="148">
        <v>4</v>
      </c>
      <c r="O8" s="148"/>
      <c r="P8" s="148">
        <v>2018</v>
      </c>
      <c r="Q8" s="148" t="s">
        <v>151</v>
      </c>
      <c r="R8" s="155">
        <v>4990676.2</v>
      </c>
      <c r="S8" s="155">
        <v>4967706.3480000002</v>
      </c>
      <c r="T8" s="155">
        <f t="shared" si="1"/>
        <v>4506673.6351265535</v>
      </c>
      <c r="U8" s="140">
        <f>T8*0.15</f>
        <v>676001.045268983</v>
      </c>
      <c r="V8" s="152">
        <v>47400000</v>
      </c>
      <c r="X8" s="148"/>
      <c r="Y8" s="148"/>
      <c r="Z8" s="148"/>
      <c r="AA8" s="148"/>
      <c r="AB8" s="148"/>
      <c r="AC8" s="148"/>
      <c r="AD8" s="148"/>
      <c r="AE8" s="148"/>
      <c r="AF8" s="148"/>
      <c r="AG8" s="152"/>
      <c r="AH8" s="152"/>
    </row>
    <row r="9" spans="1:34" x14ac:dyDescent="0.25">
      <c r="A9" s="28" t="s">
        <v>189</v>
      </c>
      <c r="B9" s="27">
        <f t="shared" ref="B9:B18" si="3">I8</f>
        <v>8118</v>
      </c>
      <c r="C9" s="133">
        <f t="shared" si="0"/>
        <v>0.63360683233702886</v>
      </c>
      <c r="D9" s="6">
        <f>U31+Y48</f>
        <v>5143.6202649120005</v>
      </c>
      <c r="F9" s="73" t="s">
        <v>77</v>
      </c>
      <c r="G9" s="77">
        <v>50.7</v>
      </c>
      <c r="H9" s="73" t="s">
        <v>78</v>
      </c>
      <c r="I9" s="75">
        <v>336936</v>
      </c>
      <c r="K9" s="148" t="s">
        <v>156</v>
      </c>
      <c r="L9" s="148" t="s">
        <v>157</v>
      </c>
      <c r="M9" s="148">
        <v>7350</v>
      </c>
      <c r="N9" s="148" t="s">
        <v>158</v>
      </c>
      <c r="O9" s="148"/>
      <c r="P9" s="148">
        <v>2018</v>
      </c>
      <c r="Q9" s="148" t="s">
        <v>151</v>
      </c>
      <c r="R9" s="155">
        <v>1514792.16</v>
      </c>
      <c r="S9" s="155">
        <v>620912.55799999996</v>
      </c>
      <c r="T9" s="155">
        <f t="shared" si="1"/>
        <v>563288.17744715593</v>
      </c>
      <c r="U9" s="140">
        <f>T9+Y47</f>
        <v>563847.76458797592</v>
      </c>
      <c r="V9" s="152">
        <v>10400000</v>
      </c>
      <c r="X9" s="148"/>
      <c r="Y9" s="148"/>
      <c r="Z9" s="148"/>
      <c r="AA9" s="148"/>
      <c r="AB9" s="148"/>
      <c r="AC9" s="148"/>
      <c r="AD9" s="148"/>
      <c r="AE9" s="148"/>
      <c r="AF9" s="148"/>
      <c r="AG9" s="152"/>
      <c r="AH9" s="152"/>
    </row>
    <row r="10" spans="1:34" x14ac:dyDescent="0.25">
      <c r="A10" s="28" t="s">
        <v>87</v>
      </c>
      <c r="B10" s="27">
        <f t="shared" si="3"/>
        <v>336936</v>
      </c>
      <c r="C10" s="133">
        <v>0</v>
      </c>
      <c r="D10" s="6">
        <f t="shared" ref="D6:D10" si="4">(+B10*C10)/2000</f>
        <v>0</v>
      </c>
      <c r="F10" s="73" t="s">
        <v>79</v>
      </c>
      <c r="G10" s="74">
        <v>14.8</v>
      </c>
      <c r="H10" s="73" t="s">
        <v>80</v>
      </c>
      <c r="I10" s="75">
        <v>81033</v>
      </c>
      <c r="W10" s="154"/>
      <c r="AF10" s="152"/>
    </row>
    <row r="11" spans="1:34" x14ac:dyDescent="0.25">
      <c r="A11" s="28" t="s">
        <v>37</v>
      </c>
      <c r="B11" s="27">
        <f t="shared" si="3"/>
        <v>81033</v>
      </c>
      <c r="C11" s="133">
        <v>0</v>
      </c>
      <c r="D11" s="6">
        <f t="shared" ref="D11:D40" si="5">(+B11*C11)/2000</f>
        <v>0</v>
      </c>
      <c r="F11" s="73" t="s">
        <v>81</v>
      </c>
      <c r="G11" s="74">
        <v>14.8</v>
      </c>
      <c r="H11" s="73" t="s">
        <v>80</v>
      </c>
      <c r="I11" s="75">
        <v>72493</v>
      </c>
      <c r="W11" s="154"/>
      <c r="AF11" s="148"/>
    </row>
    <row r="12" spans="1:34" x14ac:dyDescent="0.25">
      <c r="A12" s="28" t="s">
        <v>38</v>
      </c>
      <c r="B12" s="27">
        <f t="shared" si="3"/>
        <v>72493</v>
      </c>
      <c r="C12" s="133">
        <v>0</v>
      </c>
      <c r="D12" s="6">
        <f t="shared" si="5"/>
        <v>0</v>
      </c>
      <c r="F12" s="73" t="s">
        <v>82</v>
      </c>
      <c r="G12" s="74">
        <v>37.6</v>
      </c>
      <c r="H12" s="73" t="s">
        <v>80</v>
      </c>
      <c r="I12" s="75">
        <v>143308</v>
      </c>
      <c r="W12" s="154"/>
      <c r="AF12" s="152"/>
    </row>
    <row r="13" spans="1:34" x14ac:dyDescent="0.25">
      <c r="A13" s="28" t="s">
        <v>39</v>
      </c>
      <c r="B13" s="27">
        <f t="shared" si="3"/>
        <v>143308</v>
      </c>
      <c r="C13" s="133">
        <f t="shared" ref="C13:C18" si="6">(V17*2204.62262)/B13</f>
        <v>0</v>
      </c>
      <c r="D13" s="6">
        <f t="shared" si="5"/>
        <v>0</v>
      </c>
      <c r="F13" s="73" t="s">
        <v>217</v>
      </c>
      <c r="G13" s="74">
        <v>40.4</v>
      </c>
      <c r="H13" s="73" t="s">
        <v>80</v>
      </c>
      <c r="I13" s="75">
        <v>166423</v>
      </c>
      <c r="W13" s="154"/>
    </row>
    <row r="14" spans="1:34" x14ac:dyDescent="0.25">
      <c r="A14" s="28" t="s">
        <v>40</v>
      </c>
      <c r="B14" s="27">
        <f t="shared" si="3"/>
        <v>166423</v>
      </c>
      <c r="C14" s="133">
        <f t="shared" si="6"/>
        <v>0</v>
      </c>
      <c r="D14" s="6">
        <f t="shared" si="5"/>
        <v>0</v>
      </c>
      <c r="F14" s="73" t="s">
        <v>83</v>
      </c>
      <c r="G14" s="74">
        <v>70</v>
      </c>
      <c r="H14" s="73" t="s">
        <v>80</v>
      </c>
      <c r="I14" s="75">
        <v>505089</v>
      </c>
      <c r="W14" s="154"/>
    </row>
    <row r="15" spans="1:34" x14ac:dyDescent="0.25">
      <c r="A15" s="28" t="s">
        <v>41</v>
      </c>
      <c r="B15" s="27">
        <f t="shared" si="3"/>
        <v>505089</v>
      </c>
      <c r="C15" s="133">
        <f t="shared" si="6"/>
        <v>0</v>
      </c>
      <c r="D15" s="6">
        <f t="shared" si="5"/>
        <v>0</v>
      </c>
      <c r="F15" s="73" t="s">
        <v>84</v>
      </c>
      <c r="G15" s="74">
        <v>10</v>
      </c>
      <c r="H15" s="73" t="s">
        <v>80</v>
      </c>
      <c r="I15" s="75">
        <v>61161</v>
      </c>
    </row>
    <row r="16" spans="1:34" x14ac:dyDescent="0.25">
      <c r="A16" s="28" t="s">
        <v>42</v>
      </c>
      <c r="B16" s="27">
        <f t="shared" si="3"/>
        <v>61161</v>
      </c>
      <c r="C16" s="133">
        <f t="shared" si="6"/>
        <v>0</v>
      </c>
      <c r="D16" s="6">
        <f t="shared" si="5"/>
        <v>0</v>
      </c>
      <c r="F16" s="73" t="s">
        <v>85</v>
      </c>
      <c r="G16" s="74">
        <v>265</v>
      </c>
      <c r="H16" s="73" t="s">
        <v>80</v>
      </c>
      <c r="I16" s="75">
        <v>1159246</v>
      </c>
    </row>
    <row r="17" spans="1:21" x14ac:dyDescent="0.25">
      <c r="A17" s="28" t="s">
        <v>43</v>
      </c>
      <c r="B17" s="27">
        <f t="shared" si="3"/>
        <v>1159246</v>
      </c>
      <c r="C17" s="133">
        <f t="shared" si="6"/>
        <v>0</v>
      </c>
      <c r="D17" s="6">
        <f t="shared" si="5"/>
        <v>0</v>
      </c>
      <c r="F17" s="73" t="s">
        <v>86</v>
      </c>
      <c r="G17" s="74">
        <v>487.8</v>
      </c>
      <c r="H17" s="73" t="s">
        <v>80</v>
      </c>
      <c r="I17" s="75">
        <v>1840622</v>
      </c>
    </row>
    <row r="18" spans="1:21" x14ac:dyDescent="0.25">
      <c r="A18" s="28" t="s">
        <v>44</v>
      </c>
      <c r="B18" s="27">
        <f t="shared" si="3"/>
        <v>1840622</v>
      </c>
      <c r="C18" s="133">
        <f t="shared" si="6"/>
        <v>0</v>
      </c>
      <c r="D18" s="6">
        <f t="shared" si="5"/>
        <v>0</v>
      </c>
    </row>
    <row r="19" spans="1:21" x14ac:dyDescent="0.25">
      <c r="A19" s="28" t="s">
        <v>63</v>
      </c>
      <c r="B19" s="27">
        <f>R6</f>
        <v>1618239.11</v>
      </c>
      <c r="C19" s="133">
        <f>D19/B19</f>
        <v>0.37539814955368256</v>
      </c>
      <c r="D19" s="6">
        <f>U6</f>
        <v>607483.96742939821</v>
      </c>
    </row>
    <row r="20" spans="1:21" ht="15.75" x14ac:dyDescent="0.25">
      <c r="A20" s="28" t="s">
        <v>137</v>
      </c>
      <c r="B20" s="27"/>
      <c r="C20" s="27">
        <v>0</v>
      </c>
      <c r="D20" s="6">
        <f t="shared" si="5"/>
        <v>0</v>
      </c>
      <c r="F20" s="80">
        <v>2018</v>
      </c>
      <c r="G20" s="79"/>
      <c r="H20" s="81"/>
      <c r="I20" s="82" t="s">
        <v>88</v>
      </c>
      <c r="J20" s="82" t="s">
        <v>89</v>
      </c>
      <c r="K20" s="83" t="s">
        <v>90</v>
      </c>
      <c r="L20" s="84" t="s">
        <v>91</v>
      </c>
      <c r="M20" s="83" t="s">
        <v>92</v>
      </c>
      <c r="N20" s="83" t="s">
        <v>93</v>
      </c>
      <c r="O20" s="83" t="s">
        <v>94</v>
      </c>
      <c r="P20" s="84" t="s">
        <v>95</v>
      </c>
      <c r="Q20" s="84" t="s">
        <v>96</v>
      </c>
      <c r="R20" s="85" t="s">
        <v>97</v>
      </c>
      <c r="S20" s="85" t="s">
        <v>98</v>
      </c>
      <c r="T20" s="85" t="s">
        <v>99</v>
      </c>
      <c r="U20" s="86" t="s">
        <v>100</v>
      </c>
    </row>
    <row r="21" spans="1:21" ht="75" x14ac:dyDescent="0.25">
      <c r="A21" s="27" t="s">
        <v>222</v>
      </c>
      <c r="B21" s="27">
        <v>1614</v>
      </c>
      <c r="C21" s="27">
        <v>0</v>
      </c>
      <c r="D21" s="6">
        <f t="shared" si="5"/>
        <v>0</v>
      </c>
      <c r="F21" s="87"/>
      <c r="G21" s="88"/>
      <c r="H21" s="89"/>
      <c r="I21" s="90" t="s">
        <v>101</v>
      </c>
      <c r="J21" s="90" t="s">
        <v>102</v>
      </c>
      <c r="K21" s="90" t="s">
        <v>103</v>
      </c>
      <c r="L21" s="90" t="s">
        <v>104</v>
      </c>
      <c r="M21" s="90" t="s">
        <v>105</v>
      </c>
      <c r="N21" s="90" t="s">
        <v>106</v>
      </c>
      <c r="O21" s="90" t="s">
        <v>107</v>
      </c>
      <c r="P21" s="91" t="s">
        <v>108</v>
      </c>
      <c r="Q21" s="91" t="s">
        <v>109</v>
      </c>
      <c r="R21" s="91" t="s">
        <v>110</v>
      </c>
      <c r="S21" s="91" t="s">
        <v>111</v>
      </c>
      <c r="T21" s="91" t="s">
        <v>182</v>
      </c>
      <c r="U21" s="92" t="s">
        <v>183</v>
      </c>
    </row>
    <row r="22" spans="1:21" ht="30" x14ac:dyDescent="0.25">
      <c r="A22" s="27" t="s">
        <v>190</v>
      </c>
      <c r="B22" s="27">
        <v>469979</v>
      </c>
      <c r="C22" s="27">
        <v>0</v>
      </c>
      <c r="D22" s="6">
        <f t="shared" si="5"/>
        <v>0</v>
      </c>
      <c r="F22" s="78"/>
      <c r="G22" s="93"/>
      <c r="H22" s="81"/>
      <c r="I22" s="94"/>
      <c r="J22" s="94"/>
      <c r="K22" s="94"/>
      <c r="L22" s="94"/>
      <c r="M22" s="95" t="s">
        <v>112</v>
      </c>
      <c r="N22" s="95" t="s">
        <v>113</v>
      </c>
      <c r="O22" s="95"/>
      <c r="P22" s="96"/>
      <c r="Q22" s="96"/>
      <c r="R22" s="97"/>
      <c r="S22" s="97"/>
      <c r="T22" s="92" t="s">
        <v>114</v>
      </c>
      <c r="U22" s="98" t="s">
        <v>115</v>
      </c>
    </row>
    <row r="23" spans="1:21" ht="34.5" customHeight="1" x14ac:dyDescent="0.25">
      <c r="A23" s="27" t="s">
        <v>175</v>
      </c>
      <c r="B23" s="27">
        <v>4231</v>
      </c>
      <c r="C23" s="27">
        <v>0</v>
      </c>
      <c r="D23" s="6">
        <f t="shared" si="5"/>
        <v>0</v>
      </c>
      <c r="F23" s="99" t="s">
        <v>116</v>
      </c>
      <c r="G23" s="100" t="s">
        <v>72</v>
      </c>
      <c r="H23" s="101">
        <v>0.5</v>
      </c>
      <c r="I23" s="102">
        <v>1000</v>
      </c>
      <c r="J23" s="103" t="s">
        <v>117</v>
      </c>
      <c r="K23" s="104">
        <v>5.0999999999999997E-2</v>
      </c>
      <c r="L23" s="105" t="s">
        <v>118</v>
      </c>
      <c r="M23" s="103" t="s">
        <v>119</v>
      </c>
      <c r="N23" s="102">
        <v>51</v>
      </c>
      <c r="O23" s="106" t="s">
        <v>120</v>
      </c>
      <c r="P23" s="107">
        <v>14</v>
      </c>
      <c r="Q23" s="103" t="s">
        <v>121</v>
      </c>
      <c r="R23" s="134">
        <v>1</v>
      </c>
      <c r="S23" s="135">
        <v>1</v>
      </c>
      <c r="T23" s="108">
        <v>2618.0000000000023</v>
      </c>
      <c r="U23" s="109">
        <v>2.6180000000000021</v>
      </c>
    </row>
    <row r="24" spans="1:21" x14ac:dyDescent="0.25">
      <c r="A24" s="27" t="s">
        <v>191</v>
      </c>
      <c r="B24" s="27">
        <v>356915</v>
      </c>
      <c r="C24" s="27">
        <v>0</v>
      </c>
      <c r="D24" s="6">
        <f t="shared" si="5"/>
        <v>0</v>
      </c>
      <c r="F24" s="110" t="s">
        <v>122</v>
      </c>
      <c r="G24" s="111" t="s">
        <v>123</v>
      </c>
      <c r="H24" s="111" t="s">
        <v>124</v>
      </c>
      <c r="I24" s="112"/>
      <c r="J24" s="113"/>
      <c r="K24" s="113"/>
      <c r="L24" s="113"/>
      <c r="M24" s="113"/>
      <c r="N24" s="113"/>
      <c r="O24" s="113"/>
      <c r="P24" s="114"/>
      <c r="Q24" s="115"/>
      <c r="R24" s="116"/>
      <c r="S24" s="116"/>
      <c r="T24" s="116"/>
      <c r="U24" s="113"/>
    </row>
    <row r="25" spans="1:21" ht="30" x14ac:dyDescent="0.25">
      <c r="A25" s="27" t="s">
        <v>192</v>
      </c>
      <c r="B25" s="27">
        <v>10736</v>
      </c>
      <c r="C25" s="27">
        <v>0</v>
      </c>
      <c r="D25" s="6">
        <f t="shared" si="5"/>
        <v>0</v>
      </c>
      <c r="F25" s="117" t="s">
        <v>31</v>
      </c>
      <c r="G25" s="117" t="s">
        <v>70</v>
      </c>
      <c r="H25" s="136">
        <v>0.15</v>
      </c>
      <c r="I25" s="118">
        <v>887609</v>
      </c>
      <c r="J25" s="119" t="s">
        <v>125</v>
      </c>
      <c r="K25" s="120">
        <v>17.024999999999999</v>
      </c>
      <c r="L25" s="119" t="s">
        <v>126</v>
      </c>
      <c r="M25" s="119" t="s">
        <v>119</v>
      </c>
      <c r="N25" s="121">
        <v>15111543.225</v>
      </c>
      <c r="O25" s="122" t="s">
        <v>127</v>
      </c>
      <c r="P25" s="123">
        <v>93.4</v>
      </c>
      <c r="Q25" s="122" t="s">
        <v>128</v>
      </c>
      <c r="R25" s="124">
        <v>0.98</v>
      </c>
      <c r="S25" s="125">
        <v>1</v>
      </c>
      <c r="T25" s="126">
        <v>1383189774.4707</v>
      </c>
      <c r="U25" s="126">
        <v>1383189.7744707</v>
      </c>
    </row>
    <row r="26" spans="1:21" ht="25.5" x14ac:dyDescent="0.25">
      <c r="A26" s="27" t="s">
        <v>193</v>
      </c>
      <c r="B26" s="27">
        <v>1234</v>
      </c>
      <c r="C26" s="27">
        <v>0</v>
      </c>
      <c r="D26" s="6">
        <f t="shared" si="5"/>
        <v>0</v>
      </c>
      <c r="F26" s="117" t="s">
        <v>31</v>
      </c>
      <c r="G26" s="117" t="s">
        <v>129</v>
      </c>
      <c r="H26" s="127">
        <v>0.15</v>
      </c>
      <c r="I26" s="118">
        <v>2601</v>
      </c>
      <c r="J26" s="119" t="s">
        <v>130</v>
      </c>
      <c r="K26" s="123">
        <v>5.88</v>
      </c>
      <c r="L26" s="128" t="s">
        <v>131</v>
      </c>
      <c r="M26" s="119" t="s">
        <v>119</v>
      </c>
      <c r="N26" s="121">
        <v>15293.88</v>
      </c>
      <c r="O26" s="122" t="s">
        <v>127</v>
      </c>
      <c r="P26" s="123">
        <v>73.959999999999994</v>
      </c>
      <c r="Q26" s="122" t="s">
        <v>128</v>
      </c>
      <c r="R26" s="124">
        <v>0.99</v>
      </c>
      <c r="S26" s="125">
        <v>1</v>
      </c>
      <c r="T26" s="126">
        <v>1119824.0111519999</v>
      </c>
      <c r="U26" s="126">
        <v>1119.8240111519999</v>
      </c>
    </row>
    <row r="27" spans="1:21" x14ac:dyDescent="0.25">
      <c r="A27" s="27" t="s">
        <v>138</v>
      </c>
      <c r="B27" s="27">
        <v>327172</v>
      </c>
      <c r="C27" s="27">
        <v>0</v>
      </c>
      <c r="D27" s="6">
        <f t="shared" si="5"/>
        <v>0</v>
      </c>
      <c r="F27" s="117" t="s">
        <v>132</v>
      </c>
      <c r="G27" s="117" t="s">
        <v>72</v>
      </c>
      <c r="H27" s="127">
        <v>1</v>
      </c>
      <c r="I27" s="123">
        <v>1723.02</v>
      </c>
      <c r="J27" s="119" t="s">
        <v>133</v>
      </c>
      <c r="K27" s="129">
        <v>1026</v>
      </c>
      <c r="L27" s="119" t="s">
        <v>134</v>
      </c>
      <c r="M27" s="119" t="s">
        <v>119</v>
      </c>
      <c r="N27" s="121">
        <v>1767818.52</v>
      </c>
      <c r="O27" s="122" t="s">
        <v>127</v>
      </c>
      <c r="P27" s="123">
        <v>53.06</v>
      </c>
      <c r="Q27" s="122" t="s">
        <v>128</v>
      </c>
      <c r="R27" s="124">
        <v>0.995</v>
      </c>
      <c r="S27" s="125">
        <v>1</v>
      </c>
      <c r="T27" s="126">
        <v>93331448.417844012</v>
      </c>
      <c r="U27" s="126">
        <v>93331.448417844018</v>
      </c>
    </row>
    <row r="28" spans="1:21" x14ac:dyDescent="0.25">
      <c r="A28" s="27" t="s">
        <v>194</v>
      </c>
      <c r="B28" s="27">
        <v>56</v>
      </c>
      <c r="C28" s="27">
        <v>0</v>
      </c>
      <c r="D28" s="6">
        <f t="shared" si="5"/>
        <v>0</v>
      </c>
      <c r="F28" s="117" t="s">
        <v>135</v>
      </c>
      <c r="G28" s="117" t="s">
        <v>72</v>
      </c>
      <c r="H28" s="127">
        <v>1</v>
      </c>
      <c r="I28" s="123">
        <v>18.2</v>
      </c>
      <c r="J28" s="119" t="s">
        <v>133</v>
      </c>
      <c r="K28" s="129">
        <v>1026</v>
      </c>
      <c r="L28" s="119" t="s">
        <v>134</v>
      </c>
      <c r="M28" s="119" t="s">
        <v>119</v>
      </c>
      <c r="N28" s="121">
        <v>18673.2</v>
      </c>
      <c r="O28" s="122" t="s">
        <v>127</v>
      </c>
      <c r="P28" s="123">
        <v>53.06</v>
      </c>
      <c r="Q28" s="122" t="s">
        <v>128</v>
      </c>
      <c r="R28" s="124">
        <v>0.995</v>
      </c>
      <c r="S28" s="125">
        <v>1</v>
      </c>
      <c r="T28" s="126">
        <v>985845.99204000004</v>
      </c>
      <c r="U28" s="126">
        <v>985.84599204000006</v>
      </c>
    </row>
    <row r="29" spans="1:21" ht="29.25" customHeight="1" x14ac:dyDescent="0.25">
      <c r="A29" s="27" t="s">
        <v>197</v>
      </c>
      <c r="B29" s="27">
        <v>194662</v>
      </c>
      <c r="C29" s="27">
        <v>0</v>
      </c>
      <c r="D29" s="6">
        <f t="shared" si="5"/>
        <v>0</v>
      </c>
      <c r="F29" s="117" t="s">
        <v>34</v>
      </c>
      <c r="G29" s="117" t="s">
        <v>72</v>
      </c>
      <c r="H29" s="127">
        <v>1</v>
      </c>
      <c r="I29" s="123">
        <v>430.89</v>
      </c>
      <c r="J29" s="119" t="s">
        <v>133</v>
      </c>
      <c r="K29" s="129">
        <v>1026</v>
      </c>
      <c r="L29" s="119" t="s">
        <v>134</v>
      </c>
      <c r="M29" s="119" t="s">
        <v>119</v>
      </c>
      <c r="N29" s="121">
        <v>442093.14</v>
      </c>
      <c r="O29" s="122" t="s">
        <v>127</v>
      </c>
      <c r="P29" s="123">
        <v>53.06</v>
      </c>
      <c r="Q29" s="122" t="s">
        <v>128</v>
      </c>
      <c r="R29" s="124">
        <v>0.995</v>
      </c>
      <c r="S29" s="125">
        <v>1</v>
      </c>
      <c r="T29" s="126">
        <v>23340174.698357999</v>
      </c>
      <c r="U29" s="126">
        <v>23340.174698357998</v>
      </c>
    </row>
    <row r="30" spans="1:21" ht="27" customHeight="1" x14ac:dyDescent="0.25">
      <c r="A30" s="27" t="s">
        <v>198</v>
      </c>
      <c r="B30" s="27">
        <v>17297</v>
      </c>
      <c r="C30" s="27">
        <v>0</v>
      </c>
      <c r="D30" s="6">
        <f t="shared" si="5"/>
        <v>0</v>
      </c>
      <c r="F30" s="117" t="s">
        <v>35</v>
      </c>
      <c r="G30" s="117" t="s">
        <v>72</v>
      </c>
      <c r="H30" s="127">
        <v>1</v>
      </c>
      <c r="I30" s="123">
        <v>10007.459999999999</v>
      </c>
      <c r="J30" s="119" t="s">
        <v>133</v>
      </c>
      <c r="K30" s="129">
        <v>1026</v>
      </c>
      <c r="L30" s="119" t="s">
        <v>134</v>
      </c>
      <c r="M30" s="119" t="s">
        <v>119</v>
      </c>
      <c r="N30" s="121">
        <v>10267653.959999999</v>
      </c>
      <c r="O30" s="122" t="s">
        <v>127</v>
      </c>
      <c r="P30" s="123">
        <v>53.06</v>
      </c>
      <c r="Q30" s="122" t="s">
        <v>128</v>
      </c>
      <c r="R30" s="124">
        <v>0.995</v>
      </c>
      <c r="S30" s="125">
        <v>1</v>
      </c>
      <c r="T30" s="126">
        <v>542077710.522012</v>
      </c>
      <c r="U30" s="126">
        <v>542077.71052201197</v>
      </c>
    </row>
    <row r="31" spans="1:21" x14ac:dyDescent="0.25">
      <c r="A31" s="27" t="s">
        <v>199</v>
      </c>
      <c r="B31" s="27">
        <v>131826</v>
      </c>
      <c r="C31" s="27">
        <v>0</v>
      </c>
      <c r="D31" s="6">
        <f t="shared" si="5"/>
        <v>0</v>
      </c>
      <c r="F31" s="117" t="s">
        <v>36</v>
      </c>
      <c r="G31" s="117" t="s">
        <v>72</v>
      </c>
      <c r="H31" s="127">
        <v>1</v>
      </c>
      <c r="I31" s="123">
        <v>94.86</v>
      </c>
      <c r="J31" s="119" t="s">
        <v>133</v>
      </c>
      <c r="K31" s="129">
        <v>1026</v>
      </c>
      <c r="L31" s="119" t="s">
        <v>134</v>
      </c>
      <c r="M31" s="119" t="s">
        <v>119</v>
      </c>
      <c r="N31" s="121">
        <v>97326.36</v>
      </c>
      <c r="O31" s="122" t="s">
        <v>127</v>
      </c>
      <c r="P31" s="123">
        <v>53.06</v>
      </c>
      <c r="Q31" s="122" t="s">
        <v>128</v>
      </c>
      <c r="R31" s="124">
        <v>0.995</v>
      </c>
      <c r="S31" s="125">
        <v>1</v>
      </c>
      <c r="T31" s="126">
        <v>5138315.9782920005</v>
      </c>
      <c r="U31" s="126">
        <v>5138.3159782920002</v>
      </c>
    </row>
    <row r="32" spans="1:21" x14ac:dyDescent="0.25">
      <c r="A32" s="27" t="s">
        <v>195</v>
      </c>
      <c r="B32" s="27">
        <v>6419</v>
      </c>
      <c r="C32" s="27">
        <v>0</v>
      </c>
      <c r="D32" s="6">
        <f t="shared" si="5"/>
        <v>0</v>
      </c>
      <c r="F32" s="117" t="s">
        <v>184</v>
      </c>
      <c r="G32" s="130" t="s">
        <v>72</v>
      </c>
      <c r="H32" s="127">
        <v>1</v>
      </c>
      <c r="I32" s="123">
        <v>3.68</v>
      </c>
      <c r="J32" s="119" t="s">
        <v>133</v>
      </c>
      <c r="K32" s="129">
        <v>1026</v>
      </c>
      <c r="L32" s="119" t="s">
        <v>134</v>
      </c>
      <c r="M32" s="119" t="s">
        <v>119</v>
      </c>
      <c r="N32" s="121">
        <v>3775.6800000000003</v>
      </c>
      <c r="O32" s="122" t="s">
        <v>127</v>
      </c>
      <c r="P32" s="123">
        <v>53.06</v>
      </c>
      <c r="Q32" s="122" t="s">
        <v>128</v>
      </c>
      <c r="R32" s="124">
        <v>0.995</v>
      </c>
      <c r="S32" s="125">
        <v>1</v>
      </c>
      <c r="T32" s="126">
        <v>199335.89289600003</v>
      </c>
      <c r="U32" s="126">
        <v>199.33589289600005</v>
      </c>
    </row>
    <row r="33" spans="1:26" x14ac:dyDescent="0.25">
      <c r="A33" s="27" t="s">
        <v>196</v>
      </c>
      <c r="B33" s="27">
        <v>51563</v>
      </c>
      <c r="C33" s="27"/>
      <c r="D33" s="6">
        <f t="shared" si="5"/>
        <v>0</v>
      </c>
      <c r="F33" s="131"/>
      <c r="G33" s="132"/>
      <c r="H33" s="127">
        <v>1</v>
      </c>
      <c r="I33" s="123"/>
      <c r="J33" s="119"/>
      <c r="K33" s="129" t="s">
        <v>185</v>
      </c>
      <c r="L33" s="119" t="s">
        <v>185</v>
      </c>
      <c r="M33" s="119" t="s">
        <v>185</v>
      </c>
      <c r="N33" s="121" t="s">
        <v>185</v>
      </c>
      <c r="O33" s="122" t="s">
        <v>185</v>
      </c>
      <c r="P33" s="123" t="s">
        <v>185</v>
      </c>
      <c r="Q33" s="122" t="s">
        <v>185</v>
      </c>
      <c r="R33" s="124" t="s">
        <v>185</v>
      </c>
      <c r="S33" s="125" t="s">
        <v>185</v>
      </c>
      <c r="T33" s="126" t="s">
        <v>185</v>
      </c>
      <c r="U33" s="126" t="s">
        <v>185</v>
      </c>
    </row>
    <row r="34" spans="1:26" x14ac:dyDescent="0.25">
      <c r="A34" s="27" t="s">
        <v>228</v>
      </c>
      <c r="B34" s="27">
        <v>1250</v>
      </c>
      <c r="C34" s="27"/>
      <c r="D34" s="6">
        <f t="shared" si="5"/>
        <v>0</v>
      </c>
      <c r="F34" s="131" t="s">
        <v>136</v>
      </c>
      <c r="G34" s="132" t="s">
        <v>72</v>
      </c>
      <c r="H34" s="127">
        <v>1</v>
      </c>
      <c r="I34" s="123"/>
      <c r="J34" s="119" t="s">
        <v>133</v>
      </c>
      <c r="K34" s="129">
        <v>1026</v>
      </c>
      <c r="L34" s="119" t="s">
        <v>134</v>
      </c>
      <c r="M34" s="119" t="s">
        <v>119</v>
      </c>
      <c r="N34" s="121">
        <v>11256502</v>
      </c>
      <c r="O34" s="122" t="s">
        <v>127</v>
      </c>
      <c r="P34" s="123">
        <v>53.06</v>
      </c>
      <c r="Q34" s="122" t="s">
        <v>128</v>
      </c>
      <c r="R34" s="124">
        <v>0.995</v>
      </c>
      <c r="S34" s="125">
        <v>1</v>
      </c>
      <c r="T34" s="126">
        <v>594283646.13940001</v>
      </c>
      <c r="U34" s="126">
        <v>594283.64613939996</v>
      </c>
    </row>
    <row r="35" spans="1:26" x14ac:dyDescent="0.25">
      <c r="A35" s="27" t="s">
        <v>174</v>
      </c>
      <c r="B35" s="27">
        <v>33180</v>
      </c>
      <c r="C35" s="27"/>
      <c r="D35" s="6">
        <f t="shared" si="5"/>
        <v>0</v>
      </c>
    </row>
    <row r="36" spans="1:26" x14ac:dyDescent="0.25">
      <c r="A36" s="27" t="s">
        <v>200</v>
      </c>
      <c r="B36" s="27">
        <v>538</v>
      </c>
      <c r="C36" s="27"/>
      <c r="D36" s="6">
        <f t="shared" si="5"/>
        <v>0</v>
      </c>
      <c r="F36" t="s">
        <v>231</v>
      </c>
      <c r="J36" t="s">
        <v>232</v>
      </c>
      <c r="L36" t="s">
        <v>233</v>
      </c>
      <c r="Q36" t="s">
        <v>234</v>
      </c>
      <c r="S36" t="s">
        <v>235</v>
      </c>
      <c r="U36" t="s">
        <v>236</v>
      </c>
      <c r="V36" t="s">
        <v>237</v>
      </c>
    </row>
    <row r="37" spans="1:26" x14ac:dyDescent="0.25">
      <c r="A37" s="27" t="s">
        <v>201</v>
      </c>
      <c r="B37" s="27">
        <v>163</v>
      </c>
      <c r="C37" s="27"/>
      <c r="D37" s="6">
        <f t="shared" si="5"/>
        <v>0</v>
      </c>
      <c r="F37" s="70" t="s">
        <v>238</v>
      </c>
      <c r="G37" s="70">
        <v>2018</v>
      </c>
      <c r="H37" s="71"/>
      <c r="I37" s="139"/>
      <c r="J37" s="139" t="s">
        <v>88</v>
      </c>
      <c r="K37" s="72" t="s">
        <v>89</v>
      </c>
      <c r="L37" s="138" t="s">
        <v>90</v>
      </c>
      <c r="M37" t="s">
        <v>91</v>
      </c>
      <c r="N37" t="s">
        <v>92</v>
      </c>
      <c r="O37" t="s">
        <v>93</v>
      </c>
      <c r="P37" t="s">
        <v>94</v>
      </c>
      <c r="Q37" t="s">
        <v>95</v>
      </c>
      <c r="R37" t="s">
        <v>96</v>
      </c>
      <c r="S37" t="s">
        <v>97</v>
      </c>
      <c r="T37" t="s">
        <v>98</v>
      </c>
      <c r="U37" t="s">
        <v>99</v>
      </c>
      <c r="V37" t="s">
        <v>100</v>
      </c>
      <c r="W37" t="s">
        <v>239</v>
      </c>
    </row>
    <row r="38" spans="1:26" x14ac:dyDescent="0.25">
      <c r="A38" s="28" t="s">
        <v>226</v>
      </c>
      <c r="B38" s="27">
        <v>151</v>
      </c>
      <c r="C38" s="27"/>
      <c r="D38" s="6">
        <f t="shared" si="5"/>
        <v>0</v>
      </c>
      <c r="F38" s="70"/>
      <c r="G38" s="70"/>
      <c r="H38" s="71"/>
      <c r="I38" s="139"/>
      <c r="J38" s="139" t="s">
        <v>101</v>
      </c>
      <c r="K38" s="72" t="s">
        <v>102</v>
      </c>
      <c r="L38" t="s">
        <v>103</v>
      </c>
      <c r="M38" t="s">
        <v>104</v>
      </c>
      <c r="N38" t="s">
        <v>105</v>
      </c>
      <c r="O38" t="s">
        <v>106</v>
      </c>
      <c r="P38" t="s">
        <v>107</v>
      </c>
      <c r="Q38" t="s">
        <v>240</v>
      </c>
      <c r="R38" t="s">
        <v>109</v>
      </c>
      <c r="S38" t="s">
        <v>241</v>
      </c>
      <c r="T38" t="s">
        <v>242</v>
      </c>
      <c r="U38" t="s">
        <v>111</v>
      </c>
      <c r="V38" t="s">
        <v>243</v>
      </c>
      <c r="W38" t="s">
        <v>244</v>
      </c>
      <c r="Y38" s="161" t="s">
        <v>245</v>
      </c>
    </row>
    <row r="39" spans="1:26" x14ac:dyDescent="0.25">
      <c r="A39" s="28" t="s">
        <v>227</v>
      </c>
      <c r="B39" s="27">
        <v>1042</v>
      </c>
      <c r="C39" s="27"/>
      <c r="D39" s="6">
        <f t="shared" si="5"/>
        <v>0</v>
      </c>
      <c r="F39" s="70"/>
      <c r="G39" s="70"/>
      <c r="H39" s="71"/>
      <c r="I39" s="139"/>
      <c r="J39" s="139"/>
      <c r="K39" s="72"/>
      <c r="N39" t="s">
        <v>112</v>
      </c>
      <c r="O39" t="s">
        <v>113</v>
      </c>
      <c r="V39" t="s">
        <v>246</v>
      </c>
      <c r="W39" t="s">
        <v>247</v>
      </c>
      <c r="Y39" s="161"/>
    </row>
    <row r="40" spans="1:26" ht="15.75" thickBot="1" x14ac:dyDescent="0.3">
      <c r="A40" s="29"/>
      <c r="B40" s="30"/>
      <c r="C40" s="30"/>
      <c r="D40" s="9">
        <f t="shared" si="5"/>
        <v>0</v>
      </c>
      <c r="F40" s="70" t="s">
        <v>248</v>
      </c>
      <c r="G40" s="70"/>
      <c r="H40" s="71"/>
      <c r="I40" s="139"/>
      <c r="J40" s="139">
        <v>1000</v>
      </c>
      <c r="K40" s="72" t="s">
        <v>117</v>
      </c>
      <c r="L40">
        <v>5.0999999999999997E-2</v>
      </c>
      <c r="M40" t="s">
        <v>118</v>
      </c>
      <c r="N40" t="s">
        <v>119</v>
      </c>
      <c r="O40">
        <v>51</v>
      </c>
      <c r="P40" t="s">
        <v>120</v>
      </c>
      <c r="Q40">
        <v>1E-3</v>
      </c>
      <c r="R40" t="s">
        <v>249</v>
      </c>
      <c r="S40">
        <v>2E-3</v>
      </c>
      <c r="T40" t="s">
        <v>250</v>
      </c>
      <c r="U40">
        <v>1</v>
      </c>
      <c r="V40">
        <v>5.1000000000000004E-2</v>
      </c>
      <c r="W40">
        <v>0.10200000000000001</v>
      </c>
      <c r="Y40" s="161"/>
    </row>
    <row r="41" spans="1:26" ht="16.5" thickTop="1" thickBot="1" x14ac:dyDescent="0.3">
      <c r="A41" s="1"/>
      <c r="B41" s="10">
        <f>SUM(B4:B40)</f>
        <v>10861932.1995</v>
      </c>
      <c r="C41" s="175">
        <f>D41/B41</f>
        <v>0.25050359125096</v>
      </c>
      <c r="D41" s="10">
        <f>SUM(D4:D40)</f>
        <v>2720953.0238991887</v>
      </c>
      <c r="F41" t="s">
        <v>251</v>
      </c>
      <c r="G41" t="s">
        <v>122</v>
      </c>
      <c r="H41" t="s">
        <v>123</v>
      </c>
      <c r="I41" t="s">
        <v>124</v>
      </c>
      <c r="Y41" s="161"/>
      <c r="Z41" s="148" t="s">
        <v>122</v>
      </c>
    </row>
    <row r="42" spans="1:26" x14ac:dyDescent="0.25">
      <c r="F42">
        <v>1</v>
      </c>
      <c r="G42" t="s">
        <v>31</v>
      </c>
      <c r="H42" t="s">
        <v>70</v>
      </c>
      <c r="I42">
        <v>0.15</v>
      </c>
      <c r="J42">
        <v>887609</v>
      </c>
      <c r="K42" t="s">
        <v>125</v>
      </c>
      <c r="L42">
        <v>17.024999999999999</v>
      </c>
      <c r="M42" t="s">
        <v>126</v>
      </c>
      <c r="N42" t="s">
        <v>119</v>
      </c>
      <c r="O42">
        <v>15111543.225</v>
      </c>
      <c r="P42" t="s">
        <v>252</v>
      </c>
      <c r="Q42">
        <v>1.0999999999999999E-2</v>
      </c>
      <c r="R42" t="s">
        <v>253</v>
      </c>
      <c r="S42">
        <v>1.6000000000000001E-3</v>
      </c>
      <c r="T42" t="s">
        <v>253</v>
      </c>
      <c r="U42">
        <v>1</v>
      </c>
      <c r="V42">
        <v>166226.97547499998</v>
      </c>
      <c r="W42">
        <v>24178.469160000001</v>
      </c>
      <c r="Y42" s="161">
        <v>11061.6496407</v>
      </c>
      <c r="Z42" s="148" t="s">
        <v>31</v>
      </c>
    </row>
    <row r="43" spans="1:26" x14ac:dyDescent="0.25">
      <c r="F43">
        <v>2</v>
      </c>
      <c r="G43" t="s">
        <v>31</v>
      </c>
      <c r="H43" t="s">
        <v>129</v>
      </c>
      <c r="I43">
        <v>0.15</v>
      </c>
      <c r="J43">
        <v>2601</v>
      </c>
      <c r="K43" t="s">
        <v>130</v>
      </c>
      <c r="L43">
        <v>5.88</v>
      </c>
      <c r="M43" t="s">
        <v>254</v>
      </c>
      <c r="N43" t="s">
        <v>119</v>
      </c>
      <c r="O43">
        <v>15293.88</v>
      </c>
      <c r="P43" t="s">
        <v>127</v>
      </c>
      <c r="Q43">
        <v>3.0000000000000001E-3</v>
      </c>
      <c r="R43" t="s">
        <v>253</v>
      </c>
      <c r="S43">
        <v>5.9999999999999995E-4</v>
      </c>
      <c r="T43" t="s">
        <v>253</v>
      </c>
      <c r="U43">
        <v>1</v>
      </c>
      <c r="V43">
        <v>45.881639999999997</v>
      </c>
      <c r="W43">
        <v>9.176327999999998</v>
      </c>
      <c r="Y43" s="161">
        <v>3.7164128399999994</v>
      </c>
      <c r="Z43" s="148" t="s">
        <v>31</v>
      </c>
    </row>
    <row r="44" spans="1:26" x14ac:dyDescent="0.25">
      <c r="A44" s="157"/>
      <c r="B44" s="158"/>
      <c r="F44">
        <v>3</v>
      </c>
      <c r="G44" t="s">
        <v>132</v>
      </c>
      <c r="H44" t="s">
        <v>72</v>
      </c>
      <c r="I44">
        <v>1</v>
      </c>
      <c r="J44">
        <v>1723.02</v>
      </c>
      <c r="K44" t="s">
        <v>133</v>
      </c>
      <c r="L44">
        <v>1026</v>
      </c>
      <c r="M44" t="s">
        <v>134</v>
      </c>
      <c r="N44" t="s">
        <v>119</v>
      </c>
      <c r="O44">
        <v>1767818.52</v>
      </c>
      <c r="P44" t="s">
        <v>252</v>
      </c>
      <c r="Q44">
        <v>1E-3</v>
      </c>
      <c r="R44" t="s">
        <v>253</v>
      </c>
      <c r="S44">
        <v>1E-4</v>
      </c>
      <c r="T44" t="s">
        <v>253</v>
      </c>
      <c r="U44">
        <v>1</v>
      </c>
      <c r="V44">
        <v>1767.81852</v>
      </c>
      <c r="W44">
        <v>176.78185200000001</v>
      </c>
      <c r="Y44" s="161">
        <v>96.346109339999998</v>
      </c>
      <c r="Z44" s="148" t="s">
        <v>132</v>
      </c>
    </row>
    <row r="45" spans="1:26" x14ac:dyDescent="0.25">
      <c r="A45" s="157"/>
      <c r="B45" s="159"/>
      <c r="C45" s="71"/>
      <c r="D45" s="72"/>
      <c r="F45">
        <v>4</v>
      </c>
      <c r="G45" t="s">
        <v>135</v>
      </c>
      <c r="H45" t="s">
        <v>72</v>
      </c>
      <c r="I45">
        <v>1</v>
      </c>
      <c r="J45">
        <v>18.2</v>
      </c>
      <c r="K45" t="s">
        <v>133</v>
      </c>
      <c r="L45">
        <v>1026</v>
      </c>
      <c r="M45" t="s">
        <v>134</v>
      </c>
      <c r="N45" t="s">
        <v>119</v>
      </c>
      <c r="O45">
        <v>18673.2</v>
      </c>
      <c r="P45" t="s">
        <v>127</v>
      </c>
      <c r="Q45">
        <v>1E-3</v>
      </c>
      <c r="R45" t="s">
        <v>253</v>
      </c>
      <c r="S45">
        <v>1E-4</v>
      </c>
      <c r="T45" t="s">
        <v>253</v>
      </c>
      <c r="U45">
        <v>1</v>
      </c>
      <c r="V45">
        <v>18.673200000000001</v>
      </c>
      <c r="W45">
        <v>1.8673200000000001</v>
      </c>
      <c r="Y45" s="161">
        <v>1.0176894000000001</v>
      </c>
      <c r="Z45" s="148" t="s">
        <v>135</v>
      </c>
    </row>
    <row r="46" spans="1:26" x14ac:dyDescent="0.25">
      <c r="A46" s="157"/>
      <c r="B46" s="159"/>
      <c r="C46" s="71"/>
      <c r="D46" s="72"/>
      <c r="F46">
        <v>5</v>
      </c>
      <c r="G46" t="s">
        <v>34</v>
      </c>
      <c r="H46" t="s">
        <v>72</v>
      </c>
      <c r="I46">
        <v>1</v>
      </c>
      <c r="J46">
        <v>430.89</v>
      </c>
      <c r="K46" t="s">
        <v>133</v>
      </c>
      <c r="L46">
        <v>1026</v>
      </c>
      <c r="M46" t="s">
        <v>134</v>
      </c>
      <c r="N46" t="s">
        <v>119</v>
      </c>
      <c r="O46">
        <v>442093.14</v>
      </c>
      <c r="P46" t="s">
        <v>252</v>
      </c>
      <c r="Q46">
        <v>1E-3</v>
      </c>
      <c r="R46" t="s">
        <v>253</v>
      </c>
      <c r="S46">
        <v>1E-4</v>
      </c>
      <c r="T46" t="s">
        <v>253</v>
      </c>
      <c r="U46">
        <v>1</v>
      </c>
      <c r="V46">
        <v>442.09314000000001</v>
      </c>
      <c r="W46">
        <v>44.209314000000006</v>
      </c>
      <c r="Y46" s="161">
        <v>24.094076130000001</v>
      </c>
      <c r="Z46" s="148" t="s">
        <v>34</v>
      </c>
    </row>
    <row r="47" spans="1:26" x14ac:dyDescent="0.25">
      <c r="A47" s="157"/>
      <c r="B47" s="159"/>
      <c r="F47">
        <v>6</v>
      </c>
      <c r="G47" t="s">
        <v>35</v>
      </c>
      <c r="H47" t="s">
        <v>72</v>
      </c>
      <c r="I47">
        <v>1</v>
      </c>
      <c r="J47">
        <v>10007.459999999999</v>
      </c>
      <c r="K47" t="s">
        <v>133</v>
      </c>
      <c r="L47">
        <v>1026</v>
      </c>
      <c r="M47" t="s">
        <v>134</v>
      </c>
      <c r="N47" t="s">
        <v>119</v>
      </c>
      <c r="O47">
        <v>10267653.959999999</v>
      </c>
      <c r="P47" t="s">
        <v>127</v>
      </c>
      <c r="Q47">
        <v>1E-3</v>
      </c>
      <c r="R47" t="s">
        <v>253</v>
      </c>
      <c r="S47">
        <v>1E-4</v>
      </c>
      <c r="T47" t="s">
        <v>253</v>
      </c>
      <c r="U47">
        <v>1</v>
      </c>
      <c r="V47">
        <v>10267.65396</v>
      </c>
      <c r="W47">
        <v>1026.765396</v>
      </c>
      <c r="Y47" s="161">
        <v>559.58714082000006</v>
      </c>
      <c r="Z47" s="148" t="s">
        <v>35</v>
      </c>
    </row>
    <row r="48" spans="1:26" x14ac:dyDescent="0.25">
      <c r="A48" s="157"/>
      <c r="B48" s="159"/>
      <c r="F48">
        <v>7</v>
      </c>
      <c r="G48" t="s">
        <v>36</v>
      </c>
      <c r="H48" t="s">
        <v>72</v>
      </c>
      <c r="I48">
        <v>1</v>
      </c>
      <c r="J48">
        <v>94.86</v>
      </c>
      <c r="K48" t="s">
        <v>133</v>
      </c>
      <c r="L48">
        <v>1026</v>
      </c>
      <c r="M48" t="s">
        <v>134</v>
      </c>
      <c r="N48" t="s">
        <v>119</v>
      </c>
      <c r="O48">
        <v>97326.36</v>
      </c>
      <c r="P48" t="s">
        <v>252</v>
      </c>
      <c r="Q48">
        <v>1E-3</v>
      </c>
      <c r="R48" t="s">
        <v>253</v>
      </c>
      <c r="S48">
        <v>1E-4</v>
      </c>
      <c r="T48" t="s">
        <v>253</v>
      </c>
      <c r="U48">
        <v>1</v>
      </c>
      <c r="V48">
        <v>97.326360000000008</v>
      </c>
      <c r="W48">
        <v>9.7326360000000012</v>
      </c>
      <c r="Y48" s="161">
        <v>5.304286620000001</v>
      </c>
      <c r="Z48" s="148" t="s">
        <v>36</v>
      </c>
    </row>
    <row r="49" spans="1:26" x14ac:dyDescent="0.25">
      <c r="A49" s="157"/>
      <c r="B49" s="159"/>
      <c r="F49">
        <v>8</v>
      </c>
      <c r="G49" t="s">
        <v>184</v>
      </c>
      <c r="H49" t="s">
        <v>72</v>
      </c>
      <c r="I49">
        <v>1</v>
      </c>
      <c r="J49">
        <v>3.68</v>
      </c>
      <c r="K49" t="s">
        <v>133</v>
      </c>
      <c r="L49">
        <v>1026</v>
      </c>
      <c r="M49" t="s">
        <v>134</v>
      </c>
      <c r="N49" t="s">
        <v>119</v>
      </c>
      <c r="O49">
        <v>3775.6800000000003</v>
      </c>
      <c r="P49" t="s">
        <v>127</v>
      </c>
      <c r="Q49">
        <v>1E-3</v>
      </c>
      <c r="R49" t="s">
        <v>253</v>
      </c>
      <c r="S49">
        <v>1E-4</v>
      </c>
      <c r="T49" t="s">
        <v>253</v>
      </c>
      <c r="U49">
        <v>1</v>
      </c>
      <c r="V49">
        <v>3.7756800000000004</v>
      </c>
      <c r="W49">
        <v>0.37756800000000007</v>
      </c>
      <c r="Y49" s="161">
        <v>0.20577456</v>
      </c>
      <c r="Z49" s="148" t="s">
        <v>184</v>
      </c>
    </row>
    <row r="50" spans="1:26" x14ac:dyDescent="0.25">
      <c r="A50" s="157"/>
      <c r="B50" s="159"/>
      <c r="F50">
        <v>9</v>
      </c>
      <c r="I50" t="s">
        <v>185</v>
      </c>
      <c r="J50">
        <v>0</v>
      </c>
      <c r="K50">
        <v>0</v>
      </c>
      <c r="L50">
        <v>0</v>
      </c>
      <c r="M50" t="s">
        <v>185</v>
      </c>
      <c r="N50" t="s">
        <v>185</v>
      </c>
      <c r="O50" t="s">
        <v>185</v>
      </c>
      <c r="P50" t="s">
        <v>185</v>
      </c>
      <c r="Q50" t="s">
        <v>185</v>
      </c>
      <c r="R50" t="s">
        <v>185</v>
      </c>
      <c r="S50" t="s">
        <v>185</v>
      </c>
      <c r="T50" t="s">
        <v>185</v>
      </c>
      <c r="U50" t="s">
        <v>185</v>
      </c>
      <c r="V50" t="s">
        <v>185</v>
      </c>
      <c r="W50" t="s">
        <v>185</v>
      </c>
      <c r="Z50" s="148"/>
    </row>
    <row r="51" spans="1:26" x14ac:dyDescent="0.25">
      <c r="A51" s="157"/>
      <c r="B51" s="159"/>
      <c r="F51">
        <v>10</v>
      </c>
      <c r="G51" t="s">
        <v>136</v>
      </c>
      <c r="I51">
        <v>1</v>
      </c>
      <c r="J51">
        <v>0</v>
      </c>
      <c r="K51" t="s">
        <v>133</v>
      </c>
      <c r="L51">
        <v>1026</v>
      </c>
      <c r="M51" t="s">
        <v>134</v>
      </c>
      <c r="N51" t="s">
        <v>119</v>
      </c>
      <c r="O51">
        <v>11256502</v>
      </c>
      <c r="P51" t="s">
        <v>127</v>
      </c>
      <c r="Q51">
        <v>1E-3</v>
      </c>
      <c r="R51" t="s">
        <v>253</v>
      </c>
      <c r="S51">
        <v>1E-4</v>
      </c>
      <c r="T51" t="s">
        <v>253</v>
      </c>
      <c r="U51">
        <v>1</v>
      </c>
      <c r="V51">
        <v>11256.502</v>
      </c>
      <c r="W51">
        <v>1125.6502</v>
      </c>
      <c r="Y51">
        <v>613.47935899999993</v>
      </c>
      <c r="Z51" s="148" t="s">
        <v>136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8" customFormat="1" ht="15" customHeight="1" thickBot="1" x14ac:dyDescent="0.3">
      <c r="A1" s="143" t="s">
        <v>176</v>
      </c>
      <c r="B1" s="144">
        <v>2018</v>
      </c>
      <c r="G1" s="172"/>
      <c r="H1" s="172"/>
      <c r="I1" s="172"/>
      <c r="J1" s="172"/>
    </row>
    <row r="2" spans="1:10" s="148" customFormat="1" ht="15" customHeight="1" x14ac:dyDescent="0.35">
      <c r="A2" s="137"/>
      <c r="B2" s="173" t="s">
        <v>260</v>
      </c>
      <c r="C2" s="173"/>
      <c r="D2" s="173"/>
      <c r="E2" s="174"/>
      <c r="F2" s="163">
        <v>0.437</v>
      </c>
      <c r="G2" s="148" t="s">
        <v>262</v>
      </c>
      <c r="H2" s="145"/>
      <c r="I2" s="145"/>
      <c r="J2" s="145"/>
    </row>
    <row r="3" spans="1:10" s="148" customFormat="1" ht="15" customHeight="1" x14ac:dyDescent="0.35">
      <c r="E3" s="148" t="s">
        <v>177</v>
      </c>
      <c r="F3" s="140">
        <f>'Known Resources'!C41</f>
        <v>0.25050359125096</v>
      </c>
      <c r="G3" s="148" t="s">
        <v>262</v>
      </c>
    </row>
    <row r="4" spans="1:10" ht="49.5" customHeight="1" x14ac:dyDescent="0.25">
      <c r="A4" s="141" t="s">
        <v>159</v>
      </c>
      <c r="B4" s="141" t="s">
        <v>160</v>
      </c>
      <c r="D4" s="141" t="s">
        <v>159</v>
      </c>
      <c r="E4" s="141" t="s">
        <v>161</v>
      </c>
      <c r="F4" s="141" t="s">
        <v>178</v>
      </c>
      <c r="G4" s="142" t="s">
        <v>261</v>
      </c>
    </row>
    <row r="5" spans="1:10" ht="15" customHeight="1" x14ac:dyDescent="0.25">
      <c r="A5" s="157" t="s">
        <v>202</v>
      </c>
      <c r="B5" s="159">
        <v>115265</v>
      </c>
      <c r="C5" s="148"/>
      <c r="D5" s="149" t="s">
        <v>202</v>
      </c>
      <c r="E5" s="153">
        <v>490865</v>
      </c>
      <c r="F5" s="151">
        <f>B5-E5</f>
        <v>-375600</v>
      </c>
      <c r="G5" s="153">
        <f>IF(F5&gt;0,F5*$F$2,F5*$F$3)</f>
        <v>-94089.148873860569</v>
      </c>
    </row>
    <row r="6" spans="1:10" ht="15" customHeight="1" x14ac:dyDescent="0.25">
      <c r="A6" s="157" t="s">
        <v>45</v>
      </c>
      <c r="B6" s="159">
        <v>2600</v>
      </c>
      <c r="C6" s="148"/>
      <c r="D6" s="149" t="s">
        <v>45</v>
      </c>
      <c r="E6" s="150">
        <v>111</v>
      </c>
      <c r="F6" s="151">
        <f t="shared" ref="F6:F59" si="0">B6-E6</f>
        <v>2489</v>
      </c>
      <c r="G6" s="153">
        <f t="shared" ref="G6:G59" si="1">IF(F6&gt;0,F6*$F$2,F6*$F$3)</f>
        <v>1087.693</v>
      </c>
    </row>
    <row r="7" spans="1:10" ht="15" customHeight="1" x14ac:dyDescent="0.25">
      <c r="A7" s="157" t="s">
        <v>162</v>
      </c>
      <c r="B7" s="154">
        <v>621242</v>
      </c>
      <c r="C7" s="148"/>
      <c r="D7" s="149" t="s">
        <v>162</v>
      </c>
      <c r="E7" s="150">
        <v>94935</v>
      </c>
      <c r="F7" s="151">
        <f t="shared" si="0"/>
        <v>526307</v>
      </c>
      <c r="G7" s="153">
        <f t="shared" si="1"/>
        <v>229996.15900000001</v>
      </c>
    </row>
    <row r="8" spans="1:10" ht="15" customHeight="1" x14ac:dyDescent="0.25">
      <c r="A8" s="149" t="s">
        <v>46</v>
      </c>
      <c r="B8" s="159">
        <v>0</v>
      </c>
      <c r="C8" s="151"/>
      <c r="D8" s="149" t="s">
        <v>46</v>
      </c>
      <c r="E8" s="150">
        <v>2704</v>
      </c>
      <c r="F8" s="151">
        <f t="shared" si="0"/>
        <v>-2704</v>
      </c>
      <c r="G8" s="153">
        <f t="shared" si="1"/>
        <v>-677.36171074259585</v>
      </c>
    </row>
    <row r="9" spans="1:10" ht="15" customHeight="1" x14ac:dyDescent="0.25">
      <c r="A9" s="149" t="s">
        <v>186</v>
      </c>
      <c r="B9" s="154">
        <v>0</v>
      </c>
      <c r="C9" s="148"/>
      <c r="D9" s="149" t="s">
        <v>186</v>
      </c>
      <c r="E9" s="150">
        <v>34</v>
      </c>
      <c r="F9" s="151">
        <f t="shared" si="0"/>
        <v>-34</v>
      </c>
      <c r="G9" s="153">
        <f t="shared" si="1"/>
        <v>-8.5171221025326407</v>
      </c>
    </row>
    <row r="10" spans="1:10" ht="15" customHeight="1" x14ac:dyDescent="0.25">
      <c r="A10" s="157" t="s">
        <v>163</v>
      </c>
      <c r="B10" s="159">
        <v>1166</v>
      </c>
      <c r="C10" s="151"/>
      <c r="D10" s="149" t="s">
        <v>163</v>
      </c>
      <c r="E10" s="150">
        <v>200</v>
      </c>
      <c r="F10" s="151">
        <f t="shared" si="0"/>
        <v>966</v>
      </c>
      <c r="G10" s="153">
        <f t="shared" si="1"/>
        <v>422.142</v>
      </c>
    </row>
    <row r="11" spans="1:10" ht="15" customHeight="1" x14ac:dyDescent="0.25">
      <c r="A11" s="157" t="s">
        <v>203</v>
      </c>
      <c r="B11" s="159">
        <v>11962</v>
      </c>
      <c r="C11" s="148"/>
      <c r="D11" s="149" t="s">
        <v>203</v>
      </c>
      <c r="E11" s="150">
        <v>257128</v>
      </c>
      <c r="F11" s="151">
        <f t="shared" si="0"/>
        <v>-245166</v>
      </c>
      <c r="G11" s="153">
        <f t="shared" si="1"/>
        <v>-61414.963452632859</v>
      </c>
    </row>
    <row r="12" spans="1:10" ht="15" customHeight="1" x14ac:dyDescent="0.25">
      <c r="A12" s="157" t="s">
        <v>179</v>
      </c>
      <c r="B12" s="159">
        <v>33230</v>
      </c>
      <c r="C12" s="148"/>
      <c r="D12" s="149" t="s">
        <v>179</v>
      </c>
      <c r="E12" s="150">
        <v>82455</v>
      </c>
      <c r="F12" s="151">
        <f t="shared" si="0"/>
        <v>-49225</v>
      </c>
      <c r="G12" s="153">
        <f t="shared" si="1"/>
        <v>-12331.039279328506</v>
      </c>
    </row>
    <row r="13" spans="1:10" ht="15" customHeight="1" x14ac:dyDescent="0.25">
      <c r="A13" s="157" t="s">
        <v>47</v>
      </c>
      <c r="B13" s="159">
        <v>3200</v>
      </c>
      <c r="C13" s="148"/>
      <c r="D13" s="149" t="s">
        <v>47</v>
      </c>
      <c r="E13" s="150">
        <v>29000</v>
      </c>
      <c r="F13" s="151">
        <f t="shared" si="0"/>
        <v>-25800</v>
      </c>
      <c r="G13" s="153">
        <f t="shared" si="1"/>
        <v>-6462.992654274768</v>
      </c>
    </row>
    <row r="14" spans="1:10" ht="15" customHeight="1" x14ac:dyDescent="0.25">
      <c r="A14" s="157" t="s">
        <v>204</v>
      </c>
      <c r="B14" s="159">
        <v>800</v>
      </c>
      <c r="C14" s="148"/>
      <c r="D14" s="149" t="s">
        <v>204</v>
      </c>
      <c r="E14" s="150">
        <v>2886</v>
      </c>
      <c r="F14" s="151">
        <f t="shared" si="0"/>
        <v>-2086</v>
      </c>
      <c r="G14" s="153">
        <f t="shared" si="1"/>
        <v>-522.55049134950252</v>
      </c>
    </row>
    <row r="15" spans="1:10" ht="15" customHeight="1" x14ac:dyDescent="0.25">
      <c r="A15" s="157" t="s">
        <v>205</v>
      </c>
      <c r="B15" s="159">
        <v>120</v>
      </c>
      <c r="C15" s="148"/>
      <c r="D15" s="157" t="s">
        <v>205</v>
      </c>
      <c r="E15" s="150">
        <v>0</v>
      </c>
      <c r="F15" s="151">
        <f t="shared" si="0"/>
        <v>120</v>
      </c>
      <c r="G15" s="153">
        <f t="shared" si="1"/>
        <v>52.44</v>
      </c>
    </row>
    <row r="16" spans="1:10" ht="15" customHeight="1" x14ac:dyDescent="0.25">
      <c r="A16" s="157" t="s">
        <v>180</v>
      </c>
      <c r="B16" s="159">
        <v>1400</v>
      </c>
      <c r="C16" s="148"/>
      <c r="D16" s="157" t="s">
        <v>180</v>
      </c>
      <c r="E16" s="150">
        <v>0</v>
      </c>
      <c r="F16" s="151">
        <f t="shared" si="0"/>
        <v>1400</v>
      </c>
      <c r="G16" s="153">
        <f t="shared" si="1"/>
        <v>611.79999999999995</v>
      </c>
    </row>
    <row r="17" spans="1:7" ht="15" customHeight="1" x14ac:dyDescent="0.25">
      <c r="A17" s="149" t="s">
        <v>187</v>
      </c>
      <c r="B17" s="154">
        <v>0</v>
      </c>
      <c r="C17" s="148"/>
      <c r="D17" s="149" t="s">
        <v>187</v>
      </c>
      <c r="E17" s="150">
        <v>447026</v>
      </c>
      <c r="F17" s="151">
        <f t="shared" si="0"/>
        <v>-447026</v>
      </c>
      <c r="G17" s="153">
        <f t="shared" si="1"/>
        <v>-111981.61838255165</v>
      </c>
    </row>
    <row r="18" spans="1:7" ht="15" customHeight="1" x14ac:dyDescent="0.25">
      <c r="A18" s="157" t="s">
        <v>48</v>
      </c>
      <c r="B18" s="159">
        <v>5219</v>
      </c>
      <c r="C18" s="148"/>
      <c r="D18" s="149" t="s">
        <v>164</v>
      </c>
      <c r="E18" s="150">
        <v>79623</v>
      </c>
      <c r="F18" s="151">
        <f t="shared" si="0"/>
        <v>-74404</v>
      </c>
      <c r="G18" s="153">
        <f t="shared" si="1"/>
        <v>-18638.469203436427</v>
      </c>
    </row>
    <row r="19" spans="1:7" ht="15" customHeight="1" x14ac:dyDescent="0.25">
      <c r="A19" s="157" t="s">
        <v>206</v>
      </c>
      <c r="B19" s="159">
        <v>760</v>
      </c>
      <c r="C19" s="148"/>
      <c r="D19" s="149" t="s">
        <v>206</v>
      </c>
      <c r="E19" s="150">
        <v>14074</v>
      </c>
      <c r="F19" s="151">
        <f t="shared" si="0"/>
        <v>-13314</v>
      </c>
      <c r="G19" s="153">
        <f t="shared" si="1"/>
        <v>-3335.2048139152816</v>
      </c>
    </row>
    <row r="20" spans="1:7" ht="15" customHeight="1" x14ac:dyDescent="0.25">
      <c r="A20" s="157" t="s">
        <v>49</v>
      </c>
      <c r="B20" s="159">
        <v>9356</v>
      </c>
      <c r="C20" s="148"/>
      <c r="D20" s="149" t="s">
        <v>49</v>
      </c>
      <c r="E20" s="150">
        <v>48642</v>
      </c>
      <c r="F20" s="151">
        <f t="shared" si="0"/>
        <v>-39286</v>
      </c>
      <c r="G20" s="153">
        <f t="shared" si="1"/>
        <v>-9841.2840858852142</v>
      </c>
    </row>
    <row r="21" spans="1:7" ht="15" customHeight="1" x14ac:dyDescent="0.25">
      <c r="A21" s="157" t="s">
        <v>165</v>
      </c>
      <c r="B21" s="159">
        <v>2079</v>
      </c>
      <c r="C21" s="148"/>
      <c r="D21" s="149" t="s">
        <v>165</v>
      </c>
      <c r="E21" s="150">
        <v>31417</v>
      </c>
      <c r="F21" s="151">
        <f t="shared" si="0"/>
        <v>-29338</v>
      </c>
      <c r="G21" s="153">
        <f t="shared" si="1"/>
        <v>-7349.2743601206648</v>
      </c>
    </row>
    <row r="22" spans="1:7" ht="15" customHeight="1" x14ac:dyDescent="0.25">
      <c r="A22" s="157" t="s">
        <v>50</v>
      </c>
      <c r="B22" s="159">
        <v>43380</v>
      </c>
      <c r="C22" s="148"/>
      <c r="D22" s="149" t="s">
        <v>50</v>
      </c>
      <c r="E22" s="150">
        <v>39972</v>
      </c>
      <c r="F22" s="151">
        <f t="shared" si="0"/>
        <v>3408</v>
      </c>
      <c r="G22" s="153">
        <f t="shared" si="1"/>
        <v>1489.296</v>
      </c>
    </row>
    <row r="23" spans="1:7" ht="15" customHeight="1" x14ac:dyDescent="0.25">
      <c r="A23" s="157" t="s">
        <v>51</v>
      </c>
      <c r="B23" s="159">
        <v>6</v>
      </c>
      <c r="C23" s="148"/>
      <c r="D23" s="149" t="s">
        <v>51</v>
      </c>
      <c r="E23" s="150">
        <v>41</v>
      </c>
      <c r="F23" s="151">
        <f t="shared" si="0"/>
        <v>-35</v>
      </c>
      <c r="G23" s="153">
        <f t="shared" si="1"/>
        <v>-8.7676256937836001</v>
      </c>
    </row>
    <row r="24" spans="1:7" ht="15" customHeight="1" x14ac:dyDescent="0.25">
      <c r="A24" s="157" t="s">
        <v>207</v>
      </c>
      <c r="B24" s="159">
        <v>4</v>
      </c>
      <c r="C24" s="148"/>
      <c r="D24" s="149" t="s">
        <v>207</v>
      </c>
      <c r="E24" s="150">
        <v>438</v>
      </c>
      <c r="F24" s="151">
        <f t="shared" si="0"/>
        <v>-434</v>
      </c>
      <c r="G24" s="153">
        <f t="shared" si="1"/>
        <v>-108.71855860291664</v>
      </c>
    </row>
    <row r="25" spans="1:7" ht="15" customHeight="1" x14ac:dyDescent="0.25">
      <c r="A25" s="157" t="s">
        <v>208</v>
      </c>
      <c r="B25" s="159">
        <v>2893</v>
      </c>
      <c r="C25" s="148"/>
      <c r="D25" s="157" t="s">
        <v>208</v>
      </c>
      <c r="E25" s="150">
        <v>0</v>
      </c>
      <c r="F25" s="151">
        <f t="shared" si="0"/>
        <v>2893</v>
      </c>
      <c r="G25" s="153">
        <f t="shared" si="1"/>
        <v>1264.241</v>
      </c>
    </row>
    <row r="26" spans="1:7" ht="15" customHeight="1" x14ac:dyDescent="0.25">
      <c r="A26" s="157" t="s">
        <v>52</v>
      </c>
      <c r="B26" s="154">
        <v>401673</v>
      </c>
      <c r="C26" s="148"/>
      <c r="D26" s="149" t="s">
        <v>52</v>
      </c>
      <c r="E26" s="150">
        <v>4474</v>
      </c>
      <c r="F26" s="151">
        <f t="shared" si="0"/>
        <v>397199</v>
      </c>
      <c r="G26" s="153">
        <f t="shared" si="1"/>
        <v>173575.96299999999</v>
      </c>
    </row>
    <row r="27" spans="1:7" ht="15" customHeight="1" x14ac:dyDescent="0.25">
      <c r="A27" s="157" t="s">
        <v>209</v>
      </c>
      <c r="B27" s="159">
        <v>406</v>
      </c>
      <c r="C27" s="148"/>
      <c r="D27" s="149" t="s">
        <v>209</v>
      </c>
      <c r="E27" s="150">
        <v>46366</v>
      </c>
      <c r="F27" s="151">
        <f t="shared" si="0"/>
        <v>-45960</v>
      </c>
      <c r="G27" s="153">
        <f t="shared" si="1"/>
        <v>-11513.145053894121</v>
      </c>
    </row>
    <row r="28" spans="1:7" ht="15" customHeight="1" x14ac:dyDescent="0.25">
      <c r="A28" s="157" t="s">
        <v>166</v>
      </c>
      <c r="B28" s="159">
        <v>128</v>
      </c>
      <c r="C28" s="148"/>
      <c r="D28" s="157" t="s">
        <v>166</v>
      </c>
      <c r="E28" s="150">
        <v>0</v>
      </c>
      <c r="F28" s="151">
        <f t="shared" si="0"/>
        <v>128</v>
      </c>
      <c r="G28" s="153">
        <f t="shared" si="1"/>
        <v>55.936</v>
      </c>
    </row>
    <row r="29" spans="1:7" ht="15" customHeight="1" x14ac:dyDescent="0.25">
      <c r="A29" s="157" t="s">
        <v>53</v>
      </c>
      <c r="B29" s="159">
        <v>1655</v>
      </c>
      <c r="C29" s="148"/>
      <c r="D29" s="149" t="s">
        <v>53</v>
      </c>
      <c r="E29" s="150">
        <v>1673</v>
      </c>
      <c r="F29" s="151">
        <f t="shared" si="0"/>
        <v>-18</v>
      </c>
      <c r="G29" s="153">
        <f t="shared" si="1"/>
        <v>-4.5090646425172798</v>
      </c>
    </row>
    <row r="30" spans="1:7" ht="15" customHeight="1" x14ac:dyDescent="0.25">
      <c r="A30" s="157" t="s">
        <v>54</v>
      </c>
      <c r="B30" s="159">
        <v>21186</v>
      </c>
      <c r="C30" s="148"/>
      <c r="D30" s="149" t="s">
        <v>54</v>
      </c>
      <c r="E30" s="150">
        <v>192274</v>
      </c>
      <c r="F30" s="151">
        <f t="shared" si="0"/>
        <v>-171088</v>
      </c>
      <c r="G30" s="153">
        <f t="shared" si="1"/>
        <v>-42858.158419944244</v>
      </c>
    </row>
    <row r="31" spans="1:7" ht="15" customHeight="1" x14ac:dyDescent="0.25">
      <c r="A31" s="157" t="s">
        <v>55</v>
      </c>
      <c r="B31" s="159">
        <v>58801</v>
      </c>
      <c r="C31" s="148"/>
      <c r="D31" s="149" t="s">
        <v>55</v>
      </c>
      <c r="E31" s="150">
        <v>206450</v>
      </c>
      <c r="F31" s="151">
        <f t="shared" si="0"/>
        <v>-147649</v>
      </c>
      <c r="G31" s="153">
        <f t="shared" si="1"/>
        <v>-36986.604744612996</v>
      </c>
    </row>
    <row r="32" spans="1:7" ht="15" customHeight="1" x14ac:dyDescent="0.25">
      <c r="A32" s="149" t="s">
        <v>223</v>
      </c>
      <c r="B32" s="154">
        <v>0</v>
      </c>
      <c r="C32" s="148"/>
      <c r="D32" s="149" t="s">
        <v>223</v>
      </c>
      <c r="E32" s="150">
        <v>602</v>
      </c>
      <c r="F32" s="151">
        <f t="shared" si="0"/>
        <v>-602</v>
      </c>
      <c r="G32" s="153">
        <f t="shared" si="1"/>
        <v>-150.80316193307792</v>
      </c>
    </row>
    <row r="33" spans="1:7" ht="15" customHeight="1" x14ac:dyDescent="0.25">
      <c r="A33" s="157" t="s">
        <v>210</v>
      </c>
      <c r="B33" s="159">
        <v>20</v>
      </c>
      <c r="C33" s="148"/>
      <c r="D33" s="149" t="s">
        <v>210</v>
      </c>
      <c r="E33" s="150">
        <v>1120</v>
      </c>
      <c r="F33" s="151">
        <f t="shared" si="0"/>
        <v>-1100</v>
      </c>
      <c r="G33" s="153">
        <f t="shared" si="1"/>
        <v>-275.55395037605598</v>
      </c>
    </row>
    <row r="34" spans="1:7" ht="15" customHeight="1" x14ac:dyDescent="0.25">
      <c r="A34" s="157" t="s">
        <v>211</v>
      </c>
      <c r="B34" s="159">
        <v>3351</v>
      </c>
      <c r="C34" s="148"/>
      <c r="D34" s="157" t="s">
        <v>211</v>
      </c>
      <c r="E34" s="150">
        <v>0</v>
      </c>
      <c r="F34" s="151">
        <f t="shared" si="0"/>
        <v>3351</v>
      </c>
      <c r="G34" s="153">
        <f t="shared" si="1"/>
        <v>1464.3869999999999</v>
      </c>
    </row>
    <row r="35" spans="1:7" ht="15" customHeight="1" x14ac:dyDescent="0.25">
      <c r="A35" s="157" t="s">
        <v>167</v>
      </c>
      <c r="B35" s="159">
        <v>45127</v>
      </c>
      <c r="C35" s="148"/>
      <c r="D35" s="149" t="s">
        <v>167</v>
      </c>
      <c r="E35" s="150">
        <v>46514</v>
      </c>
      <c r="F35" s="151">
        <f t="shared" si="0"/>
        <v>-1387</v>
      </c>
      <c r="G35" s="153">
        <f t="shared" si="1"/>
        <v>-347.44848106508152</v>
      </c>
    </row>
    <row r="36" spans="1:7" ht="15" customHeight="1" x14ac:dyDescent="0.25">
      <c r="A36" s="157" t="s">
        <v>56</v>
      </c>
      <c r="B36" s="159">
        <v>72650</v>
      </c>
      <c r="C36" s="154"/>
      <c r="D36" s="149" t="s">
        <v>56</v>
      </c>
      <c r="E36" s="150">
        <v>205697</v>
      </c>
      <c r="F36" s="151">
        <f t="shared" si="0"/>
        <v>-133047</v>
      </c>
      <c r="G36" s="153">
        <f t="shared" si="1"/>
        <v>-33328.751305166472</v>
      </c>
    </row>
    <row r="37" spans="1:7" ht="15" customHeight="1" x14ac:dyDescent="0.25">
      <c r="A37" s="149" t="s">
        <v>224</v>
      </c>
      <c r="B37" s="154">
        <v>0</v>
      </c>
      <c r="C37" s="148"/>
      <c r="D37" s="149" t="s">
        <v>224</v>
      </c>
      <c r="E37" s="150">
        <v>16000</v>
      </c>
      <c r="F37" s="151">
        <f t="shared" si="0"/>
        <v>-16000</v>
      </c>
      <c r="G37" s="153">
        <f t="shared" si="1"/>
        <v>-4008.05746001536</v>
      </c>
    </row>
    <row r="38" spans="1:7" ht="15" customHeight="1" x14ac:dyDescent="0.25">
      <c r="A38" s="157" t="s">
        <v>168</v>
      </c>
      <c r="B38" s="154">
        <v>53436</v>
      </c>
      <c r="C38" s="148"/>
      <c r="D38" s="157" t="s">
        <v>168</v>
      </c>
      <c r="E38" s="150">
        <v>167523</v>
      </c>
      <c r="F38" s="151">
        <f t="shared" si="0"/>
        <v>-114087</v>
      </c>
      <c r="G38" s="153">
        <f t="shared" si="1"/>
        <v>-28579.203215048274</v>
      </c>
    </row>
    <row r="39" spans="1:7" ht="15" customHeight="1" x14ac:dyDescent="0.25">
      <c r="A39" s="157" t="s">
        <v>57</v>
      </c>
      <c r="B39" s="159">
        <v>140155</v>
      </c>
      <c r="C39" s="148"/>
      <c r="D39" s="149" t="s">
        <v>57</v>
      </c>
      <c r="E39" s="150">
        <v>263509</v>
      </c>
      <c r="F39" s="151">
        <f t="shared" si="0"/>
        <v>-123354</v>
      </c>
      <c r="G39" s="153">
        <f t="shared" si="1"/>
        <v>-30900.61999517092</v>
      </c>
    </row>
    <row r="40" spans="1:7" ht="15" customHeight="1" x14ac:dyDescent="0.25">
      <c r="A40" s="157" t="s">
        <v>169</v>
      </c>
      <c r="B40" s="159">
        <v>800</v>
      </c>
      <c r="C40" s="148"/>
      <c r="D40" s="157" t="s">
        <v>169</v>
      </c>
      <c r="E40" s="150">
        <v>0</v>
      </c>
      <c r="F40" s="151">
        <f t="shared" si="0"/>
        <v>800</v>
      </c>
      <c r="G40" s="153">
        <f t="shared" si="1"/>
        <v>349.6</v>
      </c>
    </row>
    <row r="41" spans="1:7" ht="15" customHeight="1" x14ac:dyDescent="0.25">
      <c r="A41" s="157" t="s">
        <v>58</v>
      </c>
      <c r="B41" s="159">
        <v>60168</v>
      </c>
      <c r="C41" s="148"/>
      <c r="D41" s="149" t="s">
        <v>58</v>
      </c>
      <c r="E41" s="150">
        <v>9974</v>
      </c>
      <c r="F41" s="151">
        <f t="shared" si="0"/>
        <v>50194</v>
      </c>
      <c r="G41" s="153">
        <f t="shared" si="1"/>
        <v>21934.777999999998</v>
      </c>
    </row>
    <row r="42" spans="1:7" ht="15" customHeight="1" x14ac:dyDescent="0.25">
      <c r="A42" s="157" t="s">
        <v>59</v>
      </c>
      <c r="B42" s="159">
        <v>17380</v>
      </c>
      <c r="C42" s="148"/>
      <c r="D42" s="149" t="s">
        <v>59</v>
      </c>
      <c r="E42" s="150">
        <v>7888</v>
      </c>
      <c r="F42" s="151">
        <f t="shared" si="0"/>
        <v>9492</v>
      </c>
      <c r="G42" s="153">
        <f t="shared" si="1"/>
        <v>4148.0039999999999</v>
      </c>
    </row>
    <row r="43" spans="1:7" ht="15" customHeight="1" x14ac:dyDescent="0.25">
      <c r="A43" s="149" t="s">
        <v>60</v>
      </c>
      <c r="B43" s="154">
        <v>0</v>
      </c>
      <c r="C43" s="148"/>
      <c r="D43" s="149" t="s">
        <v>60</v>
      </c>
      <c r="E43" s="150">
        <v>141864</v>
      </c>
      <c r="F43" s="151">
        <f t="shared" si="0"/>
        <v>-141864</v>
      </c>
      <c r="G43" s="153">
        <f t="shared" si="1"/>
        <v>-35537.441469226193</v>
      </c>
    </row>
    <row r="44" spans="1:7" ht="15" customHeight="1" x14ac:dyDescent="0.25">
      <c r="A44" s="157" t="s">
        <v>61</v>
      </c>
      <c r="B44" s="159">
        <v>50486</v>
      </c>
      <c r="C44" s="148"/>
      <c r="D44" s="149" t="s">
        <v>61</v>
      </c>
      <c r="E44" s="150">
        <v>27085</v>
      </c>
      <c r="F44" s="151">
        <f t="shared" si="0"/>
        <v>23401</v>
      </c>
      <c r="G44" s="153">
        <f t="shared" si="1"/>
        <v>10226.236999999999</v>
      </c>
    </row>
    <row r="45" spans="1:7" ht="15" customHeight="1" x14ac:dyDescent="0.25">
      <c r="A45" s="157" t="s">
        <v>212</v>
      </c>
      <c r="B45" s="154">
        <v>-5484</v>
      </c>
      <c r="C45" s="148"/>
      <c r="D45" s="149" t="s">
        <v>212</v>
      </c>
      <c r="E45" s="150">
        <v>10</v>
      </c>
      <c r="F45" s="151">
        <f t="shared" si="0"/>
        <v>-5494</v>
      </c>
      <c r="G45" s="153">
        <f t="shared" si="1"/>
        <v>-1376.2667303327742</v>
      </c>
    </row>
    <row r="46" spans="1:7" ht="15" customHeight="1" x14ac:dyDescent="0.25">
      <c r="A46" s="157" t="s">
        <v>170</v>
      </c>
      <c r="B46" s="159">
        <v>87271</v>
      </c>
      <c r="C46" s="148"/>
      <c r="D46" s="149" t="s">
        <v>170</v>
      </c>
      <c r="E46" s="150">
        <v>171308</v>
      </c>
      <c r="F46" s="151">
        <f t="shared" si="0"/>
        <v>-84037</v>
      </c>
      <c r="G46" s="153">
        <f t="shared" si="1"/>
        <v>-21051.570297956925</v>
      </c>
    </row>
    <row r="47" spans="1:7" ht="15" customHeight="1" x14ac:dyDescent="0.25">
      <c r="A47" s="157" t="s">
        <v>181</v>
      </c>
      <c r="B47" s="159">
        <v>6212</v>
      </c>
      <c r="C47" s="148"/>
      <c r="D47" s="149" t="s">
        <v>62</v>
      </c>
      <c r="E47" s="150">
        <v>3216</v>
      </c>
      <c r="F47" s="151">
        <f t="shared" si="0"/>
        <v>2996</v>
      </c>
      <c r="G47" s="153">
        <f t="shared" si="1"/>
        <v>1309.252</v>
      </c>
    </row>
    <row r="48" spans="1:7" ht="15" customHeight="1" x14ac:dyDescent="0.25">
      <c r="A48" s="157" t="s">
        <v>64</v>
      </c>
      <c r="B48" s="159">
        <v>20310</v>
      </c>
      <c r="C48" s="148"/>
      <c r="D48" s="149" t="s">
        <v>64</v>
      </c>
      <c r="E48" s="150">
        <v>35202</v>
      </c>
      <c r="F48" s="151">
        <f t="shared" si="0"/>
        <v>-14892</v>
      </c>
      <c r="G48" s="153">
        <f t="shared" si="1"/>
        <v>-3730.4994809092964</v>
      </c>
    </row>
    <row r="49" spans="1:7" ht="15" customHeight="1" x14ac:dyDescent="0.25">
      <c r="A49" s="157" t="s">
        <v>213</v>
      </c>
      <c r="B49" s="159">
        <v>145586</v>
      </c>
      <c r="C49" s="148"/>
      <c r="D49" s="149" t="s">
        <v>213</v>
      </c>
      <c r="E49" s="150">
        <v>228887</v>
      </c>
      <c r="F49" s="151">
        <f t="shared" si="0"/>
        <v>-83301</v>
      </c>
      <c r="G49" s="153">
        <f t="shared" si="1"/>
        <v>-20867.199654796219</v>
      </c>
    </row>
    <row r="50" spans="1:7" ht="15" customHeight="1" x14ac:dyDescent="0.25">
      <c r="A50" s="149" t="s">
        <v>171</v>
      </c>
      <c r="B50" s="154">
        <v>0</v>
      </c>
      <c r="C50" s="154"/>
      <c r="D50" s="149" t="s">
        <v>171</v>
      </c>
      <c r="E50" s="150">
        <v>7</v>
      </c>
      <c r="F50" s="151">
        <f t="shared" si="0"/>
        <v>-7</v>
      </c>
      <c r="G50" s="153">
        <f t="shared" si="1"/>
        <v>-1.7535251387567201</v>
      </c>
    </row>
    <row r="51" spans="1:7" ht="15" customHeight="1" x14ac:dyDescent="0.25">
      <c r="A51" s="157" t="s">
        <v>65</v>
      </c>
      <c r="B51" s="159">
        <v>75</v>
      </c>
      <c r="C51" s="148"/>
      <c r="D51" s="149" t="s">
        <v>65</v>
      </c>
      <c r="E51" s="150">
        <v>66</v>
      </c>
      <c r="F51" s="151">
        <f t="shared" si="0"/>
        <v>9</v>
      </c>
      <c r="G51" s="153">
        <f t="shared" si="1"/>
        <v>3.9329999999999998</v>
      </c>
    </row>
    <row r="52" spans="1:7" ht="15" customHeight="1" x14ac:dyDescent="0.25">
      <c r="A52" s="157" t="s">
        <v>66</v>
      </c>
      <c r="B52" s="159">
        <v>8235</v>
      </c>
      <c r="C52" s="148"/>
      <c r="D52" s="149" t="s">
        <v>66</v>
      </c>
      <c r="E52" s="150">
        <v>12077</v>
      </c>
      <c r="F52" s="151">
        <f t="shared" si="0"/>
        <v>-3842</v>
      </c>
      <c r="G52" s="153">
        <f t="shared" si="1"/>
        <v>-962.43479758618832</v>
      </c>
    </row>
    <row r="53" spans="1:7" ht="15" customHeight="1" x14ac:dyDescent="0.25">
      <c r="A53" s="157" t="s">
        <v>214</v>
      </c>
      <c r="B53" s="159">
        <v>123284</v>
      </c>
      <c r="C53" s="148"/>
      <c r="D53" s="157" t="s">
        <v>214</v>
      </c>
      <c r="E53" s="150">
        <v>0</v>
      </c>
      <c r="F53" s="151">
        <f t="shared" si="0"/>
        <v>123284</v>
      </c>
      <c r="G53" s="153">
        <f t="shared" si="1"/>
        <v>53875.108</v>
      </c>
    </row>
    <row r="54" spans="1:7" ht="15" customHeight="1" x14ac:dyDescent="0.25">
      <c r="A54" s="157" t="s">
        <v>67</v>
      </c>
      <c r="B54" s="159">
        <v>11356</v>
      </c>
      <c r="C54" s="148"/>
      <c r="D54" s="149" t="s">
        <v>67</v>
      </c>
      <c r="E54" s="150">
        <v>12101</v>
      </c>
      <c r="F54" s="151">
        <f t="shared" si="0"/>
        <v>-745</v>
      </c>
      <c r="G54" s="153">
        <f t="shared" si="1"/>
        <v>-186.62517548196519</v>
      </c>
    </row>
    <row r="55" spans="1:7" ht="15" customHeight="1" x14ac:dyDescent="0.25">
      <c r="A55" s="157" t="s">
        <v>68</v>
      </c>
      <c r="B55" s="159">
        <v>80</v>
      </c>
      <c r="C55" s="148"/>
      <c r="D55" s="149" t="s">
        <v>225</v>
      </c>
      <c r="E55" s="150">
        <v>16808</v>
      </c>
      <c r="F55" s="151">
        <f t="shared" si="0"/>
        <v>-16728</v>
      </c>
      <c r="G55" s="153">
        <f t="shared" si="1"/>
        <v>-4190.4240744460585</v>
      </c>
    </row>
    <row r="56" spans="1:7" ht="15" customHeight="1" x14ac:dyDescent="0.25">
      <c r="A56" s="149" t="s">
        <v>188</v>
      </c>
      <c r="B56" s="159">
        <v>0</v>
      </c>
      <c r="C56" s="148"/>
      <c r="D56" s="149" t="s">
        <v>188</v>
      </c>
      <c r="E56" s="150">
        <v>558</v>
      </c>
      <c r="F56" s="151">
        <f t="shared" si="0"/>
        <v>-558</v>
      </c>
      <c r="G56" s="153">
        <f t="shared" si="1"/>
        <v>-139.78100391803568</v>
      </c>
    </row>
    <row r="57" spans="1:7" ht="15" customHeight="1" x14ac:dyDescent="0.25">
      <c r="A57" s="157" t="s">
        <v>215</v>
      </c>
      <c r="B57" s="159">
        <v>110697</v>
      </c>
      <c r="C57" s="148"/>
      <c r="D57" s="149" t="s">
        <v>215</v>
      </c>
      <c r="E57" s="150">
        <v>289629</v>
      </c>
      <c r="F57" s="151">
        <f t="shared" si="0"/>
        <v>-178932</v>
      </c>
      <c r="G57" s="153">
        <f t="shared" si="1"/>
        <v>-44823.108589716772</v>
      </c>
    </row>
    <row r="58" spans="1:7" ht="15" customHeight="1" x14ac:dyDescent="0.25">
      <c r="A58" s="157" t="s">
        <v>172</v>
      </c>
      <c r="B58" s="159">
        <v>50</v>
      </c>
      <c r="C58" s="148"/>
      <c r="D58" s="149" t="s">
        <v>172</v>
      </c>
      <c r="E58" s="150">
        <v>3</v>
      </c>
      <c r="F58" s="151">
        <f t="shared" si="0"/>
        <v>47</v>
      </c>
      <c r="G58" s="153">
        <f t="shared" si="1"/>
        <v>20.539000000000001</v>
      </c>
    </row>
    <row r="59" spans="1:7" ht="15" customHeight="1" x14ac:dyDescent="0.25">
      <c r="A59" s="157" t="s">
        <v>216</v>
      </c>
      <c r="B59" s="159">
        <v>4400</v>
      </c>
      <c r="C59" s="148"/>
      <c r="D59" s="149" t="s">
        <v>216</v>
      </c>
      <c r="E59" s="150">
        <v>34400</v>
      </c>
      <c r="F59" s="151">
        <f t="shared" si="0"/>
        <v>-30000</v>
      </c>
      <c r="G59" s="153">
        <f t="shared" si="1"/>
        <v>-7515.1077375287996</v>
      </c>
    </row>
    <row r="60" spans="1:7" ht="15" customHeight="1" x14ac:dyDescent="0.25">
      <c r="A60" s="146"/>
      <c r="B60" s="147"/>
      <c r="D60" s="149"/>
      <c r="E60" s="150"/>
      <c r="F60" s="151"/>
      <c r="G60" s="153"/>
    </row>
    <row r="61" spans="1:7" ht="15" customHeight="1" x14ac:dyDescent="0.25">
      <c r="A61" s="146"/>
      <c r="B61" s="147"/>
      <c r="D61" s="149"/>
      <c r="E61" s="150"/>
      <c r="F61" s="151"/>
      <c r="G61" s="153"/>
    </row>
    <row r="63" spans="1:7" ht="15" customHeight="1" x14ac:dyDescent="0.25">
      <c r="A63" s="146"/>
      <c r="B63" s="147"/>
      <c r="D63" s="149"/>
      <c r="E63" s="150"/>
      <c r="F63" s="151">
        <f>SUM(F5:F61)</f>
        <v>-1470660</v>
      </c>
      <c r="G63" s="140">
        <f>SUM(G5:G61)/2000</f>
        <v>-77.108735001702172</v>
      </c>
    </row>
    <row r="64" spans="1:7" ht="15" customHeight="1" x14ac:dyDescent="0.25">
      <c r="A64" s="146"/>
      <c r="B64" s="147"/>
    </row>
    <row r="67" spans="1:7" ht="15" customHeight="1" x14ac:dyDescent="0.25">
      <c r="G67" s="151"/>
    </row>
    <row r="69" spans="1:7" ht="15" customHeight="1" x14ac:dyDescent="0.25">
      <c r="A69" s="146"/>
      <c r="B69" s="147"/>
      <c r="D69" s="149"/>
      <c r="E69" s="150"/>
    </row>
    <row r="70" spans="1:7" ht="15" customHeight="1" x14ac:dyDescent="0.25">
      <c r="G70" s="151"/>
    </row>
    <row r="71" spans="1:7" ht="15" customHeight="1" x14ac:dyDescent="0.25">
      <c r="A71" s="145"/>
      <c r="B71" s="145"/>
    </row>
    <row r="74" spans="1:7" ht="15" customHeight="1" x14ac:dyDescent="0.25">
      <c r="A74" s="146"/>
      <c r="B74" s="147"/>
      <c r="D74" s="149"/>
      <c r="E74" s="150"/>
    </row>
    <row r="75" spans="1:7" ht="15" customHeight="1" x14ac:dyDescent="0.25">
      <c r="G75" s="151"/>
    </row>
    <row r="76" spans="1:7" ht="15" customHeight="1" x14ac:dyDescent="0.25">
      <c r="A76" s="146"/>
      <c r="B76" s="147"/>
      <c r="D76" s="149"/>
      <c r="E76" s="150"/>
    </row>
    <row r="85" spans="1:7" ht="15" customHeight="1" x14ac:dyDescent="0.25">
      <c r="A85" s="146"/>
      <c r="B85" s="147"/>
      <c r="D85" s="149"/>
      <c r="E85" s="150"/>
    </row>
    <row r="86" spans="1:7" ht="15" customHeight="1" x14ac:dyDescent="0.25">
      <c r="A86" s="146"/>
      <c r="B86" s="147"/>
      <c r="D86" s="149"/>
      <c r="E86" s="150"/>
    </row>
    <row r="87" spans="1:7" ht="15" customHeight="1" x14ac:dyDescent="0.25">
      <c r="G87" s="151"/>
    </row>
    <row r="92" spans="1:7" ht="15" customHeight="1" x14ac:dyDescent="0.25">
      <c r="F92" s="151"/>
    </row>
    <row r="95" spans="1:7" ht="15" customHeight="1" x14ac:dyDescent="0.25">
      <c r="D95" s="149"/>
      <c r="E95" s="150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220395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6CACF-EF42-4A09-99C8-939A718C59CD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E60F11E-6C6A-44C9-ADBE-2B6B57195D74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