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Murrey  2111\Dump Fee Filings\DF 2022\"/>
    </mc:Choice>
  </mc:AlternateContent>
  <bookViews>
    <workbookView xWindow="5310" yWindow="2580" windowWidth="21600" windowHeight="11385" tabRatio="727"/>
  </bookViews>
  <sheets>
    <sheet name="References" sheetId="4" r:id="rId1"/>
    <sheet name="DF Calculation" sheetId="7" r:id="rId2"/>
    <sheet name="To Populate Tariff" sheetId="22" r:id="rId3"/>
    <sheet name="Mapping" sheetId="17" r:id="rId4"/>
    <sheet name="Murrey's Price Out" sheetId="19" r:id="rId5"/>
    <sheet name="American Price Out" sheetId="2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>[4]Hidden!#REF!</definedName>
    <definedName name="_ACT2">[4]Hidden!#REF!</definedName>
    <definedName name="_ACT3">[4]Hidden!#REF!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3" hidden="1">Mapping!$A$1:$M$157</definedName>
    <definedName name="_xlnm._FilterDatabase" localSheetId="2" hidden="1">'To Populate Tariff'!$A$1:$B$125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ounts">#REF!</definedName>
    <definedName name="ACCT">[4]Hidden!#REF!</definedName>
    <definedName name="ACCT.ConsolSum">[1]Hidden!$Q$11</definedName>
    <definedName name="ACT_CUR">[4]Hidden!#REF!</definedName>
    <definedName name="ACT_YTD">[4]Hidden!#REF!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>#REF!</definedName>
    <definedName name="BUD_CUR">[4]Hidden!#REF!</definedName>
    <definedName name="BUD_YTD">[4]Hidden!#REF!</definedName>
    <definedName name="CalRecyTons">'[6]Recycl Tons, Commodity Value'!$L$23</definedName>
    <definedName name="CheckTotals">#REF!</definedName>
    <definedName name="colgroup">[1]Orientation!$G$6</definedName>
    <definedName name="colsegment">[1]Orientation!$F$6</definedName>
    <definedName name="CommlStaffPriceOut">'[7]Price Out-Reg EASTSIDE-Resi'!#REF!</definedName>
    <definedName name="CRCTable">#REF!</definedName>
    <definedName name="CRCTableOLD">#REF!</definedName>
    <definedName name="CriteriaType">[8]ControlPanel!$Z$2:$Z$5</definedName>
    <definedName name="CurrentMonth" localSheetId="5">#REF!</definedName>
    <definedName name="CurrentMonth">#REF!</definedName>
    <definedName name="Cutomers">#REF!</definedName>
    <definedName name="_xlnm.Database">#REF!</definedName>
    <definedName name="Database1">#REF!</definedName>
    <definedName name="DateFrom" localSheetId="5">#REF!</definedName>
    <definedName name="DateFrom">#REF!</definedName>
    <definedName name="DateTo" localSheetId="5">#REF!</definedName>
    <definedName name="DateTo">#REF!</definedName>
    <definedName name="DBxStaffPriceOut">'[7]Price Out-Reg EASTSIDE-Resi'!#REF!</definedName>
    <definedName name="DEPT">[4]Hidden!#REF!</definedName>
    <definedName name="Dist">[9]Data!$E$3</definedName>
    <definedName name="District">'[10]Vashon BS'!#REF!</definedName>
    <definedName name="DistrictNum">#REF!</definedName>
    <definedName name="Districts">#REF!</definedName>
    <definedName name="dOG">#REF!</definedName>
    <definedName name="drlFilter">[1]Settings!$D$27</definedName>
    <definedName name="End">#REF!</definedName>
    <definedName name="EntrieShownLimit" localSheetId="5">#REF!</definedName>
    <definedName name="EntrieShownLimit">#REF!</definedName>
    <definedName name="ExcludeIC">'[10]Vashon BS'!#REF!</definedName>
    <definedName name="ExpensesPF1">#REF!</definedName>
    <definedName name="EXT">#REF!</definedName>
    <definedName name="FBTable">#REF!</definedName>
    <definedName name="FBTableOld">#REF!</definedName>
    <definedName name="filter">[1]Settings!$B$14:$H$25</definedName>
    <definedName name="FromMonth">#REF!</definedName>
    <definedName name="FundsApprPend">[9]Data!#REF!</definedName>
    <definedName name="FundsBudUnbud">[9]Data!#REF!</definedName>
    <definedName name="GLMappingStart">#REF!</definedName>
    <definedName name="GLMappingStart1">#REF!</definedName>
    <definedName name="Import_Range">[9]Data!#REF!</definedName>
    <definedName name="IncomeStmnt">#REF!</definedName>
    <definedName name="INPUT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[9]Invoice_Drill!#REF!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[11]DropDownRanges!$B$4:$B$37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'[7]Price Out-Reg EASTSIDE-Resi'!#REF!</definedName>
    <definedName name="MILTON">#REF!</definedName>
    <definedName name="MonthList">'[9]Lookup Tables'!$A$1:$A$13</definedName>
    <definedName name="NewLob">[11]DropDownRanges!$B$4:$B$37</definedName>
    <definedName name="NewOnlyOrg">#N/A</definedName>
    <definedName name="NewSource">[11]DropDownRanges!$D$4:$D$7</definedName>
    <definedName name="nn">#REF!</definedName>
    <definedName name="NOTES">#REF!</definedName>
    <definedName name="NR">#REF!</definedName>
    <definedName name="OfficerSalary">#N/A</definedName>
    <definedName name="OffsetAcctBil">[12]JEexport!$L$10</definedName>
    <definedName name="OffsetAcctPmt">[12]JEexport!$L$9</definedName>
    <definedName name="Org11_13">#N/A</definedName>
    <definedName name="Org7_10">#N/A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 localSheetId="5">'American Price Out'!$B$1:$AF$367</definedName>
    <definedName name="_xlnm.Print_Area" localSheetId="1">'DF Calculation'!$A$1:$S$152</definedName>
    <definedName name="_xlnm.Print_Area" localSheetId="3">Mapping!$A$1:$T$157</definedName>
    <definedName name="_xlnm.Print_Area" localSheetId="2">'To Populate Tariff'!$A$1:$K$125</definedName>
    <definedName name="_xlnm.Print_Area">#REF!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5">'American Price Out'!$2:$7</definedName>
    <definedName name="_xlnm.Print_Titles" localSheetId="1">'DF Calculation'!$1:$6</definedName>
    <definedName name="_xlnm.Print_Titles" localSheetId="3">Mapping!$1:$1</definedName>
    <definedName name="_xlnm.Print_Titles" localSheetId="4">'Murrey''s Price Out'!$2:$7</definedName>
    <definedName name="_xlnm.Print_Titles" localSheetId="2">'To Populate Tariff'!$1:$1</definedName>
    <definedName name="Print1">#REF!</definedName>
    <definedName name="Print2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'[13]Consolidated IS 2009 2010'!$AK$20</definedName>
    <definedName name="Reg_Cust_Percent">'[13]Consolidated IS 2009 2010'!$AC$20</definedName>
    <definedName name="Reg_Drive_Percent">'[13]Consolidated IS 2009 2010'!$AC$40</definedName>
    <definedName name="Reg_Haul_Rev_Percent">'[13]Consolidated IS 2009 2010'!$Z$18</definedName>
    <definedName name="Reg_Lab_Percent">'[13]Consolidated IS 2009 2010'!$AC$39</definedName>
    <definedName name="Reg_Steel_Cont_Percent">'[13]Consolidated IS 2009 2010'!$AE$120</definedName>
    <definedName name="RegulatedIS">'[13]2009 IS'!$A$12:$Q$655</definedName>
    <definedName name="RelatedSalary">#N/A</definedName>
    <definedName name="report_type">[1]Orientation!$C$24</definedName>
    <definedName name="ReportNames">[14]ControlPanel!$S$2:$S$16</definedName>
    <definedName name="ReportVersion">[1]Settings!$D$5</definedName>
    <definedName name="ReslStaffPriceOut">'[7]Price Out-Reg EASTSIDE-Resi'!#REF!</definedName>
    <definedName name="RetainedEarnings">#REF!</definedName>
    <definedName name="RevCust">[15]RevenuesCust!#REF!</definedName>
    <definedName name="RevCustomer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>[4]Hidden!#REF!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'[16]LG Nonpublic 2018 V5.0'!$X$58</definedName>
    <definedName name="sortcol">#REF!</definedName>
    <definedName name="Source">[11]DropDownRanges!$D$4:$D$7</definedName>
    <definedName name="sSRCDate">'[17]Feb''12 FAR Data'!#REF!</definedName>
    <definedName name="SubSystems">#REF!</definedName>
    <definedName name="Supplemental_filter">[1]Settings!$C$31</definedName>
    <definedName name="SWDisposal">#N/A</definedName>
    <definedName name="System">[18]BS_Close!$V$8</definedName>
    <definedName name="Systems">#REF!</definedName>
    <definedName name="TemplateEnd" localSheetId="5">#REF!</definedName>
    <definedName name="TemplateEnd">#REF!</definedName>
    <definedName name="TemplateStart" localSheetId="5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>#REF!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>#REF!</definedName>
    <definedName name="UnregulatedIS">'[13]2010 IS'!$A$12:$Q$654</definedName>
    <definedName name="VendorCode">#REF!</definedName>
    <definedName name="Version">[9]Data!#REF!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>[4]Hidden!#REF!</definedName>
    <definedName name="xx">#REF!</definedName>
    <definedName name="xxx">#REF!</definedName>
    <definedName name="xxxx">#REF!</definedName>
    <definedName name="y_inter1">'[16]LG Nonpublic 2018 V5.0'!$W$55</definedName>
    <definedName name="y_inter2">'[16]LG Nonpublic 2018 V5.0'!$W$56</definedName>
    <definedName name="y_inter3">'[16]LG Nonpublic 2018 V5.0'!$Y$55</definedName>
    <definedName name="y_inter4">'[16]LG Nonpublic 2018 V5.0'!$Y$56</definedName>
    <definedName name="YearMonth">'[10]Vashon BS'!#REF!</definedName>
    <definedName name="YWMedWasteDisp">#N/A</definedName>
    <definedName name="y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8" i="17" l="1"/>
  <c r="K68" i="17"/>
  <c r="J68" i="17"/>
  <c r="H68" i="17"/>
  <c r="L62" i="17"/>
  <c r="K62" i="17"/>
  <c r="J62" i="17"/>
  <c r="M68" i="17" l="1"/>
  <c r="M62" i="17"/>
  <c r="F88" i="7" l="1"/>
  <c r="F87" i="7"/>
  <c r="F86" i="7"/>
  <c r="F85" i="7"/>
  <c r="D125" i="22" l="1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4" i="22"/>
  <c r="D95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H125" i="22" l="1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4" i="22"/>
  <c r="H95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2" i="22"/>
  <c r="D2" i="22"/>
  <c r="D13" i="22"/>
  <c r="D12" i="22"/>
  <c r="D11" i="22"/>
  <c r="D10" i="22"/>
  <c r="D9" i="22"/>
  <c r="D8" i="22"/>
  <c r="D7" i="22"/>
  <c r="D6" i="22"/>
  <c r="D5" i="22"/>
  <c r="D4" i="22"/>
  <c r="D3" i="22"/>
  <c r="K84" i="7" l="1"/>
  <c r="L84" i="7"/>
  <c r="H157" i="17" l="1"/>
  <c r="H156" i="17"/>
  <c r="H155" i="17"/>
  <c r="H154" i="17"/>
  <c r="H153" i="17"/>
  <c r="H152" i="17"/>
  <c r="H151" i="17"/>
  <c r="H150" i="17"/>
  <c r="D118" i="7" s="1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99" i="17" l="1"/>
  <c r="D56" i="7" s="1"/>
  <c r="H59" i="17"/>
  <c r="D127" i="7" s="1"/>
  <c r="H60" i="17"/>
  <c r="D128" i="7" s="1"/>
  <c r="H61" i="17"/>
  <c r="H63" i="17"/>
  <c r="H64" i="17"/>
  <c r="H65" i="17"/>
  <c r="D48" i="7" s="1"/>
  <c r="H66" i="17"/>
  <c r="D47" i="7" s="1"/>
  <c r="H67" i="17"/>
  <c r="H69" i="17"/>
  <c r="H70" i="17"/>
  <c r="H71" i="17"/>
  <c r="D45" i="7" s="1"/>
  <c r="H72" i="17"/>
  <c r="H73" i="17"/>
  <c r="D44" i="7" s="1"/>
  <c r="H74" i="17"/>
  <c r="D49" i="7" s="1"/>
  <c r="H75" i="17"/>
  <c r="H76" i="17"/>
  <c r="H77" i="17"/>
  <c r="H78" i="17"/>
  <c r="H79" i="17"/>
  <c r="H80" i="17"/>
  <c r="H81" i="17"/>
  <c r="H82" i="17"/>
  <c r="D51" i="7" s="1"/>
  <c r="H83" i="17"/>
  <c r="H84" i="17"/>
  <c r="H85" i="17"/>
  <c r="D52" i="7" s="1"/>
  <c r="H86" i="17"/>
  <c r="H87" i="17"/>
  <c r="H88" i="17"/>
  <c r="H89" i="17"/>
  <c r="D53" i="7" s="1"/>
  <c r="H90" i="17"/>
  <c r="D129" i="7" s="1"/>
  <c r="H91" i="17"/>
  <c r="D54" i="7" s="1"/>
  <c r="H92" i="17"/>
  <c r="H93" i="17"/>
  <c r="H94" i="17"/>
  <c r="H95" i="17"/>
  <c r="H96" i="17"/>
  <c r="D55" i="7" s="1"/>
  <c r="H97" i="17"/>
  <c r="D130" i="7" s="1"/>
  <c r="H98" i="17"/>
  <c r="H100" i="17"/>
  <c r="H101" i="17"/>
  <c r="D57" i="7" s="1"/>
  <c r="H102" i="17"/>
  <c r="H103" i="17"/>
  <c r="D58" i="7" s="1"/>
  <c r="H104" i="17"/>
  <c r="H105" i="17"/>
  <c r="D59" i="7" s="1"/>
  <c r="H106" i="17"/>
  <c r="D60" i="7" s="1"/>
  <c r="H107" i="17"/>
  <c r="D106" i="7" s="1"/>
  <c r="H108" i="17"/>
  <c r="H109" i="17"/>
  <c r="D107" i="7" s="1"/>
  <c r="H110" i="17"/>
  <c r="H111" i="17"/>
  <c r="H112" i="17"/>
  <c r="H113" i="17"/>
  <c r="H114" i="17"/>
  <c r="H115" i="17"/>
  <c r="H116" i="17"/>
  <c r="H117" i="17"/>
  <c r="H118" i="17"/>
  <c r="H119" i="17"/>
  <c r="D114" i="7" s="1"/>
  <c r="H120" i="17"/>
  <c r="H121" i="17"/>
  <c r="H122" i="17"/>
  <c r="H123" i="17"/>
  <c r="H124" i="17"/>
  <c r="H125" i="17"/>
  <c r="H126" i="17"/>
  <c r="D120" i="7" s="1"/>
  <c r="H127" i="17"/>
  <c r="H128" i="17"/>
  <c r="H129" i="17"/>
  <c r="D122" i="7" s="1"/>
  <c r="H130" i="17"/>
  <c r="H131" i="17"/>
  <c r="D123" i="7" s="1"/>
  <c r="H132" i="17"/>
  <c r="H133" i="17"/>
  <c r="H58" i="17"/>
  <c r="D42" i="7" s="1"/>
  <c r="D64" i="7"/>
  <c r="D63" i="7"/>
  <c r="D62" i="7"/>
  <c r="D50" i="7"/>
  <c r="D46" i="7"/>
  <c r="D43" i="7"/>
  <c r="H27" i="17"/>
  <c r="H28" i="17"/>
  <c r="H29" i="17"/>
  <c r="H30" i="17"/>
  <c r="H31" i="17"/>
  <c r="C31" i="22" s="1"/>
  <c r="H32" i="17"/>
  <c r="H33" i="17"/>
  <c r="C33" i="22" s="1"/>
  <c r="H34" i="17"/>
  <c r="C34" i="22" s="1"/>
  <c r="H35" i="17"/>
  <c r="C35" i="22" s="1"/>
  <c r="H36" i="17"/>
  <c r="C36" i="22" s="1"/>
  <c r="H37" i="17"/>
  <c r="H38" i="17"/>
  <c r="D34" i="7" s="1"/>
  <c r="H39" i="17"/>
  <c r="D98" i="7" s="1"/>
  <c r="H40" i="17"/>
  <c r="D30" i="7" s="1"/>
  <c r="H41" i="17"/>
  <c r="H42" i="17"/>
  <c r="D32" i="7" s="1"/>
  <c r="H43" i="17"/>
  <c r="D31" i="7" s="1"/>
  <c r="H44" i="17"/>
  <c r="D35" i="7" s="1"/>
  <c r="H45" i="17"/>
  <c r="H46" i="17"/>
  <c r="H47" i="17"/>
  <c r="D37" i="7" s="1"/>
  <c r="H48" i="17"/>
  <c r="D36" i="7" s="1"/>
  <c r="H49" i="17"/>
  <c r="D38" i="7" s="1"/>
  <c r="H50" i="17"/>
  <c r="H51" i="17"/>
  <c r="D100" i="7" s="1"/>
  <c r="H52" i="17"/>
  <c r="D99" i="7" s="1"/>
  <c r="H53" i="17"/>
  <c r="D39" i="7" s="1"/>
  <c r="H54" i="17"/>
  <c r="H55" i="17"/>
  <c r="H56" i="17"/>
  <c r="D40" i="7" s="1"/>
  <c r="H57" i="17"/>
  <c r="D101" i="7" s="1"/>
  <c r="H20" i="17"/>
  <c r="H21" i="17"/>
  <c r="C21" i="22" s="1"/>
  <c r="H22" i="17"/>
  <c r="C22" i="22" s="1"/>
  <c r="H23" i="17"/>
  <c r="C23" i="22" s="1"/>
  <c r="H24" i="17"/>
  <c r="H25" i="17"/>
  <c r="C25" i="22" s="1"/>
  <c r="H26" i="17"/>
  <c r="C26" i="22" s="1"/>
  <c r="H19" i="17"/>
  <c r="H3" i="17"/>
  <c r="C3" i="22" s="1"/>
  <c r="H4" i="17"/>
  <c r="C4" i="22" s="1"/>
  <c r="H5" i="17"/>
  <c r="C5" i="22" s="1"/>
  <c r="H6" i="17"/>
  <c r="C6" i="22" s="1"/>
  <c r="H7" i="17"/>
  <c r="C7" i="22" s="1"/>
  <c r="H8" i="17"/>
  <c r="C8" i="22" s="1"/>
  <c r="H9" i="17"/>
  <c r="C9" i="22" s="1"/>
  <c r="H10" i="17"/>
  <c r="C10" i="22" s="1"/>
  <c r="H11" i="17"/>
  <c r="C11" i="22" s="1"/>
  <c r="H12" i="17"/>
  <c r="C12" i="22" s="1"/>
  <c r="H13" i="17"/>
  <c r="C13" i="22" s="1"/>
  <c r="H14" i="17"/>
  <c r="H15" i="17"/>
  <c r="H16" i="17"/>
  <c r="H17" i="17"/>
  <c r="H18" i="17"/>
  <c r="C18" i="22" s="1"/>
  <c r="H2" i="17"/>
  <c r="C2" i="22" s="1"/>
  <c r="D67" i="7" l="1"/>
  <c r="D14" i="7"/>
  <c r="D26" i="7"/>
  <c r="D66" i="7"/>
  <c r="D27" i="7"/>
  <c r="D18" i="7"/>
  <c r="D10" i="7"/>
  <c r="D9" i="7"/>
  <c r="D23" i="7"/>
  <c r="D22" i="7"/>
  <c r="C32" i="22"/>
  <c r="D97" i="7"/>
  <c r="D88" i="7"/>
  <c r="C17" i="22"/>
  <c r="C29" i="22"/>
  <c r="D95" i="7"/>
  <c r="D19" i="7"/>
  <c r="D15" i="7"/>
  <c r="D11" i="7"/>
  <c r="D21" i="7"/>
  <c r="D25" i="7"/>
  <c r="D29" i="7"/>
  <c r="D33" i="7"/>
  <c r="D150" i="7"/>
  <c r="D124" i="7"/>
  <c r="D121" i="7"/>
  <c r="D149" i="7"/>
  <c r="D148" i="7"/>
  <c r="D119" i="7"/>
  <c r="D142" i="7"/>
  <c r="D111" i="7"/>
  <c r="D105" i="7"/>
  <c r="D138" i="7"/>
  <c r="D135" i="7"/>
  <c r="D102" i="7"/>
  <c r="D87" i="7"/>
  <c r="C16" i="22"/>
  <c r="D94" i="7"/>
  <c r="C28" i="22"/>
  <c r="D147" i="7"/>
  <c r="D117" i="7"/>
  <c r="D110" i="7"/>
  <c r="D141" i="7"/>
  <c r="D137" i="7"/>
  <c r="D104" i="7"/>
  <c r="C20" i="22"/>
  <c r="D91" i="7"/>
  <c r="D13" i="7"/>
  <c r="D146" i="7"/>
  <c r="D116" i="7"/>
  <c r="D113" i="7"/>
  <c r="D144" i="7"/>
  <c r="D109" i="7"/>
  <c r="D140" i="7"/>
  <c r="D136" i="7"/>
  <c r="D103" i="7"/>
  <c r="D86" i="7"/>
  <c r="C15" i="22"/>
  <c r="C24" i="22"/>
  <c r="D92" i="7"/>
  <c r="C27" i="22"/>
  <c r="D93" i="7"/>
  <c r="D17" i="7"/>
  <c r="D85" i="7"/>
  <c r="C14" i="22"/>
  <c r="C19" i="22"/>
  <c r="D90" i="7"/>
  <c r="D96" i="7"/>
  <c r="C30" i="22"/>
  <c r="D7" i="7"/>
  <c r="D16" i="7"/>
  <c r="D12" i="7"/>
  <c r="D8" i="7"/>
  <c r="D24" i="7"/>
  <c r="D28" i="7"/>
  <c r="D61" i="7"/>
  <c r="D65" i="7"/>
  <c r="D151" i="7"/>
  <c r="D125" i="7"/>
  <c r="D145" i="7"/>
  <c r="D115" i="7"/>
  <c r="D143" i="7"/>
  <c r="D112" i="7"/>
  <c r="D139" i="7"/>
  <c r="D108" i="7"/>
  <c r="D76" i="7" l="1"/>
  <c r="K31" i="17"/>
  <c r="J31" i="17"/>
  <c r="F26" i="7" s="1"/>
  <c r="D56" i="17"/>
  <c r="D51" i="17"/>
  <c r="D47" i="17"/>
  <c r="D42" i="17"/>
  <c r="D38" i="17"/>
  <c r="D148" i="17"/>
  <c r="C39" i="22" l="1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4" i="22"/>
  <c r="C99" i="22"/>
  <c r="C103" i="22"/>
  <c r="C107" i="22"/>
  <c r="C111" i="22"/>
  <c r="C115" i="22"/>
  <c r="C119" i="22"/>
  <c r="C123" i="22"/>
  <c r="D134" i="7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8" i="22"/>
  <c r="C112" i="22"/>
  <c r="C116" i="22"/>
  <c r="C120" i="22"/>
  <c r="C124" i="22"/>
  <c r="D133" i="7"/>
  <c r="C37" i="22"/>
  <c r="C41" i="22"/>
  <c r="C45" i="22"/>
  <c r="C49" i="22"/>
  <c r="C53" i="22"/>
  <c r="C57" i="22"/>
  <c r="C61" i="22"/>
  <c r="C65" i="22"/>
  <c r="C69" i="22"/>
  <c r="C73" i="22"/>
  <c r="C77" i="22"/>
  <c r="C81" i="22"/>
  <c r="C85" i="22"/>
  <c r="C89" i="22"/>
  <c r="C93" i="22"/>
  <c r="C97" i="22"/>
  <c r="C101" i="22"/>
  <c r="C105" i="22"/>
  <c r="C109" i="22"/>
  <c r="C113" i="22"/>
  <c r="C117" i="22"/>
  <c r="C121" i="22"/>
  <c r="C125" i="22"/>
  <c r="D132" i="7"/>
  <c r="C38" i="22"/>
  <c r="C42" i="22"/>
  <c r="C46" i="22"/>
  <c r="C50" i="22"/>
  <c r="C54" i="22"/>
  <c r="C58" i="22"/>
  <c r="C62" i="22"/>
  <c r="C66" i="22"/>
  <c r="C70" i="22"/>
  <c r="C74" i="22"/>
  <c r="C78" i="22"/>
  <c r="C82" i="22"/>
  <c r="C86" i="22"/>
  <c r="C90" i="22"/>
  <c r="C95" i="22"/>
  <c r="C98" i="22"/>
  <c r="C102" i="22"/>
  <c r="C106" i="22"/>
  <c r="C110" i="22"/>
  <c r="C114" i="22"/>
  <c r="C118" i="22"/>
  <c r="C122" i="22"/>
  <c r="D131" i="7"/>
  <c r="L154" i="17"/>
  <c r="J60" i="17"/>
  <c r="F128" i="7" s="1"/>
  <c r="J59" i="17"/>
  <c r="F127" i="7" s="1"/>
  <c r="L60" i="17"/>
  <c r="K60" i="17"/>
  <c r="L59" i="17"/>
  <c r="K59" i="17"/>
  <c r="L148" i="17"/>
  <c r="M59" i="17" l="1"/>
  <c r="M60" i="17"/>
  <c r="E128" i="7" s="1"/>
  <c r="E127" i="7" l="1"/>
  <c r="G127" i="7" s="1"/>
  <c r="G128" i="7"/>
  <c r="C66" i="4"/>
  <c r="L57" i="17" l="1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9" i="17"/>
  <c r="L150" i="17"/>
  <c r="L151" i="17"/>
  <c r="L152" i="17"/>
  <c r="L153" i="17"/>
  <c r="L155" i="17"/>
  <c r="L156" i="17"/>
  <c r="L157" i="17"/>
  <c r="L52" i="17"/>
  <c r="L20" i="17"/>
  <c r="L27" i="17"/>
  <c r="L28" i="17"/>
  <c r="L29" i="17"/>
  <c r="L30" i="17"/>
  <c r="L32" i="17"/>
  <c r="L39" i="17"/>
  <c r="L19" i="17"/>
  <c r="L90" i="17"/>
  <c r="L97" i="17"/>
  <c r="L108" i="17"/>
  <c r="L110" i="17"/>
  <c r="L111" i="17"/>
  <c r="L112" i="17"/>
  <c r="L113" i="17"/>
  <c r="L114" i="17"/>
  <c r="L115" i="17"/>
  <c r="L116" i="17"/>
  <c r="L117" i="17"/>
  <c r="L118" i="17"/>
  <c r="L119" i="17"/>
  <c r="L121" i="17"/>
  <c r="L122" i="17"/>
  <c r="L123" i="17"/>
  <c r="L124" i="17"/>
  <c r="L126" i="17"/>
  <c r="L128" i="17"/>
  <c r="L132" i="17"/>
  <c r="L133" i="17"/>
  <c r="L17" i="17"/>
  <c r="L16" i="17"/>
  <c r="L15" i="17"/>
  <c r="L14" i="17"/>
  <c r="Q366" i="20"/>
  <c r="P366" i="20"/>
  <c r="O366" i="20"/>
  <c r="N366" i="20"/>
  <c r="M366" i="20"/>
  <c r="L366" i="20"/>
  <c r="K366" i="20"/>
  <c r="J366" i="20"/>
  <c r="I366" i="20"/>
  <c r="H366" i="20"/>
  <c r="G366" i="20"/>
  <c r="F366" i="20"/>
  <c r="R364" i="20"/>
  <c r="W364" i="20"/>
  <c r="A364" i="20"/>
  <c r="R363" i="20"/>
  <c r="W363" i="20"/>
  <c r="A363" i="20"/>
  <c r="R362" i="20"/>
  <c r="W362" i="20"/>
  <c r="A362" i="20"/>
  <c r="Q357" i="20"/>
  <c r="P357" i="20"/>
  <c r="O357" i="20"/>
  <c r="N357" i="20"/>
  <c r="M357" i="20"/>
  <c r="L357" i="20"/>
  <c r="K357" i="20"/>
  <c r="J357" i="20"/>
  <c r="I357" i="20"/>
  <c r="H357" i="20"/>
  <c r="G357" i="20"/>
  <c r="F357" i="20"/>
  <c r="R356" i="20"/>
  <c r="R355" i="20"/>
  <c r="R354" i="20"/>
  <c r="R353" i="20"/>
  <c r="R352" i="20"/>
  <c r="R351" i="20"/>
  <c r="R350" i="20"/>
  <c r="R349" i="20"/>
  <c r="R348" i="20"/>
  <c r="R347" i="20"/>
  <c r="R345" i="20"/>
  <c r="AE340" i="20"/>
  <c r="AD340" i="20"/>
  <c r="AC340" i="20"/>
  <c r="AB340" i="20"/>
  <c r="AA340" i="20"/>
  <c r="Z340" i="20"/>
  <c r="Y340" i="20"/>
  <c r="X340" i="20"/>
  <c r="W340" i="20"/>
  <c r="V340" i="20"/>
  <c r="U340" i="20"/>
  <c r="T340" i="20"/>
  <c r="S340" i="20"/>
  <c r="Q337" i="20"/>
  <c r="Q340" i="20" s="1"/>
  <c r="P337" i="20"/>
  <c r="P340" i="20" s="1"/>
  <c r="O337" i="20"/>
  <c r="O340" i="20" s="1"/>
  <c r="N337" i="20"/>
  <c r="N340" i="20" s="1"/>
  <c r="M337" i="20"/>
  <c r="M340" i="20" s="1"/>
  <c r="L337" i="20"/>
  <c r="L340" i="20" s="1"/>
  <c r="K337" i="20"/>
  <c r="K340" i="20" s="1"/>
  <c r="J337" i="20"/>
  <c r="J340" i="20" s="1"/>
  <c r="I337" i="20"/>
  <c r="I340" i="20" s="1"/>
  <c r="H337" i="20"/>
  <c r="H340" i="20" s="1"/>
  <c r="G337" i="20"/>
  <c r="G340" i="20" s="1"/>
  <c r="F337" i="20"/>
  <c r="F340" i="20" s="1"/>
  <c r="R336" i="20"/>
  <c r="R335" i="20"/>
  <c r="W335" i="20"/>
  <c r="A335" i="20"/>
  <c r="U334" i="20"/>
  <c r="R334" i="20"/>
  <c r="AB334" i="20"/>
  <c r="T334" i="20"/>
  <c r="A334" i="20"/>
  <c r="R333" i="20"/>
  <c r="T333" i="20"/>
  <c r="A333" i="20"/>
  <c r="U332" i="20"/>
  <c r="R332" i="20"/>
  <c r="T332" i="20"/>
  <c r="A332" i="20"/>
  <c r="AD331" i="20"/>
  <c r="Z331" i="20"/>
  <c r="V331" i="20"/>
  <c r="U331" i="20"/>
  <c r="R331" i="20"/>
  <c r="AC331" i="20"/>
  <c r="T331" i="20"/>
  <c r="A331" i="20"/>
  <c r="Z330" i="20"/>
  <c r="W330" i="20"/>
  <c r="V330" i="20"/>
  <c r="U330" i="20"/>
  <c r="S330" i="20"/>
  <c r="R330" i="20"/>
  <c r="T330" i="20"/>
  <c r="A330" i="20"/>
  <c r="AD330" i="20" s="1"/>
  <c r="T329" i="20"/>
  <c r="R329" i="20"/>
  <c r="S329" i="20"/>
  <c r="A329" i="20"/>
  <c r="T328" i="20"/>
  <c r="R328" i="20"/>
  <c r="A328" i="20"/>
  <c r="Q321" i="20"/>
  <c r="Q324" i="20" s="1"/>
  <c r="P321" i="20"/>
  <c r="P324" i="20" s="1"/>
  <c r="O321" i="20"/>
  <c r="O324" i="20" s="1"/>
  <c r="N321" i="20"/>
  <c r="N324" i="20" s="1"/>
  <c r="M321" i="20"/>
  <c r="M324" i="20" s="1"/>
  <c r="L321" i="20"/>
  <c r="L324" i="20" s="1"/>
  <c r="K321" i="20"/>
  <c r="K324" i="20" s="1"/>
  <c r="J321" i="20"/>
  <c r="J324" i="20" s="1"/>
  <c r="I321" i="20"/>
  <c r="I324" i="20" s="1"/>
  <c r="H321" i="20"/>
  <c r="H324" i="20" s="1"/>
  <c r="G321" i="20"/>
  <c r="G324" i="20" s="1"/>
  <c r="F321" i="20"/>
  <c r="F324" i="20" s="1"/>
  <c r="AD319" i="20"/>
  <c r="AA319" i="20"/>
  <c r="Z319" i="20"/>
  <c r="W319" i="20"/>
  <c r="V319" i="20"/>
  <c r="S319" i="20"/>
  <c r="R319" i="20"/>
  <c r="AC319" i="20"/>
  <c r="U319" i="20"/>
  <c r="R318" i="20"/>
  <c r="AD317" i="20"/>
  <c r="AA317" i="20"/>
  <c r="Z317" i="20"/>
  <c r="W317" i="20"/>
  <c r="V317" i="20"/>
  <c r="S317" i="20"/>
  <c r="R317" i="20"/>
  <c r="AC317" i="20"/>
  <c r="U317" i="20"/>
  <c r="Q310" i="20"/>
  <c r="P310" i="20"/>
  <c r="O310" i="20"/>
  <c r="N310" i="20"/>
  <c r="M310" i="20"/>
  <c r="L310" i="20"/>
  <c r="K310" i="20"/>
  <c r="J310" i="20"/>
  <c r="I310" i="20"/>
  <c r="H310" i="20"/>
  <c r="G310" i="20"/>
  <c r="F310" i="20"/>
  <c r="W308" i="20"/>
  <c r="V308" i="20"/>
  <c r="S308" i="20"/>
  <c r="R308" i="20"/>
  <c r="T308" i="20"/>
  <c r="A308" i="20"/>
  <c r="W307" i="20"/>
  <c r="S307" i="20"/>
  <c r="R307" i="20"/>
  <c r="U307" i="20"/>
  <c r="A307" i="20"/>
  <c r="R306" i="20"/>
  <c r="A306" i="20"/>
  <c r="W305" i="20"/>
  <c r="V305" i="20"/>
  <c r="U305" i="20"/>
  <c r="S305" i="20"/>
  <c r="R305" i="20"/>
  <c r="AC305" i="20"/>
  <c r="T305" i="20"/>
  <c r="A305" i="20"/>
  <c r="AD304" i="20"/>
  <c r="W304" i="20"/>
  <c r="V304" i="20"/>
  <c r="S304" i="20"/>
  <c r="R304" i="20"/>
  <c r="T304" i="20"/>
  <c r="A304" i="20"/>
  <c r="R303" i="20"/>
  <c r="Q301" i="20"/>
  <c r="P301" i="20"/>
  <c r="O301" i="20"/>
  <c r="N301" i="20"/>
  <c r="N313" i="20" s="1"/>
  <c r="M301" i="20"/>
  <c r="L301" i="20"/>
  <c r="K301" i="20"/>
  <c r="K313" i="20" s="1"/>
  <c r="J301" i="20"/>
  <c r="J313" i="20" s="1"/>
  <c r="I301" i="20"/>
  <c r="H301" i="20"/>
  <c r="G301" i="20"/>
  <c r="F301" i="20"/>
  <c r="F313" i="20" s="1"/>
  <c r="AA299" i="20"/>
  <c r="W299" i="20"/>
  <c r="V299" i="20"/>
  <c r="S299" i="20"/>
  <c r="R299" i="20"/>
  <c r="T299" i="20"/>
  <c r="A299" i="20"/>
  <c r="Z299" i="20" s="1"/>
  <c r="W298" i="20"/>
  <c r="V298" i="20"/>
  <c r="U298" i="20"/>
  <c r="S298" i="20"/>
  <c r="R298" i="20"/>
  <c r="AC298" i="20"/>
  <c r="T298" i="20"/>
  <c r="A298" i="20"/>
  <c r="U297" i="20"/>
  <c r="R297" i="20"/>
  <c r="A297" i="20"/>
  <c r="T296" i="20"/>
  <c r="R296" i="20"/>
  <c r="Y296" i="20"/>
  <c r="A296" i="20"/>
  <c r="AD295" i="20"/>
  <c r="W295" i="20"/>
  <c r="T295" i="20"/>
  <c r="S295" i="20"/>
  <c r="R295" i="20"/>
  <c r="U295" i="20"/>
  <c r="A295" i="20"/>
  <c r="Z295" i="20" s="1"/>
  <c r="W294" i="20"/>
  <c r="V294" i="20"/>
  <c r="U294" i="20"/>
  <c r="S294" i="20"/>
  <c r="R294" i="20"/>
  <c r="AC294" i="20"/>
  <c r="T294" i="20"/>
  <c r="A294" i="20"/>
  <c r="V293" i="20"/>
  <c r="R293" i="20"/>
  <c r="Y293" i="20"/>
  <c r="T293" i="20"/>
  <c r="A293" i="20"/>
  <c r="U292" i="20"/>
  <c r="S292" i="20"/>
  <c r="R292" i="20"/>
  <c r="A292" i="20"/>
  <c r="Y292" i="20" s="1"/>
  <c r="AD291" i="20"/>
  <c r="Z291" i="20"/>
  <c r="X291" i="20"/>
  <c r="W291" i="20"/>
  <c r="T291" i="20"/>
  <c r="S291" i="20"/>
  <c r="R291" i="20"/>
  <c r="U291" i="20"/>
  <c r="A291" i="20"/>
  <c r="AC290" i="20"/>
  <c r="V290" i="20"/>
  <c r="R290" i="20"/>
  <c r="A290" i="20"/>
  <c r="AB289" i="20"/>
  <c r="AA289" i="20"/>
  <c r="T289" i="20"/>
  <c r="R289" i="20"/>
  <c r="A289" i="20"/>
  <c r="T288" i="20"/>
  <c r="R288" i="20"/>
  <c r="S288" i="20"/>
  <c r="A288" i="20"/>
  <c r="AA287" i="20"/>
  <c r="W287" i="20"/>
  <c r="V287" i="20"/>
  <c r="U287" i="20"/>
  <c r="S287" i="20"/>
  <c r="R287" i="20"/>
  <c r="Y287" i="20"/>
  <c r="T287" i="20"/>
  <c r="A287" i="20"/>
  <c r="X286" i="20"/>
  <c r="R286" i="20"/>
  <c r="V286" i="20"/>
  <c r="A286" i="20"/>
  <c r="W285" i="20"/>
  <c r="T285" i="20"/>
  <c r="R285" i="20"/>
  <c r="A285" i="20"/>
  <c r="Z284" i="20"/>
  <c r="X284" i="20"/>
  <c r="T284" i="20"/>
  <c r="S284" i="20"/>
  <c r="R284" i="20"/>
  <c r="A284" i="20"/>
  <c r="AD284" i="20" s="1"/>
  <c r="W283" i="20"/>
  <c r="V283" i="20"/>
  <c r="U283" i="20"/>
  <c r="S283" i="20"/>
  <c r="R283" i="20"/>
  <c r="T283" i="20"/>
  <c r="A283" i="20"/>
  <c r="Y283" i="20" s="1"/>
  <c r="AC282" i="20"/>
  <c r="AB282" i="20"/>
  <c r="Z282" i="20"/>
  <c r="U282" i="20"/>
  <c r="R282" i="20"/>
  <c r="A282" i="20"/>
  <c r="AA281" i="20"/>
  <c r="R281" i="20"/>
  <c r="AB281" i="20"/>
  <c r="T281" i="20"/>
  <c r="A281" i="20"/>
  <c r="V280" i="20"/>
  <c r="T280" i="20"/>
  <c r="R280" i="20"/>
  <c r="A280" i="20"/>
  <c r="AD280" i="20" s="1"/>
  <c r="W279" i="20"/>
  <c r="V279" i="20"/>
  <c r="U279" i="20"/>
  <c r="S279" i="20"/>
  <c r="R279" i="20"/>
  <c r="AC279" i="20"/>
  <c r="T279" i="20"/>
  <c r="A279" i="20"/>
  <c r="X278" i="20"/>
  <c r="R278" i="20"/>
  <c r="V278" i="20"/>
  <c r="A278" i="20"/>
  <c r="W277" i="20"/>
  <c r="R277" i="20"/>
  <c r="AB277" i="20"/>
  <c r="T277" i="20"/>
  <c r="A277" i="20"/>
  <c r="AD276" i="20"/>
  <c r="X276" i="20"/>
  <c r="R276" i="20"/>
  <c r="T276" i="20"/>
  <c r="A276" i="20"/>
  <c r="W275" i="20"/>
  <c r="V275" i="20"/>
  <c r="U275" i="20"/>
  <c r="S275" i="20"/>
  <c r="R275" i="20"/>
  <c r="AA275" i="20"/>
  <c r="T275" i="20"/>
  <c r="A275" i="20"/>
  <c r="R274" i="20"/>
  <c r="U274" i="20"/>
  <c r="A274" i="20"/>
  <c r="AA273" i="20"/>
  <c r="Y273" i="20"/>
  <c r="W273" i="20"/>
  <c r="T273" i="20"/>
  <c r="R273" i="20"/>
  <c r="AB273" i="20"/>
  <c r="A273" i="20"/>
  <c r="Z272" i="20"/>
  <c r="T272" i="20"/>
  <c r="S272" i="20"/>
  <c r="R272" i="20"/>
  <c r="A272" i="20"/>
  <c r="X272" i="20" s="1"/>
  <c r="W271" i="20"/>
  <c r="V271" i="20"/>
  <c r="U271" i="20"/>
  <c r="S271" i="20"/>
  <c r="R271" i="20"/>
  <c r="T271" i="20"/>
  <c r="A271" i="20"/>
  <c r="Y271" i="20" s="1"/>
  <c r="AC270" i="20"/>
  <c r="AB270" i="20"/>
  <c r="Z270" i="20"/>
  <c r="U270" i="20"/>
  <c r="R270" i="20"/>
  <c r="A270" i="20"/>
  <c r="AB269" i="20"/>
  <c r="R269" i="20"/>
  <c r="AA269" i="20"/>
  <c r="A269" i="20"/>
  <c r="AD268" i="20"/>
  <c r="X268" i="20"/>
  <c r="V268" i="20"/>
  <c r="R268" i="20"/>
  <c r="A268" i="20"/>
  <c r="W267" i="20"/>
  <c r="V267" i="20"/>
  <c r="U267" i="20"/>
  <c r="S267" i="20"/>
  <c r="R267" i="20"/>
  <c r="AC267" i="20"/>
  <c r="T267" i="20"/>
  <c r="A267" i="20"/>
  <c r="X266" i="20"/>
  <c r="R266" i="20"/>
  <c r="U266" i="20"/>
  <c r="A266" i="20"/>
  <c r="AA265" i="20"/>
  <c r="Y265" i="20"/>
  <c r="W265" i="20"/>
  <c r="T265" i="20"/>
  <c r="R265" i="20"/>
  <c r="AB265" i="20"/>
  <c r="A265" i="20"/>
  <c r="Z264" i="20"/>
  <c r="T264" i="20"/>
  <c r="S264" i="20"/>
  <c r="R264" i="20"/>
  <c r="A264" i="20"/>
  <c r="X264" i="20" s="1"/>
  <c r="W263" i="20"/>
  <c r="V263" i="20"/>
  <c r="U263" i="20"/>
  <c r="S263" i="20"/>
  <c r="R263" i="20"/>
  <c r="T263" i="20"/>
  <c r="A263" i="20"/>
  <c r="AC262" i="20"/>
  <c r="AB262" i="20"/>
  <c r="Z262" i="20"/>
  <c r="R262" i="20"/>
  <c r="A262" i="20"/>
  <c r="R261" i="20"/>
  <c r="A261" i="20"/>
  <c r="AD260" i="20"/>
  <c r="X260" i="20"/>
  <c r="R260" i="20"/>
  <c r="A260" i="20"/>
  <c r="W259" i="20"/>
  <c r="V259" i="20"/>
  <c r="U259" i="20"/>
  <c r="S259" i="20"/>
  <c r="R259" i="20"/>
  <c r="T259" i="20"/>
  <c r="A259" i="20"/>
  <c r="R258" i="20"/>
  <c r="U258" i="20"/>
  <c r="A258" i="20"/>
  <c r="AA257" i="20"/>
  <c r="Y257" i="20"/>
  <c r="W257" i="20"/>
  <c r="T257" i="20"/>
  <c r="R257" i="20"/>
  <c r="AB257" i="20"/>
  <c r="A257" i="20"/>
  <c r="Z256" i="20"/>
  <c r="T256" i="20"/>
  <c r="S256" i="20"/>
  <c r="R256" i="20"/>
  <c r="A256" i="20"/>
  <c r="AA256" i="20" s="1"/>
  <c r="AD255" i="20"/>
  <c r="Y255" i="20"/>
  <c r="W255" i="20"/>
  <c r="V255" i="20"/>
  <c r="U255" i="20"/>
  <c r="S255" i="20"/>
  <c r="R255" i="20"/>
  <c r="T255" i="20"/>
  <c r="A255" i="20"/>
  <c r="AC254" i="20"/>
  <c r="AB254" i="20"/>
  <c r="Z254" i="20"/>
  <c r="R254" i="20"/>
  <c r="U254" i="20"/>
  <c r="A254" i="20"/>
  <c r="W253" i="20"/>
  <c r="T253" i="20"/>
  <c r="R253" i="20"/>
  <c r="A253" i="20"/>
  <c r="AD252" i="20"/>
  <c r="X252" i="20"/>
  <c r="T252" i="20"/>
  <c r="R252" i="20"/>
  <c r="V252" i="20"/>
  <c r="A252" i="20"/>
  <c r="W251" i="20"/>
  <c r="V251" i="20"/>
  <c r="U251" i="20"/>
  <c r="S251" i="20"/>
  <c r="R251" i="20"/>
  <c r="T251" i="20"/>
  <c r="A251" i="20"/>
  <c r="V250" i="20"/>
  <c r="R250" i="20"/>
  <c r="X250" i="20"/>
  <c r="A250" i="20"/>
  <c r="AA249" i="20"/>
  <c r="W249" i="20"/>
  <c r="T249" i="20"/>
  <c r="R249" i="20"/>
  <c r="A249" i="20"/>
  <c r="AA248" i="20"/>
  <c r="X248" i="20"/>
  <c r="T248" i="20"/>
  <c r="S248" i="20"/>
  <c r="R248" i="20"/>
  <c r="A248" i="20"/>
  <c r="Z248" i="20" s="1"/>
  <c r="W247" i="20"/>
  <c r="V247" i="20"/>
  <c r="S247" i="20"/>
  <c r="R247" i="20"/>
  <c r="AD247" i="20"/>
  <c r="T247" i="20"/>
  <c r="A247" i="20"/>
  <c r="U246" i="20"/>
  <c r="R246" i="20"/>
  <c r="AC246" i="20"/>
  <c r="A246" i="20"/>
  <c r="AB245" i="20"/>
  <c r="Y245" i="20"/>
  <c r="R245" i="20"/>
  <c r="A245" i="20"/>
  <c r="AD244" i="20"/>
  <c r="Z244" i="20"/>
  <c r="S244" i="20"/>
  <c r="R244" i="20"/>
  <c r="A244" i="20"/>
  <c r="X244" i="20" s="1"/>
  <c r="W243" i="20"/>
  <c r="V243" i="20"/>
  <c r="U243" i="20"/>
  <c r="S243" i="20"/>
  <c r="R243" i="20"/>
  <c r="T243" i="20"/>
  <c r="A243" i="20"/>
  <c r="AB242" i="20"/>
  <c r="U242" i="20"/>
  <c r="R242" i="20"/>
  <c r="A242" i="20"/>
  <c r="AB241" i="20"/>
  <c r="R241" i="20"/>
  <c r="AA241" i="20"/>
  <c r="T241" i="20"/>
  <c r="A241" i="20"/>
  <c r="AD240" i="20"/>
  <c r="Z240" i="20"/>
  <c r="X240" i="20"/>
  <c r="R240" i="20"/>
  <c r="T240" i="20"/>
  <c r="A240" i="20"/>
  <c r="W239" i="20"/>
  <c r="V239" i="20"/>
  <c r="U239" i="20"/>
  <c r="S239" i="20"/>
  <c r="R239" i="20"/>
  <c r="AA239" i="20"/>
  <c r="T239" i="20"/>
  <c r="A239" i="20"/>
  <c r="U238" i="20"/>
  <c r="R238" i="20"/>
  <c r="AC238" i="20"/>
  <c r="A238" i="20"/>
  <c r="AB237" i="20"/>
  <c r="AA237" i="20"/>
  <c r="Y237" i="20"/>
  <c r="T237" i="20"/>
  <c r="R237" i="20"/>
  <c r="A237" i="20"/>
  <c r="Z236" i="20"/>
  <c r="T236" i="20"/>
  <c r="S236" i="20"/>
  <c r="R236" i="20"/>
  <c r="A236" i="20"/>
  <c r="X236" i="20" s="1"/>
  <c r="W235" i="20"/>
  <c r="V235" i="20"/>
  <c r="U235" i="20"/>
  <c r="S235" i="20"/>
  <c r="R235" i="20"/>
  <c r="T235" i="20"/>
  <c r="A235" i="20"/>
  <c r="AC234" i="20"/>
  <c r="AB234" i="20"/>
  <c r="U234" i="20"/>
  <c r="R234" i="20"/>
  <c r="A234" i="20"/>
  <c r="AB233" i="20"/>
  <c r="R233" i="20"/>
  <c r="AA233" i="20"/>
  <c r="T233" i="20"/>
  <c r="A233" i="20"/>
  <c r="AD232" i="20"/>
  <c r="X232" i="20"/>
  <c r="R232" i="20"/>
  <c r="T232" i="20"/>
  <c r="A232" i="20"/>
  <c r="W231" i="20"/>
  <c r="V231" i="20"/>
  <c r="U231" i="20"/>
  <c r="S231" i="20"/>
  <c r="R231" i="20"/>
  <c r="AA231" i="20"/>
  <c r="T231" i="20"/>
  <c r="A231" i="20"/>
  <c r="R230" i="20"/>
  <c r="AC230" i="20"/>
  <c r="U230" i="20"/>
  <c r="A230" i="20"/>
  <c r="AA229" i="20"/>
  <c r="Y229" i="20"/>
  <c r="W229" i="20"/>
  <c r="T229" i="20"/>
  <c r="R229" i="20"/>
  <c r="AB229" i="20"/>
  <c r="A229" i="20"/>
  <c r="Z228" i="20"/>
  <c r="T228" i="20"/>
  <c r="S228" i="20"/>
  <c r="R228" i="20"/>
  <c r="A228" i="20"/>
  <c r="X228" i="20" s="1"/>
  <c r="W227" i="20"/>
  <c r="V227" i="20"/>
  <c r="U227" i="20"/>
  <c r="S227" i="20"/>
  <c r="R227" i="20"/>
  <c r="T227" i="20"/>
  <c r="A227" i="20"/>
  <c r="Y227" i="20" s="1"/>
  <c r="AC226" i="20"/>
  <c r="AB226" i="20"/>
  <c r="Z226" i="20"/>
  <c r="U226" i="20"/>
  <c r="R226" i="20"/>
  <c r="A226" i="20"/>
  <c r="AB225" i="20"/>
  <c r="U225" i="20"/>
  <c r="R225" i="20"/>
  <c r="AA225" i="20"/>
  <c r="A225" i="20"/>
  <c r="AD224" i="20"/>
  <c r="X224" i="20"/>
  <c r="R224" i="20"/>
  <c r="V224" i="20"/>
  <c r="A224" i="20"/>
  <c r="W223" i="20"/>
  <c r="V223" i="20"/>
  <c r="U223" i="20"/>
  <c r="S223" i="20"/>
  <c r="R223" i="20"/>
  <c r="AC223" i="20"/>
  <c r="T223" i="20"/>
  <c r="A223" i="20"/>
  <c r="X222" i="20"/>
  <c r="R222" i="20"/>
  <c r="U222" i="20"/>
  <c r="A222" i="20"/>
  <c r="AA221" i="20"/>
  <c r="Y221" i="20"/>
  <c r="W221" i="20"/>
  <c r="T221" i="20"/>
  <c r="R221" i="20"/>
  <c r="AB221" i="20"/>
  <c r="A221" i="20"/>
  <c r="Q212" i="20"/>
  <c r="P212" i="20"/>
  <c r="O212" i="20"/>
  <c r="N212" i="20"/>
  <c r="M212" i="20"/>
  <c r="L212" i="20"/>
  <c r="K212" i="20"/>
  <c r="J212" i="20"/>
  <c r="I212" i="20"/>
  <c r="H212" i="20"/>
  <c r="G212" i="20"/>
  <c r="F212" i="20"/>
  <c r="AD210" i="20"/>
  <c r="AC210" i="20"/>
  <c r="Z210" i="20"/>
  <c r="Y210" i="20"/>
  <c r="X210" i="20"/>
  <c r="T210" i="20"/>
  <c r="R210" i="20"/>
  <c r="AA210" i="20"/>
  <c r="A210" i="20"/>
  <c r="Y209" i="20"/>
  <c r="T209" i="20"/>
  <c r="S209" i="20"/>
  <c r="R209" i="20"/>
  <c r="A209" i="20"/>
  <c r="X209" i="20" s="1"/>
  <c r="AD208" i="20"/>
  <c r="AB208" i="20"/>
  <c r="AA208" i="20"/>
  <c r="X208" i="20"/>
  <c r="S208" i="20"/>
  <c r="R208" i="20"/>
  <c r="V208" i="20"/>
  <c r="A208" i="20"/>
  <c r="Y207" i="20"/>
  <c r="W207" i="20"/>
  <c r="V207" i="20"/>
  <c r="U207" i="20"/>
  <c r="S207" i="20"/>
  <c r="R207" i="20"/>
  <c r="T207" i="20"/>
  <c r="A207" i="20"/>
  <c r="AD206" i="20"/>
  <c r="AC206" i="20"/>
  <c r="Z206" i="20"/>
  <c r="Y206" i="20"/>
  <c r="X206" i="20"/>
  <c r="T206" i="20"/>
  <c r="R206" i="20"/>
  <c r="AA206" i="20"/>
  <c r="A206" i="20"/>
  <c r="T205" i="20"/>
  <c r="R205" i="20"/>
  <c r="S205" i="20"/>
  <c r="A205" i="20"/>
  <c r="S204" i="20"/>
  <c r="R204" i="20"/>
  <c r="U204" i="20"/>
  <c r="A204" i="20"/>
  <c r="AA203" i="20"/>
  <c r="Y203" i="20"/>
  <c r="W203" i="20"/>
  <c r="T203" i="20"/>
  <c r="R203" i="20"/>
  <c r="AB203" i="20"/>
  <c r="A203" i="20"/>
  <c r="X202" i="20"/>
  <c r="W202" i="20"/>
  <c r="U202" i="20"/>
  <c r="S202" i="20"/>
  <c r="R202" i="20"/>
  <c r="V202" i="20"/>
  <c r="A202" i="20"/>
  <c r="Q199" i="20"/>
  <c r="P199" i="20"/>
  <c r="O199" i="20"/>
  <c r="N199" i="20"/>
  <c r="M199" i="20"/>
  <c r="L199" i="20"/>
  <c r="K199" i="20"/>
  <c r="J199" i="20"/>
  <c r="I199" i="20"/>
  <c r="H199" i="20"/>
  <c r="G199" i="20"/>
  <c r="F199" i="20"/>
  <c r="AA197" i="20"/>
  <c r="V197" i="20"/>
  <c r="T197" i="20"/>
  <c r="R197" i="20"/>
  <c r="A197" i="20"/>
  <c r="Y196" i="20"/>
  <c r="W196" i="20"/>
  <c r="V196" i="20"/>
  <c r="U196" i="20"/>
  <c r="S196" i="20"/>
  <c r="R196" i="20"/>
  <c r="T196" i="20"/>
  <c r="A196" i="20"/>
  <c r="AD196" i="20" s="1"/>
  <c r="AB195" i="20"/>
  <c r="Y195" i="20"/>
  <c r="V195" i="20"/>
  <c r="T195" i="20"/>
  <c r="R195" i="20"/>
  <c r="AC195" i="20"/>
  <c r="A195" i="20"/>
  <c r="W194" i="20"/>
  <c r="U194" i="20"/>
  <c r="S194" i="20"/>
  <c r="R194" i="20"/>
  <c r="V194" i="20"/>
  <c r="A194" i="20"/>
  <c r="AA193" i="20"/>
  <c r="V193" i="20"/>
  <c r="T193" i="20"/>
  <c r="R193" i="20"/>
  <c r="A193" i="20"/>
  <c r="W192" i="20"/>
  <c r="V192" i="20"/>
  <c r="U192" i="20"/>
  <c r="S192" i="20"/>
  <c r="R192" i="20"/>
  <c r="T192" i="20"/>
  <c r="A192" i="20"/>
  <c r="Y192" i="20" s="1"/>
  <c r="AB191" i="20"/>
  <c r="Y191" i="20"/>
  <c r="V191" i="20"/>
  <c r="T191" i="20"/>
  <c r="R191" i="20"/>
  <c r="AC191" i="20"/>
  <c r="A191" i="20"/>
  <c r="W190" i="20"/>
  <c r="U190" i="20"/>
  <c r="S190" i="20"/>
  <c r="R190" i="20"/>
  <c r="V190" i="20"/>
  <c r="A190" i="20"/>
  <c r="AA190" i="20" s="1"/>
  <c r="AA189" i="20"/>
  <c r="Z189" i="20"/>
  <c r="V189" i="20"/>
  <c r="T189" i="20"/>
  <c r="R189" i="20"/>
  <c r="A189" i="20"/>
  <c r="AC188" i="20"/>
  <c r="AB188" i="20"/>
  <c r="U188" i="20"/>
  <c r="R188" i="20"/>
  <c r="A188" i="20"/>
  <c r="Z187" i="20"/>
  <c r="W187" i="20"/>
  <c r="T187" i="20"/>
  <c r="S187" i="20"/>
  <c r="R187" i="20"/>
  <c r="U187" i="20"/>
  <c r="A187" i="20"/>
  <c r="AD186" i="20"/>
  <c r="AC186" i="20"/>
  <c r="Z186" i="20"/>
  <c r="Y186" i="20"/>
  <c r="X186" i="20"/>
  <c r="T186" i="20"/>
  <c r="R186" i="20"/>
  <c r="AA186" i="20"/>
  <c r="A186" i="20"/>
  <c r="W185" i="20"/>
  <c r="T185" i="20"/>
  <c r="S185" i="20"/>
  <c r="R185" i="20"/>
  <c r="U185" i="20"/>
  <c r="A185" i="20"/>
  <c r="Z185" i="20" s="1"/>
  <c r="AD184" i="20"/>
  <c r="AC184" i="20"/>
  <c r="Z184" i="20"/>
  <c r="Y184" i="20"/>
  <c r="X184" i="20"/>
  <c r="R184" i="20"/>
  <c r="AA184" i="20"/>
  <c r="A184" i="20"/>
  <c r="R183" i="20"/>
  <c r="V183" i="20"/>
  <c r="A183" i="20"/>
  <c r="R182" i="20"/>
  <c r="AC182" i="20"/>
  <c r="A182" i="20"/>
  <c r="AD181" i="20"/>
  <c r="X181" i="20"/>
  <c r="W181" i="20"/>
  <c r="T181" i="20"/>
  <c r="S181" i="20"/>
  <c r="R181" i="20"/>
  <c r="U181" i="20"/>
  <c r="A181" i="20"/>
  <c r="AD180" i="20"/>
  <c r="AC180" i="20"/>
  <c r="Z180" i="20"/>
  <c r="Y180" i="20"/>
  <c r="X180" i="20"/>
  <c r="T180" i="20"/>
  <c r="R180" i="20"/>
  <c r="AA180" i="20"/>
  <c r="A180" i="20"/>
  <c r="AA179" i="20"/>
  <c r="Z179" i="20"/>
  <c r="T179" i="20"/>
  <c r="R179" i="20"/>
  <c r="A179" i="20"/>
  <c r="AC178" i="20"/>
  <c r="AB178" i="20"/>
  <c r="Z178" i="20"/>
  <c r="U178" i="20"/>
  <c r="R178" i="20"/>
  <c r="A178" i="20"/>
  <c r="W177" i="20"/>
  <c r="T177" i="20"/>
  <c r="S177" i="20"/>
  <c r="R177" i="20"/>
  <c r="U177" i="20"/>
  <c r="A177" i="20"/>
  <c r="Z177" i="20" s="1"/>
  <c r="W176" i="20"/>
  <c r="V176" i="20"/>
  <c r="U176" i="20"/>
  <c r="S176" i="20"/>
  <c r="R176" i="20"/>
  <c r="Z176" i="20"/>
  <c r="T176" i="20"/>
  <c r="A176" i="20"/>
  <c r="AC175" i="20"/>
  <c r="AB175" i="20"/>
  <c r="V175" i="20"/>
  <c r="T175" i="20"/>
  <c r="R175" i="20"/>
  <c r="Y175" i="20"/>
  <c r="A175" i="20"/>
  <c r="W174" i="20"/>
  <c r="U174" i="20"/>
  <c r="S174" i="20"/>
  <c r="R174" i="20"/>
  <c r="AB174" i="20"/>
  <c r="V174" i="20"/>
  <c r="A174" i="20"/>
  <c r="AD173" i="20"/>
  <c r="Z173" i="20"/>
  <c r="X173" i="20"/>
  <c r="R173" i="20"/>
  <c r="T173" i="20"/>
  <c r="A173" i="20"/>
  <c r="W172" i="20"/>
  <c r="V172" i="20"/>
  <c r="U172" i="20"/>
  <c r="S172" i="20"/>
  <c r="R172" i="20"/>
  <c r="T172" i="20"/>
  <c r="A172" i="20"/>
  <c r="AC171" i="20"/>
  <c r="R171" i="20"/>
  <c r="T171" i="20"/>
  <c r="A171" i="20"/>
  <c r="Y171" i="20" s="1"/>
  <c r="W170" i="20"/>
  <c r="V170" i="20"/>
  <c r="U170" i="20"/>
  <c r="S170" i="20"/>
  <c r="R170" i="20"/>
  <c r="T170" i="20"/>
  <c r="A170" i="20"/>
  <c r="W169" i="20"/>
  <c r="U169" i="20"/>
  <c r="S169" i="20"/>
  <c r="R169" i="20"/>
  <c r="V169" i="20"/>
  <c r="A169" i="20"/>
  <c r="T168" i="20"/>
  <c r="S168" i="20"/>
  <c r="R168" i="20"/>
  <c r="A168" i="20"/>
  <c r="Z168" i="20" s="1"/>
  <c r="W167" i="20"/>
  <c r="V167" i="20"/>
  <c r="U167" i="20"/>
  <c r="S167" i="20"/>
  <c r="R167" i="20"/>
  <c r="T167" i="20"/>
  <c r="A167" i="20"/>
  <c r="AC166" i="20"/>
  <c r="AB166" i="20"/>
  <c r="R166" i="20"/>
  <c r="Z166" i="20"/>
  <c r="U166" i="20"/>
  <c r="A166" i="20"/>
  <c r="W165" i="20"/>
  <c r="R165" i="20"/>
  <c r="T165" i="20"/>
  <c r="A165" i="20"/>
  <c r="AD164" i="20"/>
  <c r="Z164" i="20"/>
  <c r="X164" i="20"/>
  <c r="R164" i="20"/>
  <c r="T164" i="20"/>
  <c r="A164" i="20"/>
  <c r="AD163" i="20"/>
  <c r="W163" i="20"/>
  <c r="V163" i="20"/>
  <c r="U163" i="20"/>
  <c r="S163" i="20"/>
  <c r="R163" i="20"/>
  <c r="AA163" i="20"/>
  <c r="T163" i="20"/>
  <c r="A163" i="20"/>
  <c r="Z162" i="20"/>
  <c r="U162" i="20"/>
  <c r="R162" i="20"/>
  <c r="AC162" i="20"/>
  <c r="A162" i="20"/>
  <c r="Q158" i="20"/>
  <c r="P158" i="20"/>
  <c r="O158" i="20"/>
  <c r="N158" i="20"/>
  <c r="M158" i="20"/>
  <c r="M215" i="20" s="1"/>
  <c r="L158" i="20"/>
  <c r="L215" i="20" s="1"/>
  <c r="K158" i="20"/>
  <c r="J158" i="20"/>
  <c r="I158" i="20"/>
  <c r="H158" i="20"/>
  <c r="G158" i="20"/>
  <c r="F158" i="20"/>
  <c r="R157" i="20"/>
  <c r="AC156" i="20"/>
  <c r="AB156" i="20"/>
  <c r="R156" i="20"/>
  <c r="Z156" i="20"/>
  <c r="V156" i="20"/>
  <c r="A156" i="20"/>
  <c r="W155" i="20"/>
  <c r="R155" i="20"/>
  <c r="T155" i="20"/>
  <c r="A155" i="20"/>
  <c r="AD154" i="20"/>
  <c r="Z154" i="20"/>
  <c r="X154" i="20"/>
  <c r="R154" i="20"/>
  <c r="T154" i="20"/>
  <c r="A154" i="20"/>
  <c r="AD153" i="20"/>
  <c r="W153" i="20"/>
  <c r="V153" i="20"/>
  <c r="U153" i="20"/>
  <c r="S153" i="20"/>
  <c r="R153" i="20"/>
  <c r="AA153" i="20"/>
  <c r="T153" i="20"/>
  <c r="A153" i="20"/>
  <c r="Z152" i="20"/>
  <c r="U152" i="20"/>
  <c r="R152" i="20"/>
  <c r="AC152" i="20"/>
  <c r="A152" i="20"/>
  <c r="AB151" i="20"/>
  <c r="AA151" i="20"/>
  <c r="Y151" i="20"/>
  <c r="T151" i="20"/>
  <c r="R151" i="20"/>
  <c r="W151" i="20"/>
  <c r="A151" i="20"/>
  <c r="T150" i="20"/>
  <c r="S150" i="20"/>
  <c r="R150" i="20"/>
  <c r="A150" i="20"/>
  <c r="W149" i="20"/>
  <c r="V149" i="20"/>
  <c r="U149" i="20"/>
  <c r="S149" i="20"/>
  <c r="R149" i="20"/>
  <c r="T149" i="20"/>
  <c r="A149" i="20"/>
  <c r="AA149" i="20" s="1"/>
  <c r="AC148" i="20"/>
  <c r="AB148" i="20"/>
  <c r="R148" i="20"/>
  <c r="Z148" i="20"/>
  <c r="V148" i="20"/>
  <c r="A148" i="20"/>
  <c r="W147" i="20"/>
  <c r="R147" i="20"/>
  <c r="T147" i="20"/>
  <c r="A147" i="20"/>
  <c r="AD146" i="20"/>
  <c r="Z146" i="20"/>
  <c r="X146" i="20"/>
  <c r="R146" i="20"/>
  <c r="T146" i="20"/>
  <c r="A146" i="20"/>
  <c r="AD145" i="20"/>
  <c r="W145" i="20"/>
  <c r="V145" i="20"/>
  <c r="U145" i="20"/>
  <c r="S145" i="20"/>
  <c r="R145" i="20"/>
  <c r="AA145" i="20"/>
  <c r="T145" i="20"/>
  <c r="A145" i="20"/>
  <c r="Z144" i="20"/>
  <c r="U144" i="20"/>
  <c r="R144" i="20"/>
  <c r="AC144" i="20"/>
  <c r="A144" i="20"/>
  <c r="AB143" i="20"/>
  <c r="AA143" i="20"/>
  <c r="Y143" i="20"/>
  <c r="T143" i="20"/>
  <c r="R143" i="20"/>
  <c r="W143" i="20"/>
  <c r="A143" i="20"/>
  <c r="T142" i="20"/>
  <c r="S142" i="20"/>
  <c r="R142" i="20"/>
  <c r="A142" i="20"/>
  <c r="W141" i="20"/>
  <c r="V141" i="20"/>
  <c r="U141" i="20"/>
  <c r="S141" i="20"/>
  <c r="R141" i="20"/>
  <c r="T141" i="20"/>
  <c r="A141" i="20"/>
  <c r="Y141" i="20" s="1"/>
  <c r="AC140" i="20"/>
  <c r="AB140" i="20"/>
  <c r="U140" i="20"/>
  <c r="R140" i="20"/>
  <c r="Z140" i="20"/>
  <c r="A140" i="20"/>
  <c r="U139" i="20"/>
  <c r="R139" i="20"/>
  <c r="A139" i="20"/>
  <c r="AD138" i="20"/>
  <c r="Z138" i="20"/>
  <c r="X138" i="20"/>
  <c r="R138" i="20"/>
  <c r="V138" i="20"/>
  <c r="A138" i="20"/>
  <c r="W137" i="20"/>
  <c r="V137" i="20"/>
  <c r="U137" i="20"/>
  <c r="S137" i="20"/>
  <c r="R137" i="20"/>
  <c r="AD137" i="20"/>
  <c r="T137" i="20"/>
  <c r="A137" i="20"/>
  <c r="X136" i="20"/>
  <c r="U136" i="20"/>
  <c r="R136" i="20"/>
  <c r="A136" i="20"/>
  <c r="AB135" i="20"/>
  <c r="AA135" i="20"/>
  <c r="Y135" i="20"/>
  <c r="T135" i="20"/>
  <c r="R135" i="20"/>
  <c r="W135" i="20"/>
  <c r="A135" i="20"/>
  <c r="Z134" i="20"/>
  <c r="T134" i="20"/>
  <c r="S134" i="20"/>
  <c r="R134" i="20"/>
  <c r="A134" i="20"/>
  <c r="Y133" i="20"/>
  <c r="W133" i="20"/>
  <c r="V133" i="20"/>
  <c r="U133" i="20"/>
  <c r="S133" i="20"/>
  <c r="R133" i="20"/>
  <c r="T133" i="20"/>
  <c r="A133" i="20"/>
  <c r="AC132" i="20"/>
  <c r="AB132" i="20"/>
  <c r="R132" i="20"/>
  <c r="Z132" i="20"/>
  <c r="U132" i="20"/>
  <c r="A132" i="20"/>
  <c r="R131" i="20"/>
  <c r="U131" i="20"/>
  <c r="A131" i="20"/>
  <c r="AD130" i="20"/>
  <c r="Z130" i="20"/>
  <c r="X130" i="20"/>
  <c r="V130" i="20"/>
  <c r="S130" i="20"/>
  <c r="R130" i="20"/>
  <c r="A130" i="20"/>
  <c r="W129" i="20"/>
  <c r="V129" i="20"/>
  <c r="U129" i="20"/>
  <c r="S129" i="20"/>
  <c r="R129" i="20"/>
  <c r="T129" i="20"/>
  <c r="A129" i="20"/>
  <c r="U128" i="20"/>
  <c r="R128" i="20"/>
  <c r="X128" i="20"/>
  <c r="A128" i="20"/>
  <c r="AB127" i="20"/>
  <c r="AA127" i="20"/>
  <c r="Y127" i="20"/>
  <c r="R127" i="20"/>
  <c r="T127" i="20"/>
  <c r="A127" i="20"/>
  <c r="AA126" i="20"/>
  <c r="T126" i="20"/>
  <c r="S126" i="20"/>
  <c r="R126" i="20"/>
  <c r="A126" i="20"/>
  <c r="Z126" i="20" s="1"/>
  <c r="W125" i="20"/>
  <c r="V125" i="20"/>
  <c r="U125" i="20"/>
  <c r="S125" i="20"/>
  <c r="R125" i="20"/>
  <c r="T125" i="20"/>
  <c r="A125" i="20"/>
  <c r="R124" i="20"/>
  <c r="U124" i="20"/>
  <c r="A124" i="20"/>
  <c r="AB123" i="20"/>
  <c r="U123" i="20"/>
  <c r="R123" i="20"/>
  <c r="A123" i="20"/>
  <c r="AD122" i="20"/>
  <c r="Z122" i="20"/>
  <c r="X122" i="20"/>
  <c r="R122" i="20"/>
  <c r="V122" i="20"/>
  <c r="A122" i="20"/>
  <c r="W121" i="20"/>
  <c r="V121" i="20"/>
  <c r="U121" i="20"/>
  <c r="S121" i="20"/>
  <c r="R121" i="20"/>
  <c r="AC121" i="20"/>
  <c r="T121" i="20"/>
  <c r="A121" i="20"/>
  <c r="AB120" i="20"/>
  <c r="U120" i="20"/>
  <c r="R120" i="20"/>
  <c r="X120" i="20"/>
  <c r="A120" i="20"/>
  <c r="AB119" i="20"/>
  <c r="AA119" i="20"/>
  <c r="Y119" i="20"/>
  <c r="R119" i="20"/>
  <c r="T119" i="20"/>
  <c r="A119" i="20"/>
  <c r="AD118" i="20"/>
  <c r="Z118" i="20"/>
  <c r="X118" i="20"/>
  <c r="S118" i="20"/>
  <c r="R118" i="20"/>
  <c r="T118" i="20"/>
  <c r="A118" i="20"/>
  <c r="W117" i="20"/>
  <c r="V117" i="20"/>
  <c r="U117" i="20"/>
  <c r="S117" i="20"/>
  <c r="R117" i="20"/>
  <c r="T117" i="20"/>
  <c r="A117" i="20"/>
  <c r="AB116" i="20"/>
  <c r="U116" i="20"/>
  <c r="R116" i="20"/>
  <c r="AC116" i="20"/>
  <c r="A116" i="20"/>
  <c r="AB115" i="20"/>
  <c r="AA115" i="20"/>
  <c r="Y115" i="20"/>
  <c r="R115" i="20"/>
  <c r="T115" i="20"/>
  <c r="A115" i="20"/>
  <c r="R114" i="20"/>
  <c r="T114" i="20"/>
  <c r="A114" i="20"/>
  <c r="W113" i="20"/>
  <c r="V113" i="20"/>
  <c r="U113" i="20"/>
  <c r="S113" i="20"/>
  <c r="R113" i="20"/>
  <c r="AA113" i="20"/>
  <c r="T113" i="20"/>
  <c r="A113" i="20"/>
  <c r="R112" i="20"/>
  <c r="AC112" i="20"/>
  <c r="U112" i="20"/>
  <c r="A112" i="20"/>
  <c r="Y111" i="20"/>
  <c r="W111" i="20"/>
  <c r="R111" i="20"/>
  <c r="AB111" i="20"/>
  <c r="T111" i="20"/>
  <c r="A111" i="20"/>
  <c r="AD110" i="20"/>
  <c r="Z110" i="20"/>
  <c r="X110" i="20"/>
  <c r="S110" i="20"/>
  <c r="R110" i="20"/>
  <c r="T110" i="20"/>
  <c r="A110" i="20"/>
  <c r="W109" i="20"/>
  <c r="V109" i="20"/>
  <c r="U109" i="20"/>
  <c r="S109" i="20"/>
  <c r="R109" i="20"/>
  <c r="T109" i="20"/>
  <c r="A109" i="20"/>
  <c r="AB108" i="20"/>
  <c r="Z108" i="20"/>
  <c r="U108" i="20"/>
  <c r="R108" i="20"/>
  <c r="AC108" i="20"/>
  <c r="A108" i="20"/>
  <c r="AB107" i="20"/>
  <c r="AA107" i="20"/>
  <c r="Y107" i="20"/>
  <c r="R107" i="20"/>
  <c r="T107" i="20"/>
  <c r="A107" i="20"/>
  <c r="R106" i="20"/>
  <c r="T106" i="20"/>
  <c r="A106" i="20"/>
  <c r="AA105" i="20"/>
  <c r="W105" i="20"/>
  <c r="V105" i="20"/>
  <c r="U105" i="20"/>
  <c r="S105" i="20"/>
  <c r="R105" i="20"/>
  <c r="Y105" i="20"/>
  <c r="T105" i="20"/>
  <c r="A105" i="20"/>
  <c r="R104" i="20"/>
  <c r="X104" i="20"/>
  <c r="V104" i="20"/>
  <c r="A104" i="20"/>
  <c r="W103" i="20"/>
  <c r="R103" i="20"/>
  <c r="Y103" i="20"/>
  <c r="T103" i="20"/>
  <c r="A103" i="20"/>
  <c r="AD102" i="20"/>
  <c r="Z102" i="20"/>
  <c r="X102" i="20"/>
  <c r="S102" i="20"/>
  <c r="R102" i="20"/>
  <c r="T102" i="20"/>
  <c r="A102" i="20"/>
  <c r="W101" i="20"/>
  <c r="V101" i="20"/>
  <c r="U101" i="20"/>
  <c r="S101" i="20"/>
  <c r="R101" i="20"/>
  <c r="T101" i="20"/>
  <c r="A101" i="20"/>
  <c r="Y101" i="20" s="1"/>
  <c r="AB100" i="20"/>
  <c r="Z100" i="20"/>
  <c r="U100" i="20"/>
  <c r="R100" i="20"/>
  <c r="AC100" i="20"/>
  <c r="A100" i="20"/>
  <c r="AB99" i="20"/>
  <c r="AA99" i="20"/>
  <c r="Y99" i="20"/>
  <c r="R99" i="20"/>
  <c r="A99" i="20"/>
  <c r="AD98" i="20"/>
  <c r="AA98" i="20"/>
  <c r="R98" i="20"/>
  <c r="V98" i="20"/>
  <c r="A98" i="20"/>
  <c r="AA97" i="20"/>
  <c r="W97" i="20"/>
  <c r="V97" i="20"/>
  <c r="U97" i="20"/>
  <c r="S97" i="20"/>
  <c r="R97" i="20"/>
  <c r="T97" i="20"/>
  <c r="A97" i="20"/>
  <c r="V96" i="20"/>
  <c r="R96" i="20"/>
  <c r="A96" i="20"/>
  <c r="W95" i="20"/>
  <c r="R95" i="20"/>
  <c r="T95" i="20"/>
  <c r="A95" i="20"/>
  <c r="AD94" i="20"/>
  <c r="Z94" i="20"/>
  <c r="X94" i="20"/>
  <c r="S94" i="20"/>
  <c r="R94" i="20"/>
  <c r="T94" i="20"/>
  <c r="A94" i="20"/>
  <c r="Y93" i="20"/>
  <c r="W93" i="20"/>
  <c r="V93" i="20"/>
  <c r="U93" i="20"/>
  <c r="S93" i="20"/>
  <c r="R93" i="20"/>
  <c r="T93" i="20"/>
  <c r="A93" i="20"/>
  <c r="AB92" i="20"/>
  <c r="W92" i="20"/>
  <c r="U92" i="20"/>
  <c r="R92" i="20"/>
  <c r="V92" i="20"/>
  <c r="A92" i="20"/>
  <c r="Z91" i="20"/>
  <c r="R91" i="20"/>
  <c r="V91" i="20"/>
  <c r="A91" i="20"/>
  <c r="AD90" i="20"/>
  <c r="Y90" i="20"/>
  <c r="W90" i="20"/>
  <c r="V90" i="20"/>
  <c r="U90" i="20"/>
  <c r="S90" i="20"/>
  <c r="R90" i="20"/>
  <c r="T90" i="20"/>
  <c r="A90" i="20"/>
  <c r="AC89" i="20"/>
  <c r="V89" i="20"/>
  <c r="R89" i="20"/>
  <c r="T89" i="20"/>
  <c r="A89" i="20"/>
  <c r="W88" i="20"/>
  <c r="U88" i="20"/>
  <c r="R88" i="20"/>
  <c r="V88" i="20"/>
  <c r="A88" i="20"/>
  <c r="AA87" i="20"/>
  <c r="Z87" i="20"/>
  <c r="T87" i="20"/>
  <c r="R87" i="20"/>
  <c r="A87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R77" i="20"/>
  <c r="Z76" i="20"/>
  <c r="R76" i="20"/>
  <c r="V76" i="20"/>
  <c r="A76" i="20"/>
  <c r="Y75" i="20"/>
  <c r="W75" i="20"/>
  <c r="V75" i="20"/>
  <c r="U75" i="20"/>
  <c r="S75" i="20"/>
  <c r="R75" i="20"/>
  <c r="T75" i="20"/>
  <c r="A75" i="20"/>
  <c r="AD75" i="20" s="1"/>
  <c r="AC74" i="20"/>
  <c r="X74" i="20"/>
  <c r="V74" i="20"/>
  <c r="R74" i="20"/>
  <c r="T74" i="20"/>
  <c r="A74" i="20"/>
  <c r="W73" i="20"/>
  <c r="U73" i="20"/>
  <c r="R73" i="20"/>
  <c r="V73" i="20"/>
  <c r="A73" i="20"/>
  <c r="V72" i="20"/>
  <c r="T72" i="20"/>
  <c r="R72" i="20"/>
  <c r="A72" i="20"/>
  <c r="AA72" i="20" s="1"/>
  <c r="AD71" i="20"/>
  <c r="W71" i="20"/>
  <c r="V71" i="20"/>
  <c r="U71" i="20"/>
  <c r="S71" i="20"/>
  <c r="R71" i="20"/>
  <c r="T71" i="20"/>
  <c r="A71" i="20"/>
  <c r="Y71" i="20" s="1"/>
  <c r="V70" i="20"/>
  <c r="R70" i="20"/>
  <c r="X70" i="20"/>
  <c r="T70" i="20"/>
  <c r="A70" i="20"/>
  <c r="AB69" i="20"/>
  <c r="W69" i="20"/>
  <c r="U69" i="20"/>
  <c r="R69" i="20"/>
  <c r="V69" i="20"/>
  <c r="A69" i="20"/>
  <c r="Q67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R65" i="20"/>
  <c r="AA64" i="20"/>
  <c r="Z64" i="20"/>
  <c r="R64" i="20"/>
  <c r="V64" i="20"/>
  <c r="A64" i="20"/>
  <c r="W63" i="20"/>
  <c r="V63" i="20"/>
  <c r="U63" i="20"/>
  <c r="S63" i="20"/>
  <c r="R63" i="20"/>
  <c r="T63" i="20"/>
  <c r="A63" i="20"/>
  <c r="Y63" i="20" s="1"/>
  <c r="X62" i="20"/>
  <c r="V62" i="20"/>
  <c r="R62" i="20"/>
  <c r="AC62" i="20"/>
  <c r="T62" i="20"/>
  <c r="A62" i="20"/>
  <c r="AB61" i="20"/>
  <c r="W61" i="20"/>
  <c r="U61" i="20"/>
  <c r="R61" i="20"/>
  <c r="V61" i="20"/>
  <c r="A61" i="20"/>
  <c r="V60" i="20"/>
  <c r="T60" i="20"/>
  <c r="R60" i="20"/>
  <c r="A60" i="20"/>
  <c r="AA60" i="20" s="1"/>
  <c r="AD59" i="20"/>
  <c r="Y59" i="20"/>
  <c r="W59" i="20"/>
  <c r="V59" i="20"/>
  <c r="U59" i="20"/>
  <c r="S59" i="20"/>
  <c r="R59" i="20"/>
  <c r="T59" i="20"/>
  <c r="A59" i="20"/>
  <c r="AC58" i="20"/>
  <c r="V58" i="20"/>
  <c r="R58" i="20"/>
  <c r="X58" i="20"/>
  <c r="T58" i="20"/>
  <c r="A58" i="20"/>
  <c r="Q55" i="20"/>
  <c r="P55" i="20"/>
  <c r="P81" i="20" s="1"/>
  <c r="O55" i="20"/>
  <c r="O81" i="20" s="1"/>
  <c r="N55" i="20"/>
  <c r="N81" i="20" s="1"/>
  <c r="M55" i="20"/>
  <c r="L55" i="20"/>
  <c r="L81" i="20" s="1"/>
  <c r="K55" i="20"/>
  <c r="J55" i="20"/>
  <c r="I55" i="20"/>
  <c r="H55" i="20"/>
  <c r="H81" i="20" s="1"/>
  <c r="G55" i="20"/>
  <c r="G81" i="20" s="1"/>
  <c r="F55" i="20"/>
  <c r="F81" i="20" s="1"/>
  <c r="R54" i="20"/>
  <c r="X53" i="20"/>
  <c r="W53" i="20"/>
  <c r="T53" i="20"/>
  <c r="S53" i="20"/>
  <c r="R53" i="20"/>
  <c r="U53" i="20"/>
  <c r="A53" i="20"/>
  <c r="AC52" i="20"/>
  <c r="W52" i="20"/>
  <c r="V52" i="20"/>
  <c r="U52" i="20"/>
  <c r="S52" i="20"/>
  <c r="R52" i="20"/>
  <c r="AA52" i="20"/>
  <c r="T52" i="20"/>
  <c r="A52" i="20"/>
  <c r="AB51" i="20"/>
  <c r="U51" i="20"/>
  <c r="R51" i="20"/>
  <c r="A51" i="20"/>
  <c r="X50" i="20"/>
  <c r="U50" i="20"/>
  <c r="S50" i="20"/>
  <c r="R50" i="20"/>
  <c r="AA50" i="20"/>
  <c r="A50" i="20"/>
  <c r="AD49" i="20"/>
  <c r="X49" i="20"/>
  <c r="W49" i="20"/>
  <c r="T49" i="20"/>
  <c r="S49" i="20"/>
  <c r="R49" i="20"/>
  <c r="U49" i="20"/>
  <c r="A49" i="20"/>
  <c r="W48" i="20"/>
  <c r="V48" i="20"/>
  <c r="U48" i="20"/>
  <c r="S48" i="20"/>
  <c r="R48" i="20"/>
  <c r="AA48" i="20"/>
  <c r="T48" i="20"/>
  <c r="A48" i="20"/>
  <c r="Z47" i="20"/>
  <c r="Y47" i="20"/>
  <c r="V47" i="20"/>
  <c r="T47" i="20"/>
  <c r="R47" i="20"/>
  <c r="A47" i="20"/>
  <c r="R46" i="20"/>
  <c r="S46" i="20"/>
  <c r="A46" i="20"/>
  <c r="W45" i="20"/>
  <c r="T45" i="20"/>
  <c r="S45" i="20"/>
  <c r="R45" i="20"/>
  <c r="U45" i="20"/>
  <c r="A45" i="20"/>
  <c r="Z45" i="20" s="1"/>
  <c r="AA44" i="20"/>
  <c r="Z44" i="20"/>
  <c r="W44" i="20"/>
  <c r="V44" i="20"/>
  <c r="U44" i="20"/>
  <c r="S44" i="20"/>
  <c r="R44" i="20"/>
  <c r="T44" i="20"/>
  <c r="A44" i="20"/>
  <c r="V43" i="20"/>
  <c r="R43" i="20"/>
  <c r="AB43" i="20"/>
  <c r="T43" i="20"/>
  <c r="A43" i="20"/>
  <c r="X42" i="20"/>
  <c r="U42" i="20"/>
  <c r="S42" i="20"/>
  <c r="R42" i="20"/>
  <c r="AA42" i="20"/>
  <c r="A42" i="20"/>
  <c r="AD41" i="20"/>
  <c r="X41" i="20"/>
  <c r="W41" i="20"/>
  <c r="T41" i="20"/>
  <c r="S41" i="20"/>
  <c r="R41" i="20"/>
  <c r="U41" i="20"/>
  <c r="A41" i="20"/>
  <c r="W40" i="20"/>
  <c r="V40" i="20"/>
  <c r="U40" i="20"/>
  <c r="S40" i="20"/>
  <c r="R40" i="20"/>
  <c r="AA40" i="20"/>
  <c r="T40" i="20"/>
  <c r="A40" i="20"/>
  <c r="Z39" i="20"/>
  <c r="Y39" i="20"/>
  <c r="V39" i="20"/>
  <c r="T39" i="20"/>
  <c r="R39" i="20"/>
  <c r="A39" i="20"/>
  <c r="R38" i="20"/>
  <c r="S38" i="20"/>
  <c r="A38" i="20"/>
  <c r="W37" i="20"/>
  <c r="T37" i="20"/>
  <c r="S37" i="20"/>
  <c r="R37" i="20"/>
  <c r="U37" i="20"/>
  <c r="A37" i="20"/>
  <c r="Z37" i="20" s="1"/>
  <c r="AA36" i="20"/>
  <c r="Z36" i="20"/>
  <c r="W36" i="20"/>
  <c r="V36" i="20"/>
  <c r="U36" i="20"/>
  <c r="S36" i="20"/>
  <c r="R36" i="20"/>
  <c r="T36" i="20"/>
  <c r="A36" i="20"/>
  <c r="V35" i="20"/>
  <c r="R35" i="20"/>
  <c r="AB35" i="20"/>
  <c r="T35" i="20"/>
  <c r="A35" i="20"/>
  <c r="X34" i="20"/>
  <c r="U34" i="20"/>
  <c r="R34" i="20"/>
  <c r="AA34" i="20"/>
  <c r="A34" i="20"/>
  <c r="AD33" i="20"/>
  <c r="X33" i="20"/>
  <c r="W33" i="20"/>
  <c r="T33" i="20"/>
  <c r="S33" i="20"/>
  <c r="R33" i="20"/>
  <c r="U33" i="20"/>
  <c r="A33" i="20"/>
  <c r="W32" i="20"/>
  <c r="V32" i="20"/>
  <c r="U32" i="20"/>
  <c r="S32" i="20"/>
  <c r="R32" i="20"/>
  <c r="AA32" i="20"/>
  <c r="T32" i="20"/>
  <c r="A32" i="20"/>
  <c r="Z31" i="20"/>
  <c r="Y31" i="20"/>
  <c r="V31" i="20"/>
  <c r="T31" i="20"/>
  <c r="R31" i="20"/>
  <c r="A31" i="20"/>
  <c r="T30" i="20"/>
  <c r="R30" i="20"/>
  <c r="A30" i="20"/>
  <c r="AB29" i="20"/>
  <c r="W29" i="20"/>
  <c r="T29" i="20"/>
  <c r="S29" i="20"/>
  <c r="R29" i="20"/>
  <c r="U29" i="20"/>
  <c r="A29" i="20"/>
  <c r="AA28" i="20"/>
  <c r="Z28" i="20"/>
  <c r="W28" i="20"/>
  <c r="V28" i="20"/>
  <c r="U28" i="20"/>
  <c r="S28" i="20"/>
  <c r="R28" i="20"/>
  <c r="T28" i="20"/>
  <c r="A28" i="20"/>
  <c r="V27" i="20"/>
  <c r="R27" i="20"/>
  <c r="AD27" i="20"/>
  <c r="T27" i="20"/>
  <c r="A27" i="20"/>
  <c r="X26" i="20"/>
  <c r="U26" i="20"/>
  <c r="R26" i="20"/>
  <c r="AA26" i="20"/>
  <c r="A26" i="20"/>
  <c r="AD25" i="20"/>
  <c r="X25" i="20"/>
  <c r="W25" i="20"/>
  <c r="T25" i="20"/>
  <c r="S25" i="20"/>
  <c r="R25" i="20"/>
  <c r="U25" i="20"/>
  <c r="A25" i="20"/>
  <c r="W24" i="20"/>
  <c r="V24" i="20"/>
  <c r="U24" i="20"/>
  <c r="S24" i="20"/>
  <c r="R24" i="20"/>
  <c r="AA24" i="20"/>
  <c r="T24" i="20"/>
  <c r="A24" i="20"/>
  <c r="Z23" i="20"/>
  <c r="Y23" i="20"/>
  <c r="V23" i="20"/>
  <c r="T23" i="20"/>
  <c r="R23" i="20"/>
  <c r="A23" i="20"/>
  <c r="R22" i="20"/>
  <c r="A22" i="20"/>
  <c r="W21" i="20"/>
  <c r="T21" i="20"/>
  <c r="S21" i="20"/>
  <c r="R21" i="20"/>
  <c r="U21" i="20"/>
  <c r="A21" i="20"/>
  <c r="AA20" i="20"/>
  <c r="Z20" i="20"/>
  <c r="W20" i="20"/>
  <c r="V20" i="20"/>
  <c r="U20" i="20"/>
  <c r="S20" i="20"/>
  <c r="R20" i="20"/>
  <c r="T20" i="20"/>
  <c r="A20" i="20"/>
  <c r="AD19" i="20"/>
  <c r="V19" i="20"/>
  <c r="R19" i="20"/>
  <c r="T19" i="20"/>
  <c r="A19" i="20"/>
  <c r="X18" i="20"/>
  <c r="U18" i="20"/>
  <c r="R18" i="20"/>
  <c r="AA18" i="20"/>
  <c r="A18" i="20"/>
  <c r="AD17" i="20"/>
  <c r="X17" i="20"/>
  <c r="W17" i="20"/>
  <c r="T17" i="20"/>
  <c r="S17" i="20"/>
  <c r="R17" i="20"/>
  <c r="U17" i="20"/>
  <c r="A17" i="20"/>
  <c r="W16" i="20"/>
  <c r="V16" i="20"/>
  <c r="U16" i="20"/>
  <c r="S16" i="20"/>
  <c r="R16" i="20"/>
  <c r="AA16" i="20"/>
  <c r="T16" i="20"/>
  <c r="A16" i="20"/>
  <c r="Z15" i="20"/>
  <c r="Y15" i="20"/>
  <c r="V15" i="20"/>
  <c r="T15" i="20"/>
  <c r="R15" i="20"/>
  <c r="A15" i="20"/>
  <c r="R14" i="20"/>
  <c r="T14" i="20"/>
  <c r="A14" i="20"/>
  <c r="W13" i="20"/>
  <c r="T13" i="20"/>
  <c r="S13" i="20"/>
  <c r="R13" i="20"/>
  <c r="U13" i="20"/>
  <c r="A13" i="20"/>
  <c r="AB13" i="20" s="1"/>
  <c r="AA12" i="20"/>
  <c r="Z12" i="20"/>
  <c r="W12" i="20"/>
  <c r="V12" i="20"/>
  <c r="U12" i="20"/>
  <c r="S12" i="20"/>
  <c r="R12" i="20"/>
  <c r="T12" i="20"/>
  <c r="A12" i="20"/>
  <c r="V11" i="20"/>
  <c r="R11" i="20"/>
  <c r="AD11" i="20"/>
  <c r="T11" i="20"/>
  <c r="A11" i="20"/>
  <c r="Q366" i="19"/>
  <c r="P366" i="19"/>
  <c r="O366" i="19"/>
  <c r="N366" i="19"/>
  <c r="M366" i="19"/>
  <c r="L366" i="19"/>
  <c r="K366" i="19"/>
  <c r="J366" i="19"/>
  <c r="I366" i="19"/>
  <c r="H366" i="19"/>
  <c r="G366" i="19"/>
  <c r="F366" i="19"/>
  <c r="AA364" i="19"/>
  <c r="Z364" i="19"/>
  <c r="V364" i="19"/>
  <c r="T364" i="19"/>
  <c r="R364" i="19"/>
  <c r="A364" i="19"/>
  <c r="V363" i="19"/>
  <c r="T363" i="19"/>
  <c r="R363" i="19"/>
  <c r="A363" i="19"/>
  <c r="W362" i="19"/>
  <c r="R362" i="19"/>
  <c r="A362" i="19"/>
  <c r="AA362" i="19" s="1"/>
  <c r="Q357" i="19"/>
  <c r="P357" i="19"/>
  <c r="O357" i="19"/>
  <c r="N357" i="19"/>
  <c r="M357" i="19"/>
  <c r="L357" i="19"/>
  <c r="K357" i="19"/>
  <c r="J357" i="19"/>
  <c r="I357" i="19"/>
  <c r="H357" i="19"/>
  <c r="G357" i="19"/>
  <c r="F357" i="19"/>
  <c r="R356" i="19"/>
  <c r="R355" i="19"/>
  <c r="R354" i="19"/>
  <c r="R353" i="19"/>
  <c r="R352" i="19"/>
  <c r="R351" i="19"/>
  <c r="R350" i="19"/>
  <c r="R349" i="19"/>
  <c r="R348" i="19"/>
  <c r="R347" i="19"/>
  <c r="R345" i="19"/>
  <c r="AE340" i="19"/>
  <c r="AD340" i="19"/>
  <c r="AC340" i="19"/>
  <c r="AB340" i="19"/>
  <c r="AA340" i="19"/>
  <c r="Z340" i="19"/>
  <c r="Y340" i="19"/>
  <c r="X340" i="19"/>
  <c r="W340" i="19"/>
  <c r="V340" i="19"/>
  <c r="U340" i="19"/>
  <c r="T340" i="19"/>
  <c r="S340" i="19"/>
  <c r="Q337" i="19"/>
  <c r="Q340" i="19" s="1"/>
  <c r="P337" i="19"/>
  <c r="P340" i="19" s="1"/>
  <c r="O337" i="19"/>
  <c r="O340" i="19" s="1"/>
  <c r="N337" i="19"/>
  <c r="N340" i="19" s="1"/>
  <c r="M337" i="19"/>
  <c r="M340" i="19" s="1"/>
  <c r="L337" i="19"/>
  <c r="L340" i="19" s="1"/>
  <c r="K337" i="19"/>
  <c r="K340" i="19" s="1"/>
  <c r="J337" i="19"/>
  <c r="J340" i="19" s="1"/>
  <c r="I337" i="19"/>
  <c r="I340" i="19" s="1"/>
  <c r="H337" i="19"/>
  <c r="H340" i="19" s="1"/>
  <c r="G337" i="19"/>
  <c r="G340" i="19" s="1"/>
  <c r="F337" i="19"/>
  <c r="R336" i="19"/>
  <c r="AD335" i="19"/>
  <c r="AC335" i="19"/>
  <c r="Z335" i="19"/>
  <c r="Y335" i="19"/>
  <c r="X335" i="19"/>
  <c r="T335" i="19"/>
  <c r="R335" i="19"/>
  <c r="AA335" i="19"/>
  <c r="A335" i="19"/>
  <c r="AA334" i="19"/>
  <c r="Z334" i="19"/>
  <c r="W334" i="19"/>
  <c r="V334" i="19"/>
  <c r="U334" i="19"/>
  <c r="S334" i="19"/>
  <c r="R334" i="19"/>
  <c r="T334" i="19"/>
  <c r="A334" i="19"/>
  <c r="R333" i="19"/>
  <c r="AD333" i="19"/>
  <c r="U333" i="19"/>
  <c r="A333" i="19"/>
  <c r="W332" i="19"/>
  <c r="V332" i="19"/>
  <c r="U332" i="19"/>
  <c r="S332" i="19"/>
  <c r="R332" i="19"/>
  <c r="AC332" i="19"/>
  <c r="T332" i="19"/>
  <c r="A332" i="19"/>
  <c r="AD331" i="19"/>
  <c r="AA331" i="19"/>
  <c r="R331" i="19"/>
  <c r="V331" i="19"/>
  <c r="A331" i="19"/>
  <c r="AB330" i="19"/>
  <c r="AA330" i="19"/>
  <c r="Y330" i="19"/>
  <c r="T330" i="19"/>
  <c r="R330" i="19"/>
  <c r="W330" i="19"/>
  <c r="A330" i="19"/>
  <c r="V329" i="19"/>
  <c r="T329" i="19"/>
  <c r="R329" i="19"/>
  <c r="A329" i="19"/>
  <c r="W328" i="19"/>
  <c r="V328" i="19"/>
  <c r="U328" i="19"/>
  <c r="S328" i="19"/>
  <c r="R328" i="19"/>
  <c r="T328" i="19"/>
  <c r="A328" i="19"/>
  <c r="Y328" i="19" s="1"/>
  <c r="Q321" i="19"/>
  <c r="Q324" i="19" s="1"/>
  <c r="P321" i="19"/>
  <c r="P324" i="19" s="1"/>
  <c r="O321" i="19"/>
  <c r="O324" i="19" s="1"/>
  <c r="N321" i="19"/>
  <c r="N324" i="19" s="1"/>
  <c r="M321" i="19"/>
  <c r="M324" i="19" s="1"/>
  <c r="L321" i="19"/>
  <c r="L324" i="19" s="1"/>
  <c r="K321" i="19"/>
  <c r="K324" i="19" s="1"/>
  <c r="J321" i="19"/>
  <c r="J324" i="19" s="1"/>
  <c r="I321" i="19"/>
  <c r="I324" i="19" s="1"/>
  <c r="H321" i="19"/>
  <c r="H324" i="19" s="1"/>
  <c r="G321" i="19"/>
  <c r="G324" i="19" s="1"/>
  <c r="F321" i="19"/>
  <c r="F324" i="19" s="1"/>
  <c r="AA319" i="19"/>
  <c r="Y319" i="19"/>
  <c r="S319" i="19"/>
  <c r="R319" i="19"/>
  <c r="X319" i="19"/>
  <c r="AA318" i="19"/>
  <c r="Y318" i="19"/>
  <c r="W318" i="19"/>
  <c r="V318" i="19"/>
  <c r="U318" i="19"/>
  <c r="S318" i="19"/>
  <c r="R318" i="19"/>
  <c r="AD318" i="19"/>
  <c r="T318" i="19"/>
  <c r="AB317" i="19"/>
  <c r="AA317" i="19"/>
  <c r="T317" i="19"/>
  <c r="R317" i="19"/>
  <c r="Q310" i="19"/>
  <c r="P310" i="19"/>
  <c r="O310" i="19"/>
  <c r="N310" i="19"/>
  <c r="M310" i="19"/>
  <c r="L310" i="19"/>
  <c r="K310" i="19"/>
  <c r="J310" i="19"/>
  <c r="I310" i="19"/>
  <c r="H310" i="19"/>
  <c r="G310" i="19"/>
  <c r="F310" i="19"/>
  <c r="AD308" i="19"/>
  <c r="AB308" i="19"/>
  <c r="AA308" i="19"/>
  <c r="X308" i="19"/>
  <c r="W308" i="19"/>
  <c r="R308" i="19"/>
  <c r="V308" i="19"/>
  <c r="A308" i="19"/>
  <c r="T307" i="19"/>
  <c r="S307" i="19"/>
  <c r="R307" i="19"/>
  <c r="A307" i="19"/>
  <c r="AB307" i="19" s="1"/>
  <c r="AD306" i="19"/>
  <c r="V306" i="19"/>
  <c r="T306" i="19"/>
  <c r="R306" i="19"/>
  <c r="A306" i="19"/>
  <c r="AD305" i="19"/>
  <c r="W305" i="19"/>
  <c r="V305" i="19"/>
  <c r="U305" i="19"/>
  <c r="S305" i="19"/>
  <c r="R305" i="19"/>
  <c r="AC305" i="19"/>
  <c r="T305" i="19"/>
  <c r="A305" i="19"/>
  <c r="AD304" i="19"/>
  <c r="Z304" i="19"/>
  <c r="X304" i="19"/>
  <c r="R304" i="19"/>
  <c r="A304" i="19"/>
  <c r="R303" i="19"/>
  <c r="Q301" i="19"/>
  <c r="P301" i="19"/>
  <c r="O301" i="19"/>
  <c r="N301" i="19"/>
  <c r="N313" i="19" s="1"/>
  <c r="M301" i="19"/>
  <c r="M313" i="19" s="1"/>
  <c r="L301" i="19"/>
  <c r="K301" i="19"/>
  <c r="K313" i="19" s="1"/>
  <c r="J301" i="19"/>
  <c r="J313" i="19" s="1"/>
  <c r="I301" i="19"/>
  <c r="H301" i="19"/>
  <c r="G301" i="19"/>
  <c r="F301" i="19"/>
  <c r="F313" i="19" s="1"/>
  <c r="Z299" i="19"/>
  <c r="X299" i="19"/>
  <c r="W299" i="19"/>
  <c r="T299" i="19"/>
  <c r="S299" i="19"/>
  <c r="R299" i="19"/>
  <c r="U299" i="19"/>
  <c r="A299" i="19"/>
  <c r="AD299" i="19" s="1"/>
  <c r="AA298" i="19"/>
  <c r="Z298" i="19"/>
  <c r="W298" i="19"/>
  <c r="V298" i="19"/>
  <c r="U298" i="19"/>
  <c r="S298" i="19"/>
  <c r="R298" i="19"/>
  <c r="T298" i="19"/>
  <c r="A298" i="19"/>
  <c r="V297" i="19"/>
  <c r="T297" i="19"/>
  <c r="R297" i="19"/>
  <c r="A297" i="19"/>
  <c r="AC296" i="19"/>
  <c r="T296" i="19"/>
  <c r="R296" i="19"/>
  <c r="AA296" i="19"/>
  <c r="A296" i="19"/>
  <c r="AB295" i="19"/>
  <c r="X295" i="19"/>
  <c r="W295" i="19"/>
  <c r="T295" i="19"/>
  <c r="S295" i="19"/>
  <c r="R295" i="19"/>
  <c r="U295" i="19"/>
  <c r="A295" i="19"/>
  <c r="W294" i="19"/>
  <c r="V294" i="19"/>
  <c r="U294" i="19"/>
  <c r="S294" i="19"/>
  <c r="R294" i="19"/>
  <c r="AC294" i="19"/>
  <c r="T294" i="19"/>
  <c r="A294" i="19"/>
  <c r="AD293" i="19"/>
  <c r="V293" i="19"/>
  <c r="T293" i="19"/>
  <c r="R293" i="19"/>
  <c r="Z293" i="19"/>
  <c r="A293" i="19"/>
  <c r="AA292" i="19"/>
  <c r="Y292" i="19"/>
  <c r="T292" i="19"/>
  <c r="S292" i="19"/>
  <c r="R292" i="19"/>
  <c r="A292" i="19"/>
  <c r="W291" i="19"/>
  <c r="T291" i="19"/>
  <c r="S291" i="19"/>
  <c r="R291" i="19"/>
  <c r="U291" i="19"/>
  <c r="A291" i="19"/>
  <c r="Z291" i="19" s="1"/>
  <c r="AA290" i="19"/>
  <c r="Z290" i="19"/>
  <c r="W290" i="19"/>
  <c r="V290" i="19"/>
  <c r="U290" i="19"/>
  <c r="S290" i="19"/>
  <c r="R290" i="19"/>
  <c r="T290" i="19"/>
  <c r="A290" i="19"/>
  <c r="AD289" i="19"/>
  <c r="AB289" i="19"/>
  <c r="Z289" i="19"/>
  <c r="T289" i="19"/>
  <c r="R289" i="19"/>
  <c r="V289" i="19"/>
  <c r="A289" i="19"/>
  <c r="R288" i="19"/>
  <c r="AC288" i="19"/>
  <c r="T288" i="19"/>
  <c r="A288" i="19"/>
  <c r="W287" i="19"/>
  <c r="T287" i="19"/>
  <c r="S287" i="19"/>
  <c r="R287" i="19"/>
  <c r="U287" i="19"/>
  <c r="A287" i="19"/>
  <c r="AB287" i="19" s="1"/>
  <c r="W286" i="19"/>
  <c r="V286" i="19"/>
  <c r="U286" i="19"/>
  <c r="S286" i="19"/>
  <c r="R286" i="19"/>
  <c r="AC286" i="19"/>
  <c r="T286" i="19"/>
  <c r="A286" i="19"/>
  <c r="V285" i="19"/>
  <c r="T285" i="19"/>
  <c r="R285" i="19"/>
  <c r="A285" i="19"/>
  <c r="T284" i="19"/>
  <c r="S284" i="19"/>
  <c r="R284" i="19"/>
  <c r="A284" i="19"/>
  <c r="AA284" i="19" s="1"/>
  <c r="Z283" i="19"/>
  <c r="X283" i="19"/>
  <c r="W283" i="19"/>
  <c r="T283" i="19"/>
  <c r="S283" i="19"/>
  <c r="R283" i="19"/>
  <c r="U283" i="19"/>
  <c r="A283" i="19"/>
  <c r="AA282" i="19"/>
  <c r="Z282" i="19"/>
  <c r="W282" i="19"/>
  <c r="V282" i="19"/>
  <c r="U282" i="19"/>
  <c r="S282" i="19"/>
  <c r="R282" i="19"/>
  <c r="T282" i="19"/>
  <c r="A282" i="19"/>
  <c r="AD281" i="19"/>
  <c r="AB281" i="19"/>
  <c r="R281" i="19"/>
  <c r="Z281" i="19"/>
  <c r="T281" i="19"/>
  <c r="A281" i="19"/>
  <c r="AA280" i="19"/>
  <c r="T280" i="19"/>
  <c r="R280" i="19"/>
  <c r="A280" i="19"/>
  <c r="W279" i="19"/>
  <c r="T279" i="19"/>
  <c r="S279" i="19"/>
  <c r="R279" i="19"/>
  <c r="U279" i="19"/>
  <c r="A279" i="19"/>
  <c r="AB279" i="19" s="1"/>
  <c r="AC278" i="19"/>
  <c r="AA278" i="19"/>
  <c r="W278" i="19"/>
  <c r="V278" i="19"/>
  <c r="U278" i="19"/>
  <c r="S278" i="19"/>
  <c r="R278" i="19"/>
  <c r="T278" i="19"/>
  <c r="A278" i="19"/>
  <c r="Z277" i="19"/>
  <c r="V277" i="19"/>
  <c r="T277" i="19"/>
  <c r="R277" i="19"/>
  <c r="A277" i="19"/>
  <c r="X276" i="19"/>
  <c r="R276" i="19"/>
  <c r="T276" i="19"/>
  <c r="A276" i="19"/>
  <c r="AA276" i="19" s="1"/>
  <c r="Z275" i="19"/>
  <c r="X275" i="19"/>
  <c r="W275" i="19"/>
  <c r="T275" i="19"/>
  <c r="S275" i="19"/>
  <c r="R275" i="19"/>
  <c r="U275" i="19"/>
  <c r="A275" i="19"/>
  <c r="AA274" i="19"/>
  <c r="Z274" i="19"/>
  <c r="W274" i="19"/>
  <c r="V274" i="19"/>
  <c r="U274" i="19"/>
  <c r="S274" i="19"/>
  <c r="R274" i="19"/>
  <c r="T274" i="19"/>
  <c r="A274" i="19"/>
  <c r="V273" i="19"/>
  <c r="R273" i="19"/>
  <c r="AD273" i="19"/>
  <c r="T273" i="19"/>
  <c r="A273" i="19"/>
  <c r="AC272" i="19"/>
  <c r="AA272" i="19"/>
  <c r="T272" i="19"/>
  <c r="R272" i="19"/>
  <c r="A272" i="19"/>
  <c r="AB271" i="19"/>
  <c r="X271" i="19"/>
  <c r="W271" i="19"/>
  <c r="T271" i="19"/>
  <c r="S271" i="19"/>
  <c r="R271" i="19"/>
  <c r="U271" i="19"/>
  <c r="A271" i="19"/>
  <c r="AC270" i="19"/>
  <c r="AA270" i="19"/>
  <c r="W270" i="19"/>
  <c r="V270" i="19"/>
  <c r="U270" i="19"/>
  <c r="S270" i="19"/>
  <c r="R270" i="19"/>
  <c r="T270" i="19"/>
  <c r="A270" i="19"/>
  <c r="AD269" i="19"/>
  <c r="Z269" i="19"/>
  <c r="V269" i="19"/>
  <c r="T269" i="19"/>
  <c r="R269" i="19"/>
  <c r="A269" i="19"/>
  <c r="AA268" i="19"/>
  <c r="Y268" i="19"/>
  <c r="X268" i="19"/>
  <c r="R268" i="19"/>
  <c r="T268" i="19"/>
  <c r="A268" i="19"/>
  <c r="W267" i="19"/>
  <c r="T267" i="19"/>
  <c r="S267" i="19"/>
  <c r="R267" i="19"/>
  <c r="U267" i="19"/>
  <c r="A267" i="19"/>
  <c r="Z267" i="19" s="1"/>
  <c r="AA266" i="19"/>
  <c r="Z266" i="19"/>
  <c r="W266" i="19"/>
  <c r="V266" i="19"/>
  <c r="U266" i="19"/>
  <c r="S266" i="19"/>
  <c r="R266" i="19"/>
  <c r="T266" i="19"/>
  <c r="A266" i="19"/>
  <c r="Z265" i="19"/>
  <c r="V265" i="19"/>
  <c r="T265" i="19"/>
  <c r="R265" i="19"/>
  <c r="AD265" i="19"/>
  <c r="A265" i="19"/>
  <c r="AC264" i="19"/>
  <c r="R264" i="19"/>
  <c r="AA264" i="19"/>
  <c r="T264" i="19"/>
  <c r="A264" i="19"/>
  <c r="AB263" i="19"/>
  <c r="X263" i="19"/>
  <c r="W263" i="19"/>
  <c r="T263" i="19"/>
  <c r="S263" i="19"/>
  <c r="R263" i="19"/>
  <c r="U263" i="19"/>
  <c r="A263" i="19"/>
  <c r="W262" i="19"/>
  <c r="V262" i="19"/>
  <c r="U262" i="19"/>
  <c r="S262" i="19"/>
  <c r="R262" i="19"/>
  <c r="AC262" i="19"/>
  <c r="T262" i="19"/>
  <c r="A262" i="19"/>
  <c r="AD261" i="19"/>
  <c r="V261" i="19"/>
  <c r="T261" i="19"/>
  <c r="R261" i="19"/>
  <c r="Z261" i="19"/>
  <c r="A261" i="19"/>
  <c r="AA260" i="19"/>
  <c r="Y260" i="19"/>
  <c r="T260" i="19"/>
  <c r="S260" i="19"/>
  <c r="R260" i="19"/>
  <c r="A260" i="19"/>
  <c r="W259" i="19"/>
  <c r="T259" i="19"/>
  <c r="S259" i="19"/>
  <c r="R259" i="19"/>
  <c r="U259" i="19"/>
  <c r="A259" i="19"/>
  <c r="Z259" i="19" s="1"/>
  <c r="AA258" i="19"/>
  <c r="Z258" i="19"/>
  <c r="W258" i="19"/>
  <c r="V258" i="19"/>
  <c r="U258" i="19"/>
  <c r="S258" i="19"/>
  <c r="R258" i="19"/>
  <c r="T258" i="19"/>
  <c r="A258" i="19"/>
  <c r="AD257" i="19"/>
  <c r="AB257" i="19"/>
  <c r="Z257" i="19"/>
  <c r="T257" i="19"/>
  <c r="R257" i="19"/>
  <c r="A257" i="19"/>
  <c r="R256" i="19"/>
  <c r="X256" i="19"/>
  <c r="T256" i="19"/>
  <c r="A256" i="19"/>
  <c r="W255" i="19"/>
  <c r="T255" i="19"/>
  <c r="S255" i="19"/>
  <c r="R255" i="19"/>
  <c r="U255" i="19"/>
  <c r="A255" i="19"/>
  <c r="AD255" i="19" s="1"/>
  <c r="W254" i="19"/>
  <c r="V254" i="19"/>
  <c r="U254" i="19"/>
  <c r="S254" i="19"/>
  <c r="R254" i="19"/>
  <c r="AC254" i="19"/>
  <c r="T254" i="19"/>
  <c r="A254" i="19"/>
  <c r="V253" i="19"/>
  <c r="T253" i="19"/>
  <c r="R253" i="19"/>
  <c r="A253" i="19"/>
  <c r="T252" i="19"/>
  <c r="S252" i="19"/>
  <c r="R252" i="19"/>
  <c r="A252" i="19"/>
  <c r="Z251" i="19"/>
  <c r="X251" i="19"/>
  <c r="W251" i="19"/>
  <c r="T251" i="19"/>
  <c r="S251" i="19"/>
  <c r="R251" i="19"/>
  <c r="U251" i="19"/>
  <c r="A251" i="19"/>
  <c r="AA250" i="19"/>
  <c r="Z250" i="19"/>
  <c r="W250" i="19"/>
  <c r="V250" i="19"/>
  <c r="U250" i="19"/>
  <c r="S250" i="19"/>
  <c r="R250" i="19"/>
  <c r="T250" i="19"/>
  <c r="A250" i="19"/>
  <c r="AD249" i="19"/>
  <c r="AB249" i="19"/>
  <c r="U249" i="19"/>
  <c r="R249" i="19"/>
  <c r="A249" i="19"/>
  <c r="AA248" i="19"/>
  <c r="T248" i="19"/>
  <c r="R248" i="19"/>
  <c r="A248" i="19"/>
  <c r="W247" i="19"/>
  <c r="T247" i="19"/>
  <c r="S247" i="19"/>
  <c r="R247" i="19"/>
  <c r="U247" i="19"/>
  <c r="A247" i="19"/>
  <c r="AB247" i="19" s="1"/>
  <c r="AC246" i="19"/>
  <c r="AA246" i="19"/>
  <c r="W246" i="19"/>
  <c r="V246" i="19"/>
  <c r="U246" i="19"/>
  <c r="S246" i="19"/>
  <c r="R246" i="19"/>
  <c r="T246" i="19"/>
  <c r="A246" i="19"/>
  <c r="V245" i="19"/>
  <c r="T245" i="19"/>
  <c r="R245" i="19"/>
  <c r="A245" i="19"/>
  <c r="R244" i="19"/>
  <c r="A244" i="19"/>
  <c r="Z243" i="19"/>
  <c r="X243" i="19"/>
  <c r="W243" i="19"/>
  <c r="T243" i="19"/>
  <c r="S243" i="19"/>
  <c r="R243" i="19"/>
  <c r="U243" i="19"/>
  <c r="A243" i="19"/>
  <c r="AA242" i="19"/>
  <c r="Z242" i="19"/>
  <c r="W242" i="19"/>
  <c r="V242" i="19"/>
  <c r="U242" i="19"/>
  <c r="S242" i="19"/>
  <c r="R242" i="19"/>
  <c r="T242" i="19"/>
  <c r="A242" i="19"/>
  <c r="U241" i="19"/>
  <c r="R241" i="19"/>
  <c r="A241" i="19"/>
  <c r="AC240" i="19"/>
  <c r="AA240" i="19"/>
  <c r="T240" i="19"/>
  <c r="R240" i="19"/>
  <c r="A240" i="19"/>
  <c r="AB239" i="19"/>
  <c r="X239" i="19"/>
  <c r="W239" i="19"/>
  <c r="T239" i="19"/>
  <c r="S239" i="19"/>
  <c r="R239" i="19"/>
  <c r="U239" i="19"/>
  <c r="A239" i="19"/>
  <c r="AC238" i="19"/>
  <c r="AA238" i="19"/>
  <c r="W238" i="19"/>
  <c r="V238" i="19"/>
  <c r="U238" i="19"/>
  <c r="S238" i="19"/>
  <c r="R238" i="19"/>
  <c r="T238" i="19"/>
  <c r="A238" i="19"/>
  <c r="AD237" i="19"/>
  <c r="Z237" i="19"/>
  <c r="V237" i="19"/>
  <c r="T237" i="19"/>
  <c r="R237" i="19"/>
  <c r="A237" i="19"/>
  <c r="AA236" i="19"/>
  <c r="Y236" i="19"/>
  <c r="X236" i="19"/>
  <c r="R236" i="19"/>
  <c r="A236" i="19"/>
  <c r="Z235" i="19"/>
  <c r="W235" i="19"/>
  <c r="T235" i="19"/>
  <c r="S235" i="19"/>
  <c r="R235" i="19"/>
  <c r="U235" i="19"/>
  <c r="A235" i="19"/>
  <c r="AB235" i="19" s="1"/>
  <c r="AA234" i="19"/>
  <c r="Z234" i="19"/>
  <c r="W234" i="19"/>
  <c r="V234" i="19"/>
  <c r="U234" i="19"/>
  <c r="S234" i="19"/>
  <c r="R234" i="19"/>
  <c r="T234" i="19"/>
  <c r="A234" i="19"/>
  <c r="AB233" i="19"/>
  <c r="Z233" i="19"/>
  <c r="R233" i="19"/>
  <c r="T233" i="19"/>
  <c r="A233" i="19"/>
  <c r="R232" i="19"/>
  <c r="T232" i="19"/>
  <c r="A232" i="19"/>
  <c r="W231" i="19"/>
  <c r="T231" i="19"/>
  <c r="S231" i="19"/>
  <c r="R231" i="19"/>
  <c r="U231" i="19"/>
  <c r="A231" i="19"/>
  <c r="AD231" i="19" s="1"/>
  <c r="W230" i="19"/>
  <c r="V230" i="19"/>
  <c r="U230" i="19"/>
  <c r="S230" i="19"/>
  <c r="R230" i="19"/>
  <c r="AC230" i="19"/>
  <c r="T230" i="19"/>
  <c r="A230" i="19"/>
  <c r="AD229" i="19"/>
  <c r="V229" i="19"/>
  <c r="T229" i="19"/>
  <c r="R229" i="19"/>
  <c r="A229" i="19"/>
  <c r="S228" i="19"/>
  <c r="R228" i="19"/>
  <c r="U228" i="19"/>
  <c r="A228" i="19"/>
  <c r="Y228" i="19" s="1"/>
  <c r="Z227" i="19"/>
  <c r="X227" i="19"/>
  <c r="W227" i="19"/>
  <c r="T227" i="19"/>
  <c r="S227" i="19"/>
  <c r="R227" i="19"/>
  <c r="U227" i="19"/>
  <c r="A227" i="19"/>
  <c r="AD227" i="19" s="1"/>
  <c r="AA226" i="19"/>
  <c r="Z226" i="19"/>
  <c r="W226" i="19"/>
  <c r="V226" i="19"/>
  <c r="U226" i="19"/>
  <c r="S226" i="19"/>
  <c r="R226" i="19"/>
  <c r="T226" i="19"/>
  <c r="A226" i="19"/>
  <c r="AB225" i="19"/>
  <c r="Z225" i="19"/>
  <c r="R225" i="19"/>
  <c r="T225" i="19"/>
  <c r="A225" i="19"/>
  <c r="R224" i="19"/>
  <c r="AC224" i="19"/>
  <c r="T224" i="19"/>
  <c r="A224" i="19"/>
  <c r="AB223" i="19"/>
  <c r="W223" i="19"/>
  <c r="T223" i="19"/>
  <c r="S223" i="19"/>
  <c r="R223" i="19"/>
  <c r="U223" i="19"/>
  <c r="A223" i="19"/>
  <c r="AD223" i="19" s="1"/>
  <c r="AA222" i="19"/>
  <c r="W222" i="19"/>
  <c r="V222" i="19"/>
  <c r="U222" i="19"/>
  <c r="S222" i="19"/>
  <c r="R222" i="19"/>
  <c r="AC222" i="19"/>
  <c r="T222" i="19"/>
  <c r="A222" i="19"/>
  <c r="AD221" i="19"/>
  <c r="V221" i="19"/>
  <c r="T221" i="19"/>
  <c r="R221" i="19"/>
  <c r="A221" i="19"/>
  <c r="Q212" i="19"/>
  <c r="P212" i="19"/>
  <c r="O212" i="19"/>
  <c r="N212" i="19"/>
  <c r="M212" i="19"/>
  <c r="L212" i="19"/>
  <c r="K212" i="19"/>
  <c r="J212" i="19"/>
  <c r="I212" i="19"/>
  <c r="H212" i="19"/>
  <c r="G212" i="19"/>
  <c r="F212" i="19"/>
  <c r="Z210" i="19"/>
  <c r="X210" i="19"/>
  <c r="T210" i="19"/>
  <c r="S210" i="19"/>
  <c r="R210" i="19"/>
  <c r="A210" i="19"/>
  <c r="W209" i="19"/>
  <c r="V209" i="19"/>
  <c r="U209" i="19"/>
  <c r="S209" i="19"/>
  <c r="R209" i="19"/>
  <c r="T209" i="19"/>
  <c r="A209" i="19"/>
  <c r="Y209" i="19" s="1"/>
  <c r="AC208" i="19"/>
  <c r="AB208" i="19"/>
  <c r="Z208" i="19"/>
  <c r="U208" i="19"/>
  <c r="R208" i="19"/>
  <c r="A208" i="19"/>
  <c r="AB207" i="19"/>
  <c r="AA207" i="19"/>
  <c r="R207" i="19"/>
  <c r="T207" i="19"/>
  <c r="A207" i="19"/>
  <c r="AA206" i="19"/>
  <c r="W206" i="19"/>
  <c r="U206" i="19"/>
  <c r="S206" i="19"/>
  <c r="R206" i="19"/>
  <c r="V206" i="19"/>
  <c r="A206" i="19"/>
  <c r="AB206" i="19" s="1"/>
  <c r="V205" i="19"/>
  <c r="T205" i="19"/>
  <c r="R205" i="19"/>
  <c r="A205" i="19"/>
  <c r="AB205" i="19" s="1"/>
  <c r="AA204" i="19"/>
  <c r="Z204" i="19"/>
  <c r="W204" i="19"/>
  <c r="R204" i="19"/>
  <c r="A204" i="19"/>
  <c r="AB203" i="19"/>
  <c r="AA203" i="19"/>
  <c r="V203" i="19"/>
  <c r="T203" i="19"/>
  <c r="R203" i="19"/>
  <c r="A203" i="19"/>
  <c r="Z202" i="19"/>
  <c r="X202" i="19"/>
  <c r="T202" i="19"/>
  <c r="S202" i="19"/>
  <c r="R202" i="19"/>
  <c r="U202" i="19"/>
  <c r="A202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AC197" i="19"/>
  <c r="Y197" i="19"/>
  <c r="X197" i="19"/>
  <c r="S197" i="19"/>
  <c r="R197" i="19"/>
  <c r="T197" i="19"/>
  <c r="A197" i="19"/>
  <c r="AD196" i="19"/>
  <c r="AB196" i="19"/>
  <c r="X196" i="19"/>
  <c r="W196" i="19"/>
  <c r="T196" i="19"/>
  <c r="S196" i="19"/>
  <c r="R196" i="19"/>
  <c r="U196" i="19"/>
  <c r="A196" i="19"/>
  <c r="W195" i="19"/>
  <c r="V195" i="19"/>
  <c r="U195" i="19"/>
  <c r="S195" i="19"/>
  <c r="R195" i="19"/>
  <c r="AA195" i="19"/>
  <c r="T195" i="19"/>
  <c r="A195" i="19"/>
  <c r="AD194" i="19"/>
  <c r="Z194" i="19"/>
  <c r="Y194" i="19"/>
  <c r="T194" i="19"/>
  <c r="R194" i="19"/>
  <c r="AA194" i="19"/>
  <c r="A194" i="19"/>
  <c r="AC193" i="19"/>
  <c r="Y193" i="19"/>
  <c r="X193" i="19"/>
  <c r="R193" i="19"/>
  <c r="T193" i="19"/>
  <c r="A193" i="19"/>
  <c r="AD192" i="19"/>
  <c r="AB192" i="19"/>
  <c r="X192" i="19"/>
  <c r="W192" i="19"/>
  <c r="T192" i="19"/>
  <c r="S192" i="19"/>
  <c r="R192" i="19"/>
  <c r="U192" i="19"/>
  <c r="A192" i="19"/>
  <c r="W191" i="19"/>
  <c r="V191" i="19"/>
  <c r="U191" i="19"/>
  <c r="S191" i="19"/>
  <c r="R191" i="19"/>
  <c r="AA191" i="19"/>
  <c r="T191" i="19"/>
  <c r="A191" i="19"/>
  <c r="AD190" i="19"/>
  <c r="Z190" i="19"/>
  <c r="Y190" i="19"/>
  <c r="T190" i="19"/>
  <c r="R190" i="19"/>
  <c r="AA190" i="19"/>
  <c r="A190" i="19"/>
  <c r="AC189" i="19"/>
  <c r="Y189" i="19"/>
  <c r="X189" i="19"/>
  <c r="R189" i="19"/>
  <c r="T189" i="19"/>
  <c r="A189" i="19"/>
  <c r="AA188" i="19"/>
  <c r="Z188" i="19"/>
  <c r="W188" i="19"/>
  <c r="V188" i="19"/>
  <c r="U188" i="19"/>
  <c r="S188" i="19"/>
  <c r="R188" i="19"/>
  <c r="T188" i="19"/>
  <c r="A188" i="19"/>
  <c r="W187" i="19"/>
  <c r="S187" i="19"/>
  <c r="R187" i="19"/>
  <c r="V187" i="19"/>
  <c r="A187" i="19"/>
  <c r="AC187" i="19" s="1"/>
  <c r="Y186" i="19"/>
  <c r="W186" i="19"/>
  <c r="V186" i="19"/>
  <c r="U186" i="19"/>
  <c r="S186" i="19"/>
  <c r="R186" i="19"/>
  <c r="T186" i="19"/>
  <c r="A186" i="19"/>
  <c r="AD186" i="19" s="1"/>
  <c r="AB185" i="19"/>
  <c r="AA185" i="19"/>
  <c r="W185" i="19"/>
  <c r="U185" i="19"/>
  <c r="S185" i="19"/>
  <c r="R185" i="19"/>
  <c r="V185" i="19"/>
  <c r="A185" i="19"/>
  <c r="Y184" i="19"/>
  <c r="W184" i="19"/>
  <c r="V184" i="19"/>
  <c r="U184" i="19"/>
  <c r="S184" i="19"/>
  <c r="R184" i="19"/>
  <c r="T184" i="19"/>
  <c r="A184" i="19"/>
  <c r="T183" i="19"/>
  <c r="R183" i="19"/>
  <c r="A183" i="19"/>
  <c r="AC182" i="19"/>
  <c r="AA182" i="19"/>
  <c r="W182" i="19"/>
  <c r="V182" i="19"/>
  <c r="U182" i="19"/>
  <c r="S182" i="19"/>
  <c r="R182" i="19"/>
  <c r="T182" i="19"/>
  <c r="A182" i="19"/>
  <c r="T181" i="19"/>
  <c r="R181" i="19"/>
  <c r="S181" i="19"/>
  <c r="A181" i="19"/>
  <c r="AC181" i="19" s="1"/>
  <c r="W180" i="19"/>
  <c r="V180" i="19"/>
  <c r="U180" i="19"/>
  <c r="S180" i="19"/>
  <c r="R180" i="19"/>
  <c r="AA180" i="19"/>
  <c r="T180" i="19"/>
  <c r="A180" i="19"/>
  <c r="AC179" i="19"/>
  <c r="W179" i="19"/>
  <c r="S179" i="19"/>
  <c r="R179" i="19"/>
  <c r="V179" i="19"/>
  <c r="A179" i="19"/>
  <c r="AB179" i="19" s="1"/>
  <c r="AD178" i="19"/>
  <c r="Y178" i="19"/>
  <c r="W178" i="19"/>
  <c r="V178" i="19"/>
  <c r="U178" i="19"/>
  <c r="S178" i="19"/>
  <c r="R178" i="19"/>
  <c r="T178" i="19"/>
  <c r="A178" i="19"/>
  <c r="W177" i="19"/>
  <c r="U177" i="19"/>
  <c r="S177" i="19"/>
  <c r="R177" i="19"/>
  <c r="V177" i="19"/>
  <c r="A177" i="19"/>
  <c r="AD176" i="19"/>
  <c r="Z176" i="19"/>
  <c r="X176" i="19"/>
  <c r="T176" i="19"/>
  <c r="S176" i="19"/>
  <c r="R176" i="19"/>
  <c r="U176" i="19"/>
  <c r="A176" i="19"/>
  <c r="AC175" i="19"/>
  <c r="AA175" i="19"/>
  <c r="W175" i="19"/>
  <c r="V175" i="19"/>
  <c r="U175" i="19"/>
  <c r="S175" i="19"/>
  <c r="R175" i="19"/>
  <c r="T175" i="19"/>
  <c r="A175" i="19"/>
  <c r="AD174" i="19"/>
  <c r="Z174" i="19"/>
  <c r="Y174" i="19"/>
  <c r="T174" i="19"/>
  <c r="R174" i="19"/>
  <c r="AA174" i="19"/>
  <c r="A174" i="19"/>
  <c r="AC173" i="19"/>
  <c r="Y173" i="19"/>
  <c r="X173" i="19"/>
  <c r="R173" i="19"/>
  <c r="T173" i="19"/>
  <c r="A173" i="19"/>
  <c r="Z172" i="19"/>
  <c r="W172" i="19"/>
  <c r="V172" i="19"/>
  <c r="S172" i="19"/>
  <c r="R172" i="19"/>
  <c r="T172" i="19"/>
  <c r="A172" i="19"/>
  <c r="AA172" i="19" s="1"/>
  <c r="AB171" i="19"/>
  <c r="T171" i="19"/>
  <c r="R171" i="19"/>
  <c r="AC171" i="19"/>
  <c r="A171" i="19"/>
  <c r="W170" i="19"/>
  <c r="V170" i="19"/>
  <c r="S170" i="19"/>
  <c r="R170" i="19"/>
  <c r="T170" i="19"/>
  <c r="A170" i="19"/>
  <c r="AA170" i="19" s="1"/>
  <c r="T169" i="19"/>
  <c r="R169" i="19"/>
  <c r="AC169" i="19"/>
  <c r="A169" i="19"/>
  <c r="Z168" i="19"/>
  <c r="W168" i="19"/>
  <c r="V168" i="19"/>
  <c r="S168" i="19"/>
  <c r="R168" i="19"/>
  <c r="T168" i="19"/>
  <c r="A168" i="19"/>
  <c r="AA168" i="19" s="1"/>
  <c r="AD167" i="19"/>
  <c r="Z167" i="19"/>
  <c r="Y167" i="19"/>
  <c r="W167" i="19"/>
  <c r="V167" i="19"/>
  <c r="U167" i="19"/>
  <c r="S167" i="19"/>
  <c r="R167" i="19"/>
  <c r="T167" i="19"/>
  <c r="A167" i="19"/>
  <c r="AC166" i="19"/>
  <c r="AB166" i="19"/>
  <c r="Y166" i="19"/>
  <c r="R166" i="19"/>
  <c r="T166" i="19"/>
  <c r="A166" i="19"/>
  <c r="X165" i="19"/>
  <c r="T165" i="19"/>
  <c r="S165" i="19"/>
  <c r="R165" i="19"/>
  <c r="A165" i="19"/>
  <c r="AA165" i="19" s="1"/>
  <c r="W164" i="19"/>
  <c r="V164" i="19"/>
  <c r="S164" i="19"/>
  <c r="R164" i="19"/>
  <c r="T164" i="19"/>
  <c r="A164" i="19"/>
  <c r="AA164" i="19" s="1"/>
  <c r="AD163" i="19"/>
  <c r="Z163" i="19"/>
  <c r="W163" i="19"/>
  <c r="V163" i="19"/>
  <c r="U163" i="19"/>
  <c r="S163" i="19"/>
  <c r="R163" i="19"/>
  <c r="Y163" i="19"/>
  <c r="T163" i="19"/>
  <c r="A163" i="19"/>
  <c r="AC162" i="19"/>
  <c r="Y162" i="19"/>
  <c r="R162" i="19"/>
  <c r="AB162" i="19"/>
  <c r="T162" i="19"/>
  <c r="A162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R157" i="19"/>
  <c r="W156" i="19"/>
  <c r="V156" i="19"/>
  <c r="S156" i="19"/>
  <c r="R156" i="19"/>
  <c r="U156" i="19"/>
  <c r="A156" i="19"/>
  <c r="AA156" i="19" s="1"/>
  <c r="Z155" i="19"/>
  <c r="Y155" i="19"/>
  <c r="W155" i="19"/>
  <c r="V155" i="19"/>
  <c r="U155" i="19"/>
  <c r="S155" i="19"/>
  <c r="R155" i="19"/>
  <c r="AD155" i="19"/>
  <c r="T155" i="19"/>
  <c r="A155" i="19"/>
  <c r="R154" i="19"/>
  <c r="AC154" i="19"/>
  <c r="T154" i="19"/>
  <c r="A154" i="19"/>
  <c r="R153" i="19"/>
  <c r="A153" i="19"/>
  <c r="AB153" i="19" s="1"/>
  <c r="AA152" i="19"/>
  <c r="Z152" i="19"/>
  <c r="W152" i="19"/>
  <c r="V152" i="19"/>
  <c r="S152" i="19"/>
  <c r="R152" i="19"/>
  <c r="U152" i="19"/>
  <c r="A152" i="19"/>
  <c r="AD151" i="19"/>
  <c r="Y151" i="19"/>
  <c r="W151" i="19"/>
  <c r="V151" i="19"/>
  <c r="U151" i="19"/>
  <c r="S151" i="19"/>
  <c r="R151" i="19"/>
  <c r="Z151" i="19"/>
  <c r="T151" i="19"/>
  <c r="A151" i="19"/>
  <c r="AB150" i="19"/>
  <c r="Y150" i="19"/>
  <c r="T150" i="19"/>
  <c r="R150" i="19"/>
  <c r="AC150" i="19"/>
  <c r="A150" i="19"/>
  <c r="AA149" i="19"/>
  <c r="X149" i="19"/>
  <c r="S149" i="19"/>
  <c r="R149" i="19"/>
  <c r="T149" i="19"/>
  <c r="A149" i="19"/>
  <c r="AD148" i="19"/>
  <c r="W148" i="19"/>
  <c r="V148" i="19"/>
  <c r="S148" i="19"/>
  <c r="R148" i="19"/>
  <c r="T148" i="19"/>
  <c r="A148" i="19"/>
  <c r="W147" i="19"/>
  <c r="V147" i="19"/>
  <c r="U147" i="19"/>
  <c r="S147" i="19"/>
  <c r="R147" i="19"/>
  <c r="Z147" i="19"/>
  <c r="T147" i="19"/>
  <c r="A147" i="19"/>
  <c r="AC146" i="19"/>
  <c r="R146" i="19"/>
  <c r="T146" i="19"/>
  <c r="A146" i="19"/>
  <c r="AB145" i="19"/>
  <c r="AA145" i="19"/>
  <c r="R145" i="19"/>
  <c r="T145" i="19"/>
  <c r="A145" i="19"/>
  <c r="AA144" i="19"/>
  <c r="Z144" i="19"/>
  <c r="W144" i="19"/>
  <c r="V144" i="19"/>
  <c r="S144" i="19"/>
  <c r="R144" i="19"/>
  <c r="T144" i="19"/>
  <c r="A144" i="19"/>
  <c r="W143" i="19"/>
  <c r="V143" i="19"/>
  <c r="U143" i="19"/>
  <c r="S143" i="19"/>
  <c r="R143" i="19"/>
  <c r="AC143" i="19"/>
  <c r="T143" i="19"/>
  <c r="A143" i="19"/>
  <c r="X142" i="19"/>
  <c r="T142" i="19"/>
  <c r="R142" i="19"/>
  <c r="A142" i="19"/>
  <c r="AA141" i="19"/>
  <c r="X141" i="19"/>
  <c r="R141" i="19"/>
  <c r="W141" i="19"/>
  <c r="A141" i="19"/>
  <c r="AA140" i="19"/>
  <c r="W140" i="19"/>
  <c r="V140" i="19"/>
  <c r="S140" i="19"/>
  <c r="R140" i="19"/>
  <c r="U140" i="19"/>
  <c r="A140" i="19"/>
  <c r="W139" i="19"/>
  <c r="V139" i="19"/>
  <c r="U139" i="19"/>
  <c r="S139" i="19"/>
  <c r="R139" i="19"/>
  <c r="Z139" i="19"/>
  <c r="T139" i="19"/>
  <c r="A139" i="19"/>
  <c r="AC138" i="19"/>
  <c r="T138" i="19"/>
  <c r="R138" i="19"/>
  <c r="A138" i="19"/>
  <c r="AB137" i="19"/>
  <c r="AA137" i="19"/>
  <c r="R137" i="19"/>
  <c r="T137" i="19"/>
  <c r="A137" i="19"/>
  <c r="AA136" i="19"/>
  <c r="Z136" i="19"/>
  <c r="W136" i="19"/>
  <c r="V136" i="19"/>
  <c r="S136" i="19"/>
  <c r="R136" i="19"/>
  <c r="U136" i="19"/>
  <c r="A136" i="19"/>
  <c r="W135" i="19"/>
  <c r="V135" i="19"/>
  <c r="U135" i="19"/>
  <c r="S135" i="19"/>
  <c r="R135" i="19"/>
  <c r="AC135" i="19"/>
  <c r="T135" i="19"/>
  <c r="A135" i="19"/>
  <c r="T134" i="19"/>
  <c r="R134" i="19"/>
  <c r="A134" i="19"/>
  <c r="AA133" i="19"/>
  <c r="X133" i="19"/>
  <c r="R133" i="19"/>
  <c r="W133" i="19"/>
  <c r="A133" i="19"/>
  <c r="AA132" i="19"/>
  <c r="W132" i="19"/>
  <c r="V132" i="19"/>
  <c r="S132" i="19"/>
  <c r="R132" i="19"/>
  <c r="T132" i="19"/>
  <c r="A132" i="19"/>
  <c r="W131" i="19"/>
  <c r="V131" i="19"/>
  <c r="U131" i="19"/>
  <c r="S131" i="19"/>
  <c r="R131" i="19"/>
  <c r="Z131" i="19"/>
  <c r="T131" i="19"/>
  <c r="A131" i="19"/>
  <c r="AC130" i="19"/>
  <c r="T130" i="19"/>
  <c r="R130" i="19"/>
  <c r="A130" i="19"/>
  <c r="AB129" i="19"/>
  <c r="R129" i="19"/>
  <c r="T129" i="19"/>
  <c r="A129" i="19"/>
  <c r="AA128" i="19"/>
  <c r="Z128" i="19"/>
  <c r="W128" i="19"/>
  <c r="V128" i="19"/>
  <c r="S128" i="19"/>
  <c r="R128" i="19"/>
  <c r="U128" i="19"/>
  <c r="A128" i="19"/>
  <c r="W127" i="19"/>
  <c r="V127" i="19"/>
  <c r="U127" i="19"/>
  <c r="S127" i="19"/>
  <c r="R127" i="19"/>
  <c r="AC127" i="19"/>
  <c r="T127" i="19"/>
  <c r="A127" i="19"/>
  <c r="T126" i="19"/>
  <c r="R126" i="19"/>
  <c r="A126" i="19"/>
  <c r="AA125" i="19"/>
  <c r="X125" i="19"/>
  <c r="R125" i="19"/>
  <c r="W125" i="19"/>
  <c r="A125" i="19"/>
  <c r="AA124" i="19"/>
  <c r="W124" i="19"/>
  <c r="V124" i="19"/>
  <c r="S124" i="19"/>
  <c r="R124" i="19"/>
  <c r="U124" i="19"/>
  <c r="A124" i="19"/>
  <c r="W123" i="19"/>
  <c r="V123" i="19"/>
  <c r="U123" i="19"/>
  <c r="S123" i="19"/>
  <c r="R123" i="19"/>
  <c r="Z123" i="19"/>
  <c r="T123" i="19"/>
  <c r="A123" i="19"/>
  <c r="AC122" i="19"/>
  <c r="T122" i="19"/>
  <c r="R122" i="19"/>
  <c r="A122" i="19"/>
  <c r="AB121" i="19"/>
  <c r="R121" i="19"/>
  <c r="T121" i="19"/>
  <c r="A121" i="19"/>
  <c r="AA120" i="19"/>
  <c r="Z120" i="19"/>
  <c r="W120" i="19"/>
  <c r="V120" i="19"/>
  <c r="S120" i="19"/>
  <c r="R120" i="19"/>
  <c r="U120" i="19"/>
  <c r="A120" i="19"/>
  <c r="W119" i="19"/>
  <c r="V119" i="19"/>
  <c r="U119" i="19"/>
  <c r="S119" i="19"/>
  <c r="R119" i="19"/>
  <c r="AC119" i="19"/>
  <c r="T119" i="19"/>
  <c r="A119" i="19"/>
  <c r="T118" i="19"/>
  <c r="R118" i="19"/>
  <c r="A118" i="19"/>
  <c r="AA117" i="19"/>
  <c r="X117" i="19"/>
  <c r="R117" i="19"/>
  <c r="W117" i="19"/>
  <c r="A117" i="19"/>
  <c r="AA116" i="19"/>
  <c r="W116" i="19"/>
  <c r="V116" i="19"/>
  <c r="S116" i="19"/>
  <c r="R116" i="19"/>
  <c r="U116" i="19"/>
  <c r="A116" i="19"/>
  <c r="W115" i="19"/>
  <c r="V115" i="19"/>
  <c r="U115" i="19"/>
  <c r="S115" i="19"/>
  <c r="R115" i="19"/>
  <c r="Z115" i="19"/>
  <c r="T115" i="19"/>
  <c r="A115" i="19"/>
  <c r="AC114" i="19"/>
  <c r="T114" i="19"/>
  <c r="R114" i="19"/>
  <c r="A114" i="19"/>
  <c r="AB113" i="19"/>
  <c r="R113" i="19"/>
  <c r="T113" i="19"/>
  <c r="A113" i="19"/>
  <c r="AA112" i="19"/>
  <c r="Z112" i="19"/>
  <c r="W112" i="19"/>
  <c r="V112" i="19"/>
  <c r="S112" i="19"/>
  <c r="R112" i="19"/>
  <c r="U112" i="19"/>
  <c r="A112" i="19"/>
  <c r="W111" i="19"/>
  <c r="V111" i="19"/>
  <c r="U111" i="19"/>
  <c r="S111" i="19"/>
  <c r="R111" i="19"/>
  <c r="AC111" i="19"/>
  <c r="T111" i="19"/>
  <c r="A111" i="19"/>
  <c r="T110" i="19"/>
  <c r="R110" i="19"/>
  <c r="A110" i="19"/>
  <c r="AA109" i="19"/>
  <c r="X109" i="19"/>
  <c r="S109" i="19"/>
  <c r="R109" i="19"/>
  <c r="A109" i="19"/>
  <c r="AA108" i="19"/>
  <c r="W108" i="19"/>
  <c r="V108" i="19"/>
  <c r="S108" i="19"/>
  <c r="R108" i="19"/>
  <c r="T108" i="19"/>
  <c r="A108" i="19"/>
  <c r="W107" i="19"/>
  <c r="V107" i="19"/>
  <c r="U107" i="19"/>
  <c r="S107" i="19"/>
  <c r="R107" i="19"/>
  <c r="Z107" i="19"/>
  <c r="T107" i="19"/>
  <c r="A107" i="19"/>
  <c r="T106" i="19"/>
  <c r="R106" i="19"/>
  <c r="AC106" i="19"/>
  <c r="A106" i="19"/>
  <c r="AA105" i="19"/>
  <c r="R105" i="19"/>
  <c r="T105" i="19"/>
  <c r="A105" i="19"/>
  <c r="AA104" i="19"/>
  <c r="Z104" i="19"/>
  <c r="W104" i="19"/>
  <c r="V104" i="19"/>
  <c r="S104" i="19"/>
  <c r="R104" i="19"/>
  <c r="T104" i="19"/>
  <c r="A104" i="19"/>
  <c r="Y103" i="19"/>
  <c r="W103" i="19"/>
  <c r="V103" i="19"/>
  <c r="U103" i="19"/>
  <c r="S103" i="19"/>
  <c r="R103" i="19"/>
  <c r="T103" i="19"/>
  <c r="A103" i="19"/>
  <c r="AB102" i="19"/>
  <c r="T102" i="19"/>
  <c r="R102" i="19"/>
  <c r="A102" i="19"/>
  <c r="AA101" i="19"/>
  <c r="X101" i="19"/>
  <c r="S101" i="19"/>
  <c r="R101" i="19"/>
  <c r="A101" i="19"/>
  <c r="AA100" i="19"/>
  <c r="W100" i="19"/>
  <c r="V100" i="19"/>
  <c r="S100" i="19"/>
  <c r="R100" i="19"/>
  <c r="U100" i="19"/>
  <c r="A100" i="19"/>
  <c r="W99" i="19"/>
  <c r="V99" i="19"/>
  <c r="U99" i="19"/>
  <c r="S99" i="19"/>
  <c r="R99" i="19"/>
  <c r="Z99" i="19"/>
  <c r="T99" i="19"/>
  <c r="A99" i="19"/>
  <c r="T98" i="19"/>
  <c r="R98" i="19"/>
  <c r="AC98" i="19"/>
  <c r="A98" i="19"/>
  <c r="AA97" i="19"/>
  <c r="R97" i="19"/>
  <c r="T97" i="19"/>
  <c r="A97" i="19"/>
  <c r="AA96" i="19"/>
  <c r="Z96" i="19"/>
  <c r="W96" i="19"/>
  <c r="V96" i="19"/>
  <c r="S96" i="19"/>
  <c r="R96" i="19"/>
  <c r="T96" i="19"/>
  <c r="A96" i="19"/>
  <c r="Y95" i="19"/>
  <c r="W95" i="19"/>
  <c r="V95" i="19"/>
  <c r="U95" i="19"/>
  <c r="S95" i="19"/>
  <c r="R95" i="19"/>
  <c r="T95" i="19"/>
  <c r="A95" i="19"/>
  <c r="AB94" i="19"/>
  <c r="T94" i="19"/>
  <c r="R94" i="19"/>
  <c r="A94" i="19"/>
  <c r="AA93" i="19"/>
  <c r="X93" i="19"/>
  <c r="S93" i="19"/>
  <c r="R93" i="19"/>
  <c r="A93" i="19"/>
  <c r="AA92" i="19"/>
  <c r="W92" i="19"/>
  <c r="V92" i="19"/>
  <c r="S92" i="19"/>
  <c r="R92" i="19"/>
  <c r="T92" i="19"/>
  <c r="A92" i="19"/>
  <c r="W91" i="19"/>
  <c r="V91" i="19"/>
  <c r="U91" i="19"/>
  <c r="S91" i="19"/>
  <c r="R91" i="19"/>
  <c r="Z91" i="19"/>
  <c r="T91" i="19"/>
  <c r="A91" i="19"/>
  <c r="T90" i="19"/>
  <c r="R90" i="19"/>
  <c r="AC90" i="19"/>
  <c r="A90" i="19"/>
  <c r="AA89" i="19"/>
  <c r="R89" i="19"/>
  <c r="A89" i="19"/>
  <c r="AA88" i="19"/>
  <c r="Z88" i="19"/>
  <c r="W88" i="19"/>
  <c r="V88" i="19"/>
  <c r="S88" i="19"/>
  <c r="R88" i="19"/>
  <c r="U88" i="19"/>
  <c r="A88" i="19"/>
  <c r="Y87" i="19"/>
  <c r="W87" i="19"/>
  <c r="V87" i="19"/>
  <c r="U87" i="19"/>
  <c r="S87" i="19"/>
  <c r="R87" i="19"/>
  <c r="T87" i="19"/>
  <c r="A87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R77" i="19"/>
  <c r="Y76" i="19"/>
  <c r="W76" i="19"/>
  <c r="V76" i="19"/>
  <c r="U76" i="19"/>
  <c r="S76" i="19"/>
  <c r="R76" i="19"/>
  <c r="T76" i="19"/>
  <c r="A76" i="19"/>
  <c r="AB75" i="19"/>
  <c r="T75" i="19"/>
  <c r="R75" i="19"/>
  <c r="A75" i="19"/>
  <c r="AA74" i="19"/>
  <c r="X74" i="19"/>
  <c r="S74" i="19"/>
  <c r="R74" i="19"/>
  <c r="A74" i="19"/>
  <c r="AA73" i="19"/>
  <c r="W73" i="19"/>
  <c r="V73" i="19"/>
  <c r="S73" i="19"/>
  <c r="R73" i="19"/>
  <c r="U73" i="19"/>
  <c r="A73" i="19"/>
  <c r="W72" i="19"/>
  <c r="V72" i="19"/>
  <c r="U72" i="19"/>
  <c r="S72" i="19"/>
  <c r="R72" i="19"/>
  <c r="Z72" i="19"/>
  <c r="T72" i="19"/>
  <c r="A72" i="19"/>
  <c r="T71" i="19"/>
  <c r="R71" i="19"/>
  <c r="A71" i="19"/>
  <c r="AA70" i="19"/>
  <c r="R70" i="19"/>
  <c r="T70" i="19"/>
  <c r="A70" i="19"/>
  <c r="AA69" i="19"/>
  <c r="Z69" i="19"/>
  <c r="W69" i="19"/>
  <c r="V69" i="19"/>
  <c r="S69" i="19"/>
  <c r="R69" i="19"/>
  <c r="U69" i="19"/>
  <c r="A69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R65" i="19"/>
  <c r="AC64" i="19"/>
  <c r="AB64" i="19"/>
  <c r="Y64" i="19"/>
  <c r="R64" i="19"/>
  <c r="T64" i="19"/>
  <c r="A64" i="19"/>
  <c r="T63" i="19"/>
  <c r="S63" i="19"/>
  <c r="R63" i="19"/>
  <c r="A63" i="19"/>
  <c r="AA63" i="19" s="1"/>
  <c r="Z62" i="19"/>
  <c r="W62" i="19"/>
  <c r="V62" i="19"/>
  <c r="S62" i="19"/>
  <c r="R62" i="19"/>
  <c r="U62" i="19"/>
  <c r="A62" i="19"/>
  <c r="AD61" i="19"/>
  <c r="Z61" i="19"/>
  <c r="W61" i="19"/>
  <c r="V61" i="19"/>
  <c r="U61" i="19"/>
  <c r="S61" i="19"/>
  <c r="R61" i="19"/>
  <c r="T61" i="19"/>
  <c r="A61" i="19"/>
  <c r="AC60" i="19"/>
  <c r="Y60" i="19"/>
  <c r="R60" i="19"/>
  <c r="A60" i="19"/>
  <c r="X59" i="19"/>
  <c r="T59" i="19"/>
  <c r="R59" i="19"/>
  <c r="A59" i="19"/>
  <c r="W58" i="19"/>
  <c r="V58" i="19"/>
  <c r="S58" i="19"/>
  <c r="R58" i="19"/>
  <c r="U58" i="19"/>
  <c r="A58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R54" i="19"/>
  <c r="T53" i="19"/>
  <c r="R53" i="19"/>
  <c r="A53" i="19"/>
  <c r="U52" i="19"/>
  <c r="S52" i="19"/>
  <c r="R52" i="19"/>
  <c r="Y52" i="19"/>
  <c r="V52" i="19"/>
  <c r="A52" i="19"/>
  <c r="W51" i="19"/>
  <c r="T51" i="19"/>
  <c r="S51" i="19"/>
  <c r="R51" i="19"/>
  <c r="U51" i="19"/>
  <c r="A51" i="19"/>
  <c r="AC50" i="19"/>
  <c r="W50" i="19"/>
  <c r="V50" i="19"/>
  <c r="U50" i="19"/>
  <c r="S50" i="19"/>
  <c r="R50" i="19"/>
  <c r="Z50" i="19"/>
  <c r="T50" i="19"/>
  <c r="A50" i="19"/>
  <c r="V49" i="19"/>
  <c r="R49" i="19"/>
  <c r="AA49" i="19"/>
  <c r="T49" i="19"/>
  <c r="A49" i="19"/>
  <c r="U48" i="19"/>
  <c r="R48" i="19"/>
  <c r="V48" i="19"/>
  <c r="A48" i="19"/>
  <c r="W47" i="19"/>
  <c r="T47" i="19"/>
  <c r="S47" i="19"/>
  <c r="R47" i="19"/>
  <c r="U47" i="19"/>
  <c r="A47" i="19"/>
  <c r="AD47" i="19" s="1"/>
  <c r="AC46" i="19"/>
  <c r="W46" i="19"/>
  <c r="V46" i="19"/>
  <c r="U46" i="19"/>
  <c r="S46" i="19"/>
  <c r="R46" i="19"/>
  <c r="Z46" i="19"/>
  <c r="T46" i="19"/>
  <c r="A46" i="19"/>
  <c r="V45" i="19"/>
  <c r="R45" i="19"/>
  <c r="AA45" i="19"/>
  <c r="T45" i="19"/>
  <c r="A45" i="19"/>
  <c r="U44" i="19"/>
  <c r="R44" i="19"/>
  <c r="Y44" i="19"/>
  <c r="V44" i="19"/>
  <c r="A44" i="19"/>
  <c r="W43" i="19"/>
  <c r="T43" i="19"/>
  <c r="S43" i="19"/>
  <c r="R43" i="19"/>
  <c r="U43" i="19"/>
  <c r="A43" i="19"/>
  <c r="AD43" i="19" s="1"/>
  <c r="AC42" i="19"/>
  <c r="W42" i="19"/>
  <c r="V42" i="19"/>
  <c r="U42" i="19"/>
  <c r="S42" i="19"/>
  <c r="R42" i="19"/>
  <c r="Z42" i="19"/>
  <c r="T42" i="19"/>
  <c r="A42" i="19"/>
  <c r="V41" i="19"/>
  <c r="R41" i="19"/>
  <c r="AA41" i="19"/>
  <c r="T41" i="19"/>
  <c r="A41" i="19"/>
  <c r="V40" i="19"/>
  <c r="R40" i="19"/>
  <c r="AA40" i="19"/>
  <c r="T40" i="19"/>
  <c r="A40" i="19"/>
  <c r="AD39" i="19"/>
  <c r="AB39" i="19"/>
  <c r="AA39" i="19"/>
  <c r="X39" i="19"/>
  <c r="W39" i="19"/>
  <c r="S39" i="19"/>
  <c r="R39" i="19"/>
  <c r="U39" i="19"/>
  <c r="A39" i="19"/>
  <c r="AD38" i="19"/>
  <c r="AC38" i="19"/>
  <c r="Y38" i="19"/>
  <c r="X38" i="19"/>
  <c r="V38" i="19"/>
  <c r="T38" i="19"/>
  <c r="R38" i="19"/>
  <c r="AA38" i="19"/>
  <c r="A38" i="19"/>
  <c r="AA37" i="19"/>
  <c r="R37" i="19"/>
  <c r="U37" i="19"/>
  <c r="A37" i="19"/>
  <c r="AD37" i="19" s="1"/>
  <c r="W36" i="19"/>
  <c r="V36" i="19"/>
  <c r="U36" i="19"/>
  <c r="S36" i="19"/>
  <c r="R36" i="19"/>
  <c r="T36" i="19"/>
  <c r="A36" i="19"/>
  <c r="AC35" i="19"/>
  <c r="X35" i="19"/>
  <c r="V35" i="19"/>
  <c r="R35" i="19"/>
  <c r="AA35" i="19"/>
  <c r="A35" i="19"/>
  <c r="AB34" i="19"/>
  <c r="W34" i="19"/>
  <c r="U34" i="19"/>
  <c r="R34" i="19"/>
  <c r="Y34" i="19"/>
  <c r="V34" i="19"/>
  <c r="A34" i="19"/>
  <c r="R33" i="19"/>
  <c r="U33" i="19"/>
  <c r="A33" i="19"/>
  <c r="AD33" i="19" s="1"/>
  <c r="W32" i="19"/>
  <c r="V32" i="19"/>
  <c r="U32" i="19"/>
  <c r="S32" i="19"/>
  <c r="R32" i="19"/>
  <c r="T32" i="19"/>
  <c r="A32" i="19"/>
  <c r="V31" i="19"/>
  <c r="R31" i="19"/>
  <c r="AA31" i="19"/>
  <c r="A31" i="19"/>
  <c r="W30" i="19"/>
  <c r="U30" i="19"/>
  <c r="R30" i="19"/>
  <c r="AB30" i="19"/>
  <c r="V30" i="19"/>
  <c r="A30" i="19"/>
  <c r="W29" i="19"/>
  <c r="U29" i="19"/>
  <c r="R29" i="19"/>
  <c r="V29" i="19"/>
  <c r="A29" i="19"/>
  <c r="W28" i="19"/>
  <c r="V28" i="19"/>
  <c r="U28" i="19"/>
  <c r="S28" i="19"/>
  <c r="R28" i="19"/>
  <c r="T28" i="19"/>
  <c r="A28" i="19"/>
  <c r="V27" i="19"/>
  <c r="R27" i="19"/>
  <c r="AA27" i="19"/>
  <c r="A27" i="19"/>
  <c r="W26" i="19"/>
  <c r="U26" i="19"/>
  <c r="R26" i="19"/>
  <c r="V26" i="19"/>
  <c r="A26" i="19"/>
  <c r="T25" i="19"/>
  <c r="R25" i="19"/>
  <c r="U25" i="19"/>
  <c r="A25" i="19"/>
  <c r="AD25" i="19" s="1"/>
  <c r="W24" i="19"/>
  <c r="V24" i="19"/>
  <c r="U24" i="19"/>
  <c r="S24" i="19"/>
  <c r="R24" i="19"/>
  <c r="T24" i="19"/>
  <c r="A24" i="19"/>
  <c r="V23" i="19"/>
  <c r="R23" i="19"/>
  <c r="AA23" i="19"/>
  <c r="A23" i="19"/>
  <c r="W22" i="19"/>
  <c r="V22" i="19"/>
  <c r="U22" i="19"/>
  <c r="S22" i="19"/>
  <c r="R22" i="19"/>
  <c r="T22" i="19"/>
  <c r="A22" i="19"/>
  <c r="W21" i="19"/>
  <c r="V21" i="19"/>
  <c r="U21" i="19"/>
  <c r="S21" i="19"/>
  <c r="R21" i="19"/>
  <c r="T21" i="19"/>
  <c r="A21" i="19"/>
  <c r="AD20" i="19"/>
  <c r="X20" i="19"/>
  <c r="W20" i="19"/>
  <c r="T20" i="19"/>
  <c r="S20" i="19"/>
  <c r="R20" i="19"/>
  <c r="U20" i="19"/>
  <c r="A20" i="19"/>
  <c r="S19" i="19"/>
  <c r="R19" i="19"/>
  <c r="V19" i="19"/>
  <c r="A19" i="19"/>
  <c r="AD18" i="19"/>
  <c r="AB18" i="19"/>
  <c r="AA18" i="19"/>
  <c r="X18" i="19"/>
  <c r="W18" i="19"/>
  <c r="S18" i="19"/>
  <c r="R18" i="19"/>
  <c r="U18" i="19"/>
  <c r="A18" i="19"/>
  <c r="AB17" i="19"/>
  <c r="AA17" i="19"/>
  <c r="R17" i="19"/>
  <c r="U17" i="19"/>
  <c r="A17" i="19"/>
  <c r="V16" i="19"/>
  <c r="R16" i="19"/>
  <c r="AA16" i="19"/>
  <c r="A16" i="19"/>
  <c r="Z15" i="19"/>
  <c r="R15" i="19"/>
  <c r="AA15" i="19"/>
  <c r="V15" i="19"/>
  <c r="A15" i="19"/>
  <c r="AD14" i="19"/>
  <c r="AC14" i="19"/>
  <c r="Z14" i="19"/>
  <c r="Y14" i="19"/>
  <c r="X14" i="19"/>
  <c r="T14" i="19"/>
  <c r="R14" i="19"/>
  <c r="AA14" i="19"/>
  <c r="A14" i="19"/>
  <c r="AD13" i="19"/>
  <c r="AC13" i="19"/>
  <c r="Y13" i="19"/>
  <c r="X13" i="19"/>
  <c r="V13" i="19"/>
  <c r="T13" i="19"/>
  <c r="R13" i="19"/>
  <c r="AA13" i="19"/>
  <c r="A13" i="19"/>
  <c r="W12" i="19"/>
  <c r="U12" i="19"/>
  <c r="R12" i="19"/>
  <c r="AB12" i="19"/>
  <c r="V12" i="19"/>
  <c r="A12" i="19"/>
  <c r="R11" i="19"/>
  <c r="AC11" i="19"/>
  <c r="V11" i="19"/>
  <c r="A11" i="19"/>
  <c r="H215" i="20" l="1"/>
  <c r="P215" i="20"/>
  <c r="G313" i="19"/>
  <c r="O313" i="19"/>
  <c r="I215" i="20"/>
  <c r="Q215" i="20"/>
  <c r="H313" i="19"/>
  <c r="P313" i="19"/>
  <c r="J81" i="20"/>
  <c r="Q313" i="19"/>
  <c r="K81" i="20"/>
  <c r="G313" i="20"/>
  <c r="O313" i="20"/>
  <c r="F81" i="19"/>
  <c r="J81" i="19"/>
  <c r="N81" i="19"/>
  <c r="R366" i="19"/>
  <c r="W366" i="20"/>
  <c r="F215" i="19"/>
  <c r="J215" i="19"/>
  <c r="N215" i="19"/>
  <c r="G215" i="20"/>
  <c r="G343" i="20" s="1"/>
  <c r="G358" i="20" s="1"/>
  <c r="K215" i="20"/>
  <c r="K343" i="20" s="1"/>
  <c r="K358" i="20" s="1"/>
  <c r="O215" i="20"/>
  <c r="O343" i="20" s="1"/>
  <c r="O358" i="20" s="1"/>
  <c r="I313" i="20"/>
  <c r="M313" i="20"/>
  <c r="R366" i="20"/>
  <c r="F215" i="20"/>
  <c r="N215" i="20"/>
  <c r="N343" i="20" s="1"/>
  <c r="N358" i="20" s="1"/>
  <c r="H313" i="20"/>
  <c r="H343" i="20" s="1"/>
  <c r="H358" i="20" s="1"/>
  <c r="L313" i="20"/>
  <c r="L343" i="20" s="1"/>
  <c r="L358" i="20" s="1"/>
  <c r="R340" i="20"/>
  <c r="Q81" i="20"/>
  <c r="R212" i="20"/>
  <c r="Q313" i="20"/>
  <c r="R78" i="20"/>
  <c r="R310" i="20"/>
  <c r="R357" i="20"/>
  <c r="R66" i="19"/>
  <c r="R78" i="19"/>
  <c r="I215" i="19"/>
  <c r="M215" i="19"/>
  <c r="Q215" i="19"/>
  <c r="G215" i="19"/>
  <c r="R310" i="19"/>
  <c r="R324" i="19"/>
  <c r="G81" i="19"/>
  <c r="K81" i="19"/>
  <c r="O81" i="19"/>
  <c r="R337" i="19"/>
  <c r="F340" i="19"/>
  <c r="P81" i="19"/>
  <c r="L313" i="19"/>
  <c r="R313" i="19" s="1"/>
  <c r="H81" i="19"/>
  <c r="L81" i="19"/>
  <c r="I313" i="19"/>
  <c r="AB32" i="19"/>
  <c r="X32" i="19"/>
  <c r="Z32" i="19"/>
  <c r="AD32" i="19"/>
  <c r="Y32" i="19"/>
  <c r="AA32" i="19"/>
  <c r="AC32" i="19"/>
  <c r="AB28" i="19"/>
  <c r="X28" i="19"/>
  <c r="Z28" i="19"/>
  <c r="AC28" i="19"/>
  <c r="AD28" i="19"/>
  <c r="Y28" i="19"/>
  <c r="AA28" i="19"/>
  <c r="AB22" i="19"/>
  <c r="X22" i="19"/>
  <c r="Z22" i="19"/>
  <c r="AC22" i="19"/>
  <c r="AA22" i="19"/>
  <c r="AD22" i="19"/>
  <c r="Y22" i="19"/>
  <c r="AB36" i="19"/>
  <c r="X36" i="19"/>
  <c r="Z36" i="19"/>
  <c r="AC36" i="19"/>
  <c r="AA36" i="19"/>
  <c r="AD36" i="19"/>
  <c r="Y36" i="19"/>
  <c r="AB24" i="19"/>
  <c r="X24" i="19"/>
  <c r="Z24" i="19"/>
  <c r="AA24" i="19"/>
  <c r="AD24" i="19"/>
  <c r="Y24" i="19"/>
  <c r="AC24" i="19"/>
  <c r="AB21" i="19"/>
  <c r="X21" i="19"/>
  <c r="Z21" i="19"/>
  <c r="AC21" i="19"/>
  <c r="AA21" i="19"/>
  <c r="AD21" i="19"/>
  <c r="Y21" i="19"/>
  <c r="AD19" i="19"/>
  <c r="Z19" i="19"/>
  <c r="AA19" i="19"/>
  <c r="AC19" i="19"/>
  <c r="X19" i="19"/>
  <c r="Y19" i="19"/>
  <c r="AB19" i="19"/>
  <c r="T11" i="19"/>
  <c r="Y11" i="19"/>
  <c r="AB16" i="19"/>
  <c r="AB23" i="19"/>
  <c r="AD26" i="19"/>
  <c r="Z26" i="19"/>
  <c r="AA26" i="19"/>
  <c r="AD29" i="19"/>
  <c r="Z29" i="19"/>
  <c r="AA29" i="19"/>
  <c r="AB31" i="19"/>
  <c r="AC20" i="19"/>
  <c r="Y20" i="19"/>
  <c r="Z20" i="19"/>
  <c r="X23" i="19"/>
  <c r="AC23" i="19"/>
  <c r="AA33" i="19"/>
  <c r="V37" i="19"/>
  <c r="AB41" i="19"/>
  <c r="AB45" i="19"/>
  <c r="AD48" i="19"/>
  <c r="Z48" i="19"/>
  <c r="AA48" i="19"/>
  <c r="AC51" i="19"/>
  <c r="Y51" i="19"/>
  <c r="Z51" i="19"/>
  <c r="Z53" i="19"/>
  <c r="AA53" i="19"/>
  <c r="AD53" i="19"/>
  <c r="X53" i="19"/>
  <c r="R55" i="19"/>
  <c r="AB58" i="19"/>
  <c r="AC58" i="19"/>
  <c r="Y58" i="19"/>
  <c r="X58" i="19"/>
  <c r="AD58" i="19"/>
  <c r="AA71" i="19"/>
  <c r="AD71" i="19"/>
  <c r="Z71" i="19"/>
  <c r="X71" i="19"/>
  <c r="AC72" i="19"/>
  <c r="V89" i="19"/>
  <c r="U89" i="19"/>
  <c r="W89" i="19"/>
  <c r="S11" i="19"/>
  <c r="X11" i="19"/>
  <c r="T12" i="19"/>
  <c r="Y12" i="19"/>
  <c r="AB13" i="19"/>
  <c r="T15" i="19"/>
  <c r="Y15" i="19"/>
  <c r="AD15" i="19"/>
  <c r="W16" i="19"/>
  <c r="S16" i="19"/>
  <c r="U16" i="19"/>
  <c r="Z16" i="19"/>
  <c r="AC17" i="19"/>
  <c r="Y17" i="19"/>
  <c r="T17" i="19"/>
  <c r="Z17" i="19"/>
  <c r="V18" i="19"/>
  <c r="W19" i="19"/>
  <c r="AB20" i="19"/>
  <c r="W23" i="19"/>
  <c r="S23" i="19"/>
  <c r="U23" i="19"/>
  <c r="Z23" i="19"/>
  <c r="S25" i="19"/>
  <c r="X25" i="19"/>
  <c r="T26" i="19"/>
  <c r="Y26" i="19"/>
  <c r="W27" i="19"/>
  <c r="S27" i="19"/>
  <c r="U27" i="19"/>
  <c r="Z27" i="19"/>
  <c r="T29" i="19"/>
  <c r="Y29" i="19"/>
  <c r="T30" i="19"/>
  <c r="Y30" i="19"/>
  <c r="W31" i="19"/>
  <c r="S31" i="19"/>
  <c r="U31" i="19"/>
  <c r="Z31" i="19"/>
  <c r="S33" i="19"/>
  <c r="X33" i="19"/>
  <c r="T34" i="19"/>
  <c r="W35" i="19"/>
  <c r="S35" i="19"/>
  <c r="U35" i="19"/>
  <c r="Z35" i="19"/>
  <c r="S37" i="19"/>
  <c r="X37" i="19"/>
  <c r="AB38" i="19"/>
  <c r="V39" i="19"/>
  <c r="Y40" i="19"/>
  <c r="AD40" i="19"/>
  <c r="Y41" i="19"/>
  <c r="AD41" i="19"/>
  <c r="AB43" i="19"/>
  <c r="S44" i="19"/>
  <c r="X44" i="19"/>
  <c r="AC44" i="19"/>
  <c r="Y45" i="19"/>
  <c r="AD45" i="19"/>
  <c r="AB47" i="19"/>
  <c r="S48" i="19"/>
  <c r="X48" i="19"/>
  <c r="AC48" i="19"/>
  <c r="Y49" i="19"/>
  <c r="AD49" i="19"/>
  <c r="AB51" i="19"/>
  <c r="X52" i="19"/>
  <c r="AC52" i="19"/>
  <c r="AB53" i="19"/>
  <c r="Z58" i="19"/>
  <c r="AC59" i="19"/>
  <c r="AD59" i="19"/>
  <c r="Z59" i="19"/>
  <c r="Y59" i="19"/>
  <c r="AB59" i="19"/>
  <c r="V60" i="19"/>
  <c r="W60" i="19"/>
  <c r="S60" i="19"/>
  <c r="U60" i="19"/>
  <c r="X62" i="19"/>
  <c r="AC62" i="19"/>
  <c r="Y62" i="19"/>
  <c r="AB62" i="19"/>
  <c r="AD62" i="19"/>
  <c r="X63" i="19"/>
  <c r="S70" i="19"/>
  <c r="S78" i="19" s="1"/>
  <c r="AB71" i="19"/>
  <c r="Y72" i="19"/>
  <c r="V74" i="19"/>
  <c r="U74" i="19"/>
  <c r="W74" i="19"/>
  <c r="AD75" i="19"/>
  <c r="Z75" i="19"/>
  <c r="AA75" i="19"/>
  <c r="X75" i="19"/>
  <c r="AA76" i="19"/>
  <c r="AA78" i="19" s="1"/>
  <c r="AB76" i="19"/>
  <c r="X76" i="19"/>
  <c r="AC76" i="19"/>
  <c r="AB87" i="19"/>
  <c r="AE87" i="19" s="1"/>
  <c r="X87" i="19"/>
  <c r="AA87" i="19"/>
  <c r="AC87" i="19"/>
  <c r="S89" i="19"/>
  <c r="AB90" i="19"/>
  <c r="Y91" i="19"/>
  <c r="U93" i="19"/>
  <c r="V93" i="19"/>
  <c r="W93" i="19"/>
  <c r="AD94" i="19"/>
  <c r="Z94" i="19"/>
  <c r="AA94" i="19"/>
  <c r="X94" i="19"/>
  <c r="AA95" i="19"/>
  <c r="AB95" i="19"/>
  <c r="X95" i="19"/>
  <c r="AC95" i="19"/>
  <c r="S97" i="19"/>
  <c r="AB98" i="19"/>
  <c r="Y99" i="19"/>
  <c r="V101" i="19"/>
  <c r="U101" i="19"/>
  <c r="W101" i="19"/>
  <c r="AA102" i="19"/>
  <c r="AD102" i="19"/>
  <c r="Z102" i="19"/>
  <c r="X102" i="19"/>
  <c r="AB103" i="19"/>
  <c r="X103" i="19"/>
  <c r="AA103" i="19"/>
  <c r="AC103" i="19"/>
  <c r="S105" i="19"/>
  <c r="AB106" i="19"/>
  <c r="Y107" i="19"/>
  <c r="U109" i="19"/>
  <c r="V109" i="19"/>
  <c r="W109" i="19"/>
  <c r="AD110" i="19"/>
  <c r="Z110" i="19"/>
  <c r="AA110" i="19"/>
  <c r="AC110" i="19"/>
  <c r="Y110" i="19"/>
  <c r="Y111" i="19"/>
  <c r="S113" i="19"/>
  <c r="AA114" i="19"/>
  <c r="AD114" i="19"/>
  <c r="Z114" i="19"/>
  <c r="Y114" i="19"/>
  <c r="X114" i="19"/>
  <c r="Y115" i="19"/>
  <c r="AC116" i="19"/>
  <c r="Y116" i="19"/>
  <c r="AB116" i="19"/>
  <c r="X116" i="19"/>
  <c r="Z116" i="19"/>
  <c r="S117" i="19"/>
  <c r="AA118" i="19"/>
  <c r="AD118" i="19"/>
  <c r="Z118" i="19"/>
  <c r="AC118" i="19"/>
  <c r="Y118" i="19"/>
  <c r="Y119" i="19"/>
  <c r="S121" i="19"/>
  <c r="Z122" i="19"/>
  <c r="AA122" i="19"/>
  <c r="AD122" i="19"/>
  <c r="Y122" i="19"/>
  <c r="X122" i="19"/>
  <c r="Y123" i="19"/>
  <c r="AC124" i="19"/>
  <c r="Y124" i="19"/>
  <c r="AB124" i="19"/>
  <c r="X124" i="19"/>
  <c r="Z124" i="19"/>
  <c r="S125" i="19"/>
  <c r="AA126" i="19"/>
  <c r="AD126" i="19"/>
  <c r="Z126" i="19"/>
  <c r="AC126" i="19"/>
  <c r="Y126" i="19"/>
  <c r="Y127" i="19"/>
  <c r="S129" i="19"/>
  <c r="AA130" i="19"/>
  <c r="AD130" i="19"/>
  <c r="Z130" i="19"/>
  <c r="Y130" i="19"/>
  <c r="X130" i="19"/>
  <c r="Y131" i="19"/>
  <c r="AB132" i="19"/>
  <c r="X132" i="19"/>
  <c r="AC132" i="19"/>
  <c r="Y132" i="19"/>
  <c r="Z132" i="19"/>
  <c r="S133" i="19"/>
  <c r="AD134" i="19"/>
  <c r="Z134" i="19"/>
  <c r="AA134" i="19"/>
  <c r="AC134" i="19"/>
  <c r="Y134" i="19"/>
  <c r="Y135" i="19"/>
  <c r="S137" i="19"/>
  <c r="AA138" i="19"/>
  <c r="AD138" i="19"/>
  <c r="Z138" i="19"/>
  <c r="Y138" i="19"/>
  <c r="X138" i="19"/>
  <c r="Y139" i="19"/>
  <c r="AC140" i="19"/>
  <c r="Y140" i="19"/>
  <c r="AB140" i="19"/>
  <c r="X140" i="19"/>
  <c r="Z140" i="19"/>
  <c r="S141" i="19"/>
  <c r="AA142" i="19"/>
  <c r="AD142" i="19"/>
  <c r="Z142" i="19"/>
  <c r="AC142" i="19"/>
  <c r="Y142" i="19"/>
  <c r="Y143" i="19"/>
  <c r="S145" i="19"/>
  <c r="AD146" i="19"/>
  <c r="Z146" i="19"/>
  <c r="AA146" i="19"/>
  <c r="Y146" i="19"/>
  <c r="X146" i="19"/>
  <c r="Y147" i="19"/>
  <c r="AB148" i="19"/>
  <c r="AC148" i="19"/>
  <c r="Y148" i="19"/>
  <c r="X148" i="19"/>
  <c r="Z148" i="19"/>
  <c r="V153" i="19"/>
  <c r="U153" i="19"/>
  <c r="S153" i="19"/>
  <c r="AC25" i="19"/>
  <c r="Y25" i="19"/>
  <c r="Z25" i="19"/>
  <c r="AC33" i="19"/>
  <c r="Y33" i="19"/>
  <c r="T33" i="19"/>
  <c r="Z33" i="19"/>
  <c r="AD34" i="19"/>
  <c r="Z34" i="19"/>
  <c r="AA34" i="19"/>
  <c r="AB35" i="19"/>
  <c r="AC37" i="19"/>
  <c r="Y37" i="19"/>
  <c r="T37" i="19"/>
  <c r="Z37" i="19"/>
  <c r="W40" i="19"/>
  <c r="S40" i="19"/>
  <c r="U40" i="19"/>
  <c r="Z40" i="19"/>
  <c r="W41" i="19"/>
  <c r="S41" i="19"/>
  <c r="U41" i="19"/>
  <c r="Z41" i="19"/>
  <c r="AB42" i="19"/>
  <c r="X42" i="19"/>
  <c r="AA42" i="19"/>
  <c r="X43" i="19"/>
  <c r="T44" i="19"/>
  <c r="W45" i="19"/>
  <c r="S45" i="19"/>
  <c r="U45" i="19"/>
  <c r="Z45" i="19"/>
  <c r="AB46" i="19"/>
  <c r="X46" i="19"/>
  <c r="AA46" i="19"/>
  <c r="X47" i="19"/>
  <c r="T48" i="19"/>
  <c r="Y48" i="19"/>
  <c r="W49" i="19"/>
  <c r="S49" i="19"/>
  <c r="U49" i="19"/>
  <c r="Z49" i="19"/>
  <c r="AB50" i="19"/>
  <c r="X50" i="19"/>
  <c r="AA50" i="19"/>
  <c r="X51" i="19"/>
  <c r="AD51" i="19"/>
  <c r="T52" i="19"/>
  <c r="W53" i="19"/>
  <c r="S53" i="19"/>
  <c r="V53" i="19"/>
  <c r="U53" i="19"/>
  <c r="AC53" i="19"/>
  <c r="I81" i="19"/>
  <c r="I343" i="19" s="1"/>
  <c r="I358" i="19" s="1"/>
  <c r="M81" i="19"/>
  <c r="Q81" i="19"/>
  <c r="AA58" i="19"/>
  <c r="U59" i="19"/>
  <c r="U66" i="19" s="1"/>
  <c r="V59" i="19"/>
  <c r="W59" i="19"/>
  <c r="AD60" i="19"/>
  <c r="Z60" i="19"/>
  <c r="AA60" i="19"/>
  <c r="X60" i="19"/>
  <c r="AA61" i="19"/>
  <c r="AB61" i="19"/>
  <c r="X61" i="19"/>
  <c r="AC61" i="19"/>
  <c r="AD70" i="19"/>
  <c r="Z70" i="19"/>
  <c r="AC70" i="19"/>
  <c r="Y70" i="19"/>
  <c r="AB70" i="19"/>
  <c r="W71" i="19"/>
  <c r="S71" i="19"/>
  <c r="V71" i="19"/>
  <c r="U71" i="19"/>
  <c r="AC71" i="19"/>
  <c r="AB73" i="19"/>
  <c r="AC73" i="19"/>
  <c r="Y73" i="19"/>
  <c r="X73" i="19"/>
  <c r="AD73" i="19"/>
  <c r="Y75" i="19"/>
  <c r="AD76" i="19"/>
  <c r="AD87" i="19"/>
  <c r="AD89" i="19"/>
  <c r="Z89" i="19"/>
  <c r="AC89" i="19"/>
  <c r="Y89" i="19"/>
  <c r="T89" i="19"/>
  <c r="AB89" i="19"/>
  <c r="W90" i="19"/>
  <c r="S90" i="19"/>
  <c r="V90" i="19"/>
  <c r="U90" i="19"/>
  <c r="AB92" i="19"/>
  <c r="X92" i="19"/>
  <c r="AC92" i="19"/>
  <c r="Y92" i="19"/>
  <c r="AD92" i="19"/>
  <c r="Y94" i="19"/>
  <c r="AD95" i="19"/>
  <c r="AD97" i="19"/>
  <c r="Z97" i="19"/>
  <c r="AC97" i="19"/>
  <c r="Y97" i="19"/>
  <c r="AB97" i="19"/>
  <c r="V98" i="19"/>
  <c r="W98" i="19"/>
  <c r="S98" i="19"/>
  <c r="U98" i="19"/>
  <c r="AC100" i="19"/>
  <c r="Y100" i="19"/>
  <c r="AB100" i="19"/>
  <c r="X100" i="19"/>
  <c r="AD100" i="19"/>
  <c r="Y102" i="19"/>
  <c r="AD103" i="19"/>
  <c r="AC105" i="19"/>
  <c r="Y105" i="19"/>
  <c r="AD105" i="19"/>
  <c r="Z105" i="19"/>
  <c r="AB105" i="19"/>
  <c r="V106" i="19"/>
  <c r="W106" i="19"/>
  <c r="S106" i="19"/>
  <c r="U106" i="19"/>
  <c r="AB108" i="19"/>
  <c r="X108" i="19"/>
  <c r="AC108" i="19"/>
  <c r="Y108" i="19"/>
  <c r="AD108" i="19"/>
  <c r="AB110" i="19"/>
  <c r="AD113" i="19"/>
  <c r="Z113" i="19"/>
  <c r="AC113" i="19"/>
  <c r="Y113" i="19"/>
  <c r="X113" i="19"/>
  <c r="AB114" i="19"/>
  <c r="AB118" i="19"/>
  <c r="AD121" i="19"/>
  <c r="Z121" i="19"/>
  <c r="AC121" i="19"/>
  <c r="Y121" i="19"/>
  <c r="X121" i="19"/>
  <c r="AB122" i="19"/>
  <c r="AB126" i="19"/>
  <c r="AD129" i="19"/>
  <c r="Z129" i="19"/>
  <c r="AC129" i="19"/>
  <c r="Y129" i="19"/>
  <c r="X129" i="19"/>
  <c r="AB130" i="19"/>
  <c r="AB134" i="19"/>
  <c r="AD137" i="19"/>
  <c r="Z137" i="19"/>
  <c r="AC137" i="19"/>
  <c r="Y137" i="19"/>
  <c r="X137" i="19"/>
  <c r="AB138" i="19"/>
  <c r="AB142" i="19"/>
  <c r="AC145" i="19"/>
  <c r="Y145" i="19"/>
  <c r="AD145" i="19"/>
  <c r="Z145" i="19"/>
  <c r="X145" i="19"/>
  <c r="AB146" i="19"/>
  <c r="AD11" i="19"/>
  <c r="Z11" i="19"/>
  <c r="U11" i="19"/>
  <c r="AA11" i="19"/>
  <c r="W14" i="19"/>
  <c r="S14" i="19"/>
  <c r="U14" i="19"/>
  <c r="AB15" i="19"/>
  <c r="X16" i="19"/>
  <c r="AC16" i="19"/>
  <c r="W17" i="19"/>
  <c r="T19" i="19"/>
  <c r="V25" i="19"/>
  <c r="AA25" i="19"/>
  <c r="AB26" i="19"/>
  <c r="X27" i="19"/>
  <c r="AC27" i="19"/>
  <c r="AB29" i="19"/>
  <c r="X31" i="19"/>
  <c r="AC31" i="19"/>
  <c r="V33" i="19"/>
  <c r="AC43" i="19"/>
  <c r="Y43" i="19"/>
  <c r="Z43" i="19"/>
  <c r="AB49" i="19"/>
  <c r="Y63" i="19"/>
  <c r="AD63" i="19"/>
  <c r="Z63" i="19"/>
  <c r="AC63" i="19"/>
  <c r="AB63" i="19"/>
  <c r="W64" i="19"/>
  <c r="S64" i="19"/>
  <c r="V64" i="19"/>
  <c r="U64" i="19"/>
  <c r="V70" i="19"/>
  <c r="V78" i="19" s="1"/>
  <c r="U70" i="19"/>
  <c r="U78" i="19" s="1"/>
  <c r="W70" i="19"/>
  <c r="W78" i="19" s="1"/>
  <c r="AA90" i="19"/>
  <c r="AD90" i="19"/>
  <c r="Z90" i="19"/>
  <c r="X90" i="19"/>
  <c r="AA98" i="19"/>
  <c r="AD98" i="19"/>
  <c r="Z98" i="19"/>
  <c r="X98" i="19"/>
  <c r="U105" i="19"/>
  <c r="V105" i="19"/>
  <c r="W105" i="19"/>
  <c r="AA107" i="19"/>
  <c r="AB107" i="19"/>
  <c r="X107" i="19"/>
  <c r="AC107" i="19"/>
  <c r="AB119" i="19"/>
  <c r="X119" i="19"/>
  <c r="AA119" i="19"/>
  <c r="Z119" i="19"/>
  <c r="AD119" i="19"/>
  <c r="U121" i="19"/>
  <c r="V121" i="19"/>
  <c r="W121" i="19"/>
  <c r="AB123" i="19"/>
  <c r="X123" i="19"/>
  <c r="AA123" i="19"/>
  <c r="AD123" i="19"/>
  <c r="AC123" i="19"/>
  <c r="V125" i="19"/>
  <c r="U125" i="19"/>
  <c r="T125" i="19"/>
  <c r="AB127" i="19"/>
  <c r="X127" i="19"/>
  <c r="AA127" i="19"/>
  <c r="Z127" i="19"/>
  <c r="AD127" i="19"/>
  <c r="V129" i="19"/>
  <c r="U129" i="19"/>
  <c r="W129" i="19"/>
  <c r="AB131" i="19"/>
  <c r="X131" i="19"/>
  <c r="AA131" i="19"/>
  <c r="AD131" i="19"/>
  <c r="AC131" i="19"/>
  <c r="U133" i="19"/>
  <c r="V133" i="19"/>
  <c r="T133" i="19"/>
  <c r="AA135" i="19"/>
  <c r="AB135" i="19"/>
  <c r="X135" i="19"/>
  <c r="Z135" i="19"/>
  <c r="AD135" i="19"/>
  <c r="V137" i="19"/>
  <c r="U137" i="19"/>
  <c r="W137" i="19"/>
  <c r="AB139" i="19"/>
  <c r="X139" i="19"/>
  <c r="AA139" i="19"/>
  <c r="AD139" i="19"/>
  <c r="AC139" i="19"/>
  <c r="V141" i="19"/>
  <c r="U141" i="19"/>
  <c r="T141" i="19"/>
  <c r="AB143" i="19"/>
  <c r="X143" i="19"/>
  <c r="AA143" i="19"/>
  <c r="Z143" i="19"/>
  <c r="AD143" i="19"/>
  <c r="U145" i="19"/>
  <c r="V145" i="19"/>
  <c r="W145" i="19"/>
  <c r="AA147" i="19"/>
  <c r="AB147" i="19"/>
  <c r="X147" i="19"/>
  <c r="AD147" i="19"/>
  <c r="AC147" i="19"/>
  <c r="AA148" i="19"/>
  <c r="T153" i="19"/>
  <c r="AD12" i="19"/>
  <c r="Z12" i="19"/>
  <c r="AA12" i="19"/>
  <c r="W15" i="19"/>
  <c r="S15" i="19"/>
  <c r="U15" i="19"/>
  <c r="V17" i="19"/>
  <c r="AB27" i="19"/>
  <c r="AD30" i="19"/>
  <c r="Z30" i="19"/>
  <c r="AA30" i="19"/>
  <c r="AB40" i="19"/>
  <c r="AD44" i="19"/>
  <c r="Z44" i="19"/>
  <c r="AA44" i="19"/>
  <c r="AC47" i="19"/>
  <c r="Y47" i="19"/>
  <c r="Z47" i="19"/>
  <c r="AD52" i="19"/>
  <c r="Z52" i="19"/>
  <c r="AA52" i="19"/>
  <c r="AB72" i="19"/>
  <c r="X72" i="19"/>
  <c r="AA72" i="19"/>
  <c r="AB91" i="19"/>
  <c r="X91" i="19"/>
  <c r="AA91" i="19"/>
  <c r="AC91" i="19"/>
  <c r="V97" i="19"/>
  <c r="U97" i="19"/>
  <c r="W97" i="19"/>
  <c r="AB99" i="19"/>
  <c r="X99" i="19"/>
  <c r="AA99" i="19"/>
  <c r="AC99" i="19"/>
  <c r="AD106" i="19"/>
  <c r="Z106" i="19"/>
  <c r="AA106" i="19"/>
  <c r="X106" i="19"/>
  <c r="AA111" i="19"/>
  <c r="AB111" i="19"/>
  <c r="X111" i="19"/>
  <c r="Z111" i="19"/>
  <c r="AD111" i="19"/>
  <c r="V113" i="19"/>
  <c r="U113" i="19"/>
  <c r="W113" i="19"/>
  <c r="AB115" i="19"/>
  <c r="X115" i="19"/>
  <c r="AA115" i="19"/>
  <c r="AD115" i="19"/>
  <c r="AC115" i="19"/>
  <c r="V117" i="19"/>
  <c r="U117" i="19"/>
  <c r="T117" i="19"/>
  <c r="W11" i="19"/>
  <c r="AB11" i="19"/>
  <c r="S12" i="19"/>
  <c r="X12" i="19"/>
  <c r="AC12" i="19"/>
  <c r="W13" i="19"/>
  <c r="S13" i="19"/>
  <c r="U13" i="19"/>
  <c r="Z13" i="19"/>
  <c r="V14" i="19"/>
  <c r="AB14" i="19"/>
  <c r="X15" i="19"/>
  <c r="AC15" i="19"/>
  <c r="T16" i="19"/>
  <c r="Y16" i="19"/>
  <c r="AD16" i="19"/>
  <c r="S17" i="19"/>
  <c r="X17" i="19"/>
  <c r="AD17" i="19"/>
  <c r="AC18" i="19"/>
  <c r="Y18" i="19"/>
  <c r="T18" i="19"/>
  <c r="Z18" i="19"/>
  <c r="U19" i="19"/>
  <c r="V20" i="19"/>
  <c r="AA20" i="19"/>
  <c r="T23" i="19"/>
  <c r="Y23" i="19"/>
  <c r="AD23" i="19"/>
  <c r="W25" i="19"/>
  <c r="AB25" i="19"/>
  <c r="S26" i="19"/>
  <c r="X26" i="19"/>
  <c r="AC26" i="19"/>
  <c r="T27" i="19"/>
  <c r="Y27" i="19"/>
  <c r="AD27" i="19"/>
  <c r="S29" i="19"/>
  <c r="X29" i="19"/>
  <c r="AC29" i="19"/>
  <c r="S30" i="19"/>
  <c r="X30" i="19"/>
  <c r="AC30" i="19"/>
  <c r="T31" i="19"/>
  <c r="Y31" i="19"/>
  <c r="AD31" i="19"/>
  <c r="W33" i="19"/>
  <c r="AB33" i="19"/>
  <c r="S34" i="19"/>
  <c r="X34" i="19"/>
  <c r="AC34" i="19"/>
  <c r="T35" i="19"/>
  <c r="Y35" i="19"/>
  <c r="AD35" i="19"/>
  <c r="W37" i="19"/>
  <c r="AB37" i="19"/>
  <c r="W38" i="19"/>
  <c r="S38" i="19"/>
  <c r="U38" i="19"/>
  <c r="Z38" i="19"/>
  <c r="AC39" i="19"/>
  <c r="Y39" i="19"/>
  <c r="T39" i="19"/>
  <c r="Z39" i="19"/>
  <c r="X40" i="19"/>
  <c r="AC40" i="19"/>
  <c r="X41" i="19"/>
  <c r="AC41" i="19"/>
  <c r="Y42" i="19"/>
  <c r="AD42" i="19"/>
  <c r="V43" i="19"/>
  <c r="AA43" i="19"/>
  <c r="W44" i="19"/>
  <c r="AB44" i="19"/>
  <c r="X45" i="19"/>
  <c r="AC45" i="19"/>
  <c r="Y46" i="19"/>
  <c r="AD46" i="19"/>
  <c r="V47" i="19"/>
  <c r="AA47" i="19"/>
  <c r="W48" i="19"/>
  <c r="AB48" i="19"/>
  <c r="X49" i="19"/>
  <c r="AC49" i="19"/>
  <c r="Y50" i="19"/>
  <c r="AD50" i="19"/>
  <c r="V51" i="19"/>
  <c r="AA51" i="19"/>
  <c r="W52" i="19"/>
  <c r="AB52" i="19"/>
  <c r="Y53" i="19"/>
  <c r="W66" i="19"/>
  <c r="S59" i="19"/>
  <c r="S66" i="19" s="1"/>
  <c r="AA59" i="19"/>
  <c r="T60" i="19"/>
  <c r="AB60" i="19"/>
  <c r="Y61" i="19"/>
  <c r="AA62" i="19"/>
  <c r="V63" i="19"/>
  <c r="U63" i="19"/>
  <c r="W63" i="19"/>
  <c r="Z64" i="19"/>
  <c r="AA64" i="19"/>
  <c r="AD64" i="19"/>
  <c r="X64" i="19"/>
  <c r="AC69" i="19"/>
  <c r="AC78" i="19" s="1"/>
  <c r="Y69" i="19"/>
  <c r="Y78" i="19" s="1"/>
  <c r="AB69" i="19"/>
  <c r="AB78" i="19" s="1"/>
  <c r="X69" i="19"/>
  <c r="AD69" i="19"/>
  <c r="X70" i="19"/>
  <c r="Y71" i="19"/>
  <c r="AD72" i="19"/>
  <c r="Z73" i="19"/>
  <c r="Y74" i="19"/>
  <c r="AD74" i="19"/>
  <c r="Z74" i="19"/>
  <c r="AC74" i="19"/>
  <c r="T74" i="19"/>
  <c r="AB74" i="19"/>
  <c r="W75" i="19"/>
  <c r="S75" i="19"/>
  <c r="V75" i="19"/>
  <c r="U75" i="19"/>
  <c r="AC75" i="19"/>
  <c r="Z76" i="19"/>
  <c r="Z87" i="19"/>
  <c r="AC88" i="19"/>
  <c r="Y88" i="19"/>
  <c r="AB88" i="19"/>
  <c r="X88" i="19"/>
  <c r="AD88" i="19"/>
  <c r="X89" i="19"/>
  <c r="Y90" i="19"/>
  <c r="AD91" i="19"/>
  <c r="Z92" i="19"/>
  <c r="AC93" i="19"/>
  <c r="Y93" i="19"/>
  <c r="AD93" i="19"/>
  <c r="Z93" i="19"/>
  <c r="T93" i="19"/>
  <c r="AB93" i="19"/>
  <c r="V94" i="19"/>
  <c r="W94" i="19"/>
  <c r="S94" i="19"/>
  <c r="U94" i="19"/>
  <c r="AC94" i="19"/>
  <c r="Z95" i="19"/>
  <c r="AC96" i="19"/>
  <c r="Y96" i="19"/>
  <c r="AB96" i="19"/>
  <c r="X96" i="19"/>
  <c r="AD96" i="19"/>
  <c r="X97" i="19"/>
  <c r="Y98" i="19"/>
  <c r="AD99" i="19"/>
  <c r="Z100" i="19"/>
  <c r="AD101" i="19"/>
  <c r="Z101" i="19"/>
  <c r="AC101" i="19"/>
  <c r="Y101" i="19"/>
  <c r="T101" i="19"/>
  <c r="AB101" i="19"/>
  <c r="W102" i="19"/>
  <c r="S102" i="19"/>
  <c r="V102" i="19"/>
  <c r="U102" i="19"/>
  <c r="AC102" i="19"/>
  <c r="Z103" i="19"/>
  <c r="AE103" i="19" s="1"/>
  <c r="AB104" i="19"/>
  <c r="X104" i="19"/>
  <c r="AC104" i="19"/>
  <c r="Y104" i="19"/>
  <c r="AD104" i="19"/>
  <c r="X105" i="19"/>
  <c r="Y106" i="19"/>
  <c r="AD107" i="19"/>
  <c r="Z108" i="19"/>
  <c r="AC109" i="19"/>
  <c r="Y109" i="19"/>
  <c r="AD109" i="19"/>
  <c r="Z109" i="19"/>
  <c r="T109" i="19"/>
  <c r="AB109" i="19"/>
  <c r="X110" i="19"/>
  <c r="AA113" i="19"/>
  <c r="W114" i="19"/>
  <c r="S114" i="19"/>
  <c r="V114" i="19"/>
  <c r="U114" i="19"/>
  <c r="AD116" i="19"/>
  <c r="X118" i="19"/>
  <c r="AA121" i="19"/>
  <c r="W122" i="19"/>
  <c r="S122" i="19"/>
  <c r="V122" i="19"/>
  <c r="U122" i="19"/>
  <c r="AD124" i="19"/>
  <c r="X126" i="19"/>
  <c r="AA129" i="19"/>
  <c r="W130" i="19"/>
  <c r="S130" i="19"/>
  <c r="V130" i="19"/>
  <c r="U130" i="19"/>
  <c r="AD132" i="19"/>
  <c r="X134" i="19"/>
  <c r="W138" i="19"/>
  <c r="S138" i="19"/>
  <c r="V138" i="19"/>
  <c r="U138" i="19"/>
  <c r="AD140" i="19"/>
  <c r="V146" i="19"/>
  <c r="W146" i="19"/>
  <c r="S146" i="19"/>
  <c r="U146" i="19"/>
  <c r="AD153" i="19"/>
  <c r="Z153" i="19"/>
  <c r="AC153" i="19"/>
  <c r="Y153" i="19"/>
  <c r="AA153" i="19"/>
  <c r="X153" i="19"/>
  <c r="W153" i="19"/>
  <c r="V110" i="19"/>
  <c r="W110" i="19"/>
  <c r="S110" i="19"/>
  <c r="U110" i="19"/>
  <c r="AC112" i="19"/>
  <c r="Y112" i="19"/>
  <c r="AB112" i="19"/>
  <c r="X112" i="19"/>
  <c r="AD112" i="19"/>
  <c r="AD117" i="19"/>
  <c r="Z117" i="19"/>
  <c r="AC117" i="19"/>
  <c r="Y117" i="19"/>
  <c r="AB117" i="19"/>
  <c r="W118" i="19"/>
  <c r="S118" i="19"/>
  <c r="V118" i="19"/>
  <c r="U118" i="19"/>
  <c r="AC120" i="19"/>
  <c r="Y120" i="19"/>
  <c r="AB120" i="19"/>
  <c r="X120" i="19"/>
  <c r="AD120" i="19"/>
  <c r="AD125" i="19"/>
  <c r="Z125" i="19"/>
  <c r="AC125" i="19"/>
  <c r="Y125" i="19"/>
  <c r="AB125" i="19"/>
  <c r="W126" i="19"/>
  <c r="S126" i="19"/>
  <c r="V126" i="19"/>
  <c r="U126" i="19"/>
  <c r="AC128" i="19"/>
  <c r="Y128" i="19"/>
  <c r="AB128" i="19"/>
  <c r="X128" i="19"/>
  <c r="AD128" i="19"/>
  <c r="AC133" i="19"/>
  <c r="Y133" i="19"/>
  <c r="AD133" i="19"/>
  <c r="Z133" i="19"/>
  <c r="AB133" i="19"/>
  <c r="V134" i="19"/>
  <c r="W134" i="19"/>
  <c r="S134" i="19"/>
  <c r="U134" i="19"/>
  <c r="AC136" i="19"/>
  <c r="Y136" i="19"/>
  <c r="AB136" i="19"/>
  <c r="X136" i="19"/>
  <c r="AD136" i="19"/>
  <c r="AD141" i="19"/>
  <c r="Z141" i="19"/>
  <c r="AC141" i="19"/>
  <c r="Y141" i="19"/>
  <c r="AB141" i="19"/>
  <c r="W142" i="19"/>
  <c r="S142" i="19"/>
  <c r="V142" i="19"/>
  <c r="U142" i="19"/>
  <c r="AB144" i="19"/>
  <c r="X144" i="19"/>
  <c r="AC144" i="19"/>
  <c r="Y144" i="19"/>
  <c r="AD144" i="19"/>
  <c r="AC149" i="19"/>
  <c r="Y149" i="19"/>
  <c r="AD149" i="19"/>
  <c r="Z149" i="19"/>
  <c r="AB149" i="19"/>
  <c r="V150" i="19"/>
  <c r="W150" i="19"/>
  <c r="S150" i="19"/>
  <c r="U150" i="19"/>
  <c r="AC152" i="19"/>
  <c r="Y152" i="19"/>
  <c r="AB152" i="19"/>
  <c r="X152" i="19"/>
  <c r="AD152" i="19"/>
  <c r="Y154" i="19"/>
  <c r="Z156" i="19"/>
  <c r="U165" i="19"/>
  <c r="V165" i="19"/>
  <c r="W165" i="19"/>
  <c r="AD166" i="19"/>
  <c r="Z166" i="19"/>
  <c r="AA166" i="19"/>
  <c r="X166" i="19"/>
  <c r="AA167" i="19"/>
  <c r="AB167" i="19"/>
  <c r="X167" i="19"/>
  <c r="AC167" i="19"/>
  <c r="V169" i="19"/>
  <c r="W169" i="19"/>
  <c r="S169" i="19"/>
  <c r="U169" i="19"/>
  <c r="Y171" i="19"/>
  <c r="AD173" i="19"/>
  <c r="Z173" i="19"/>
  <c r="AA173" i="19"/>
  <c r="AB173" i="19"/>
  <c r="AC176" i="19"/>
  <c r="Y176" i="19"/>
  <c r="AB176" i="19"/>
  <c r="AA176" i="19"/>
  <c r="AB178" i="19"/>
  <c r="X178" i="19"/>
  <c r="AC178" i="19"/>
  <c r="AA178" i="19"/>
  <c r="AE178" i="19" s="1"/>
  <c r="Z178" i="19"/>
  <c r="AB182" i="19"/>
  <c r="X182" i="19"/>
  <c r="Z182" i="19"/>
  <c r="AD182" i="19"/>
  <c r="Y182" i="19"/>
  <c r="AA183" i="19"/>
  <c r="AD185" i="19"/>
  <c r="Z185" i="19"/>
  <c r="Y185" i="19"/>
  <c r="AC185" i="19"/>
  <c r="X185" i="19"/>
  <c r="AB188" i="19"/>
  <c r="X188" i="19"/>
  <c r="AD188" i="19"/>
  <c r="Y188" i="19"/>
  <c r="AC188" i="19"/>
  <c r="AD189" i="19"/>
  <c r="Z189" i="19"/>
  <c r="AB189" i="19"/>
  <c r="AA189" i="19"/>
  <c r="AD193" i="19"/>
  <c r="Z193" i="19"/>
  <c r="AA193" i="19"/>
  <c r="AB193" i="19"/>
  <c r="AD197" i="19"/>
  <c r="Z197" i="19"/>
  <c r="AB197" i="19"/>
  <c r="AA197" i="19"/>
  <c r="AC202" i="19"/>
  <c r="Y202" i="19"/>
  <c r="AD202" i="19"/>
  <c r="AB202" i="19"/>
  <c r="AA202" i="19"/>
  <c r="AC203" i="19"/>
  <c r="Y203" i="19"/>
  <c r="AD203" i="19"/>
  <c r="X203" i="19"/>
  <c r="Z203" i="19"/>
  <c r="U204" i="19"/>
  <c r="S204" i="19"/>
  <c r="V204" i="19"/>
  <c r="T204" i="19"/>
  <c r="AA221" i="19"/>
  <c r="AC221" i="19"/>
  <c r="X221" i="19"/>
  <c r="AB221" i="19"/>
  <c r="Z221" i="19"/>
  <c r="Y221" i="19"/>
  <c r="AA230" i="19"/>
  <c r="AB231" i="19"/>
  <c r="AD232" i="19"/>
  <c r="Z232" i="19"/>
  <c r="AB232" i="19"/>
  <c r="X232" i="19"/>
  <c r="Y232" i="19"/>
  <c r="AA232" i="19"/>
  <c r="W241" i="19"/>
  <c r="S241" i="19"/>
  <c r="T241" i="19"/>
  <c r="V241" i="19"/>
  <c r="V244" i="19"/>
  <c r="W244" i="19"/>
  <c r="U244" i="19"/>
  <c r="S244" i="19"/>
  <c r="AA245" i="19"/>
  <c r="AC245" i="19"/>
  <c r="X245" i="19"/>
  <c r="AB245" i="19"/>
  <c r="AD245" i="19"/>
  <c r="Y245" i="19"/>
  <c r="AD252" i="19"/>
  <c r="Z252" i="19"/>
  <c r="AB252" i="19"/>
  <c r="AC252" i="19"/>
  <c r="AA252" i="19"/>
  <c r="Y252" i="19"/>
  <c r="X252" i="19"/>
  <c r="AA253" i="19"/>
  <c r="AC253" i="19"/>
  <c r="X253" i="19"/>
  <c r="AB253" i="19"/>
  <c r="AD253" i="19"/>
  <c r="Z253" i="19"/>
  <c r="Y253" i="19"/>
  <c r="U149" i="19"/>
  <c r="V149" i="19"/>
  <c r="W149" i="19"/>
  <c r="AD150" i="19"/>
  <c r="Z150" i="19"/>
  <c r="AA150" i="19"/>
  <c r="X150" i="19"/>
  <c r="AA151" i="19"/>
  <c r="AB151" i="19"/>
  <c r="X151" i="19"/>
  <c r="AC151" i="19"/>
  <c r="AB154" i="19"/>
  <c r="R158" i="19"/>
  <c r="V162" i="19"/>
  <c r="W162" i="19"/>
  <c r="S162" i="19"/>
  <c r="U162" i="19"/>
  <c r="AB164" i="19"/>
  <c r="X164" i="19"/>
  <c r="AC164" i="19"/>
  <c r="Y164" i="19"/>
  <c r="AD164" i="19"/>
  <c r="AD169" i="19"/>
  <c r="Z169" i="19"/>
  <c r="AA169" i="19"/>
  <c r="X169" i="19"/>
  <c r="AB170" i="19"/>
  <c r="X170" i="19"/>
  <c r="AC170" i="19"/>
  <c r="Y170" i="19"/>
  <c r="AD170" i="19"/>
  <c r="V173" i="19"/>
  <c r="U173" i="19"/>
  <c r="W173" i="19"/>
  <c r="AD177" i="19"/>
  <c r="Z177" i="19"/>
  <c r="Y177" i="19"/>
  <c r="AC177" i="19"/>
  <c r="X177" i="19"/>
  <c r="AB180" i="19"/>
  <c r="X180" i="19"/>
  <c r="AD180" i="19"/>
  <c r="Y180" i="19"/>
  <c r="AC180" i="19"/>
  <c r="AD181" i="19"/>
  <c r="Z181" i="19"/>
  <c r="AB181" i="19"/>
  <c r="AA181" i="19"/>
  <c r="AD187" i="19"/>
  <c r="Z187" i="19"/>
  <c r="AA187" i="19"/>
  <c r="Y187" i="19"/>
  <c r="V189" i="19"/>
  <c r="W189" i="19"/>
  <c r="U189" i="19"/>
  <c r="AB191" i="19"/>
  <c r="X191" i="19"/>
  <c r="AD191" i="19"/>
  <c r="Y191" i="19"/>
  <c r="AC191" i="19"/>
  <c r="V193" i="19"/>
  <c r="U193" i="19"/>
  <c r="W193" i="19"/>
  <c r="AB195" i="19"/>
  <c r="X195" i="19"/>
  <c r="AD195" i="19"/>
  <c r="Y195" i="19"/>
  <c r="AC195" i="19"/>
  <c r="V197" i="19"/>
  <c r="W197" i="19"/>
  <c r="U197" i="19"/>
  <c r="R199" i="19"/>
  <c r="AD206" i="19"/>
  <c r="Z206" i="19"/>
  <c r="Y206" i="19"/>
  <c r="X206" i="19"/>
  <c r="AC206" i="19"/>
  <c r="AB222" i="19"/>
  <c r="X222" i="19"/>
  <c r="AD222" i="19"/>
  <c r="Y222" i="19"/>
  <c r="Z222" i="19"/>
  <c r="AC223" i="19"/>
  <c r="Y223" i="19"/>
  <c r="AA223" i="19"/>
  <c r="Z223" i="19"/>
  <c r="X223" i="19"/>
  <c r="AA229" i="19"/>
  <c r="AC229" i="19"/>
  <c r="X229" i="19"/>
  <c r="Z229" i="19"/>
  <c r="AB229" i="19"/>
  <c r="Y229" i="19"/>
  <c r="AC232" i="19"/>
  <c r="AA241" i="19"/>
  <c r="AC241" i="19"/>
  <c r="X241" i="19"/>
  <c r="Y241" i="19"/>
  <c r="AB241" i="19"/>
  <c r="Z241" i="19"/>
  <c r="AD241" i="19"/>
  <c r="Z245" i="19"/>
  <c r="W154" i="19"/>
  <c r="S154" i="19"/>
  <c r="V154" i="19"/>
  <c r="U154" i="19"/>
  <c r="AC156" i="19"/>
  <c r="Y156" i="19"/>
  <c r="AB156" i="19"/>
  <c r="X156" i="19"/>
  <c r="AD156" i="19"/>
  <c r="K215" i="19"/>
  <c r="K343" i="19" s="1"/>
  <c r="K358" i="19" s="1"/>
  <c r="AD162" i="19"/>
  <c r="Z162" i="19"/>
  <c r="AA162" i="19"/>
  <c r="X162" i="19"/>
  <c r="AA163" i="19"/>
  <c r="AB163" i="19"/>
  <c r="X163" i="19"/>
  <c r="AC163" i="19"/>
  <c r="Y169" i="19"/>
  <c r="V171" i="19"/>
  <c r="W171" i="19"/>
  <c r="S171" i="19"/>
  <c r="U171" i="19"/>
  <c r="AA177" i="19"/>
  <c r="AD179" i="19"/>
  <c r="Z179" i="19"/>
  <c r="AA179" i="19"/>
  <c r="Y179" i="19"/>
  <c r="V181" i="19"/>
  <c r="W181" i="19"/>
  <c r="U181" i="19"/>
  <c r="X181" i="19"/>
  <c r="V183" i="19"/>
  <c r="S183" i="19"/>
  <c r="W183" i="19"/>
  <c r="U183" i="19"/>
  <c r="AB184" i="19"/>
  <c r="X184" i="19"/>
  <c r="AA184" i="19"/>
  <c r="Z184" i="19"/>
  <c r="AC184" i="19"/>
  <c r="X187" i="19"/>
  <c r="W190" i="19"/>
  <c r="S190" i="19"/>
  <c r="V190" i="19"/>
  <c r="U190" i="19"/>
  <c r="W194" i="19"/>
  <c r="S194" i="19"/>
  <c r="V194" i="19"/>
  <c r="U194" i="19"/>
  <c r="AC205" i="19"/>
  <c r="Y205" i="19"/>
  <c r="AD205" i="19"/>
  <c r="X205" i="19"/>
  <c r="Z205" i="19"/>
  <c r="V207" i="19"/>
  <c r="S207" i="19"/>
  <c r="W207" i="19"/>
  <c r="U207" i="19"/>
  <c r="V224" i="19"/>
  <c r="W224" i="19"/>
  <c r="S224" i="19"/>
  <c r="U224" i="19"/>
  <c r="W225" i="19"/>
  <c r="S225" i="19"/>
  <c r="V225" i="19"/>
  <c r="U225" i="19"/>
  <c r="AB230" i="19"/>
  <c r="X230" i="19"/>
  <c r="AD230" i="19"/>
  <c r="Y230" i="19"/>
  <c r="Z230" i="19"/>
  <c r="AC231" i="19"/>
  <c r="Y231" i="19"/>
  <c r="AA231" i="19"/>
  <c r="X231" i="19"/>
  <c r="Z231" i="19"/>
  <c r="AC235" i="19"/>
  <c r="Y235" i="19"/>
  <c r="AA235" i="19"/>
  <c r="AD235" i="19"/>
  <c r="X235" i="19"/>
  <c r="T244" i="19"/>
  <c r="AC255" i="19"/>
  <c r="Y255" i="19"/>
  <c r="AA255" i="19"/>
  <c r="Z255" i="19"/>
  <c r="AB255" i="19"/>
  <c r="X255" i="19"/>
  <c r="AA154" i="19"/>
  <c r="AD154" i="19"/>
  <c r="Z154" i="19"/>
  <c r="X154" i="19"/>
  <c r="AB155" i="19"/>
  <c r="X155" i="19"/>
  <c r="AA155" i="19"/>
  <c r="AC155" i="19"/>
  <c r="Z164" i="19"/>
  <c r="AC165" i="19"/>
  <c r="Y165" i="19"/>
  <c r="AD165" i="19"/>
  <c r="Z165" i="19"/>
  <c r="AB165" i="19"/>
  <c r="V166" i="19"/>
  <c r="W166" i="19"/>
  <c r="S166" i="19"/>
  <c r="U166" i="19"/>
  <c r="AB168" i="19"/>
  <c r="X168" i="19"/>
  <c r="AC168" i="19"/>
  <c r="Y168" i="19"/>
  <c r="AD168" i="19"/>
  <c r="AB169" i="19"/>
  <c r="Z170" i="19"/>
  <c r="AD171" i="19"/>
  <c r="Z171" i="19"/>
  <c r="AA171" i="19"/>
  <c r="X171" i="19"/>
  <c r="AB172" i="19"/>
  <c r="X172" i="19"/>
  <c r="AC172" i="19"/>
  <c r="Y172" i="19"/>
  <c r="AD172" i="19"/>
  <c r="S173" i="19"/>
  <c r="W174" i="19"/>
  <c r="S174" i="19"/>
  <c r="V174" i="19"/>
  <c r="U174" i="19"/>
  <c r="AB175" i="19"/>
  <c r="X175" i="19"/>
  <c r="Y175" i="19"/>
  <c r="Z175" i="19"/>
  <c r="AE175" i="19" s="1"/>
  <c r="AD175" i="19"/>
  <c r="AB177" i="19"/>
  <c r="X179" i="19"/>
  <c r="Z180" i="19"/>
  <c r="Y181" i="19"/>
  <c r="AD183" i="19"/>
  <c r="Z183" i="19"/>
  <c r="AC183" i="19"/>
  <c r="X183" i="19"/>
  <c r="AB183" i="19"/>
  <c r="Y183" i="19"/>
  <c r="AD184" i="19"/>
  <c r="AB186" i="19"/>
  <c r="X186" i="19"/>
  <c r="AC186" i="19"/>
  <c r="AA186" i="19"/>
  <c r="Z186" i="19"/>
  <c r="AB187" i="19"/>
  <c r="S189" i="19"/>
  <c r="Z191" i="19"/>
  <c r="S193" i="19"/>
  <c r="Z195" i="19"/>
  <c r="AA205" i="19"/>
  <c r="AB209" i="19"/>
  <c r="X209" i="19"/>
  <c r="Z209" i="19"/>
  <c r="AC209" i="19"/>
  <c r="AA209" i="19"/>
  <c r="AD209" i="19"/>
  <c r="AD224" i="19"/>
  <c r="Z224" i="19"/>
  <c r="AB224" i="19"/>
  <c r="Y224" i="19"/>
  <c r="X224" i="19"/>
  <c r="AA224" i="19"/>
  <c r="AD228" i="19"/>
  <c r="Z228" i="19"/>
  <c r="AB228" i="19"/>
  <c r="AA228" i="19"/>
  <c r="AC228" i="19"/>
  <c r="X228" i="19"/>
  <c r="V232" i="19"/>
  <c r="W232" i="19"/>
  <c r="S232" i="19"/>
  <c r="U232" i="19"/>
  <c r="W233" i="19"/>
  <c r="S233" i="19"/>
  <c r="V233" i="19"/>
  <c r="U233" i="19"/>
  <c r="V236" i="19"/>
  <c r="W236" i="19"/>
  <c r="U236" i="19"/>
  <c r="T236" i="19"/>
  <c r="S236" i="19"/>
  <c r="AD244" i="19"/>
  <c r="Z244" i="19"/>
  <c r="AB244" i="19"/>
  <c r="AC244" i="19"/>
  <c r="Y244" i="19"/>
  <c r="AA244" i="19"/>
  <c r="X244" i="19"/>
  <c r="W249" i="19"/>
  <c r="S249" i="19"/>
  <c r="T249" i="19"/>
  <c r="V249" i="19"/>
  <c r="AD256" i="19"/>
  <c r="Z256" i="19"/>
  <c r="AB256" i="19"/>
  <c r="Y256" i="19"/>
  <c r="AC256" i="19"/>
  <c r="AA256" i="19"/>
  <c r="T58" i="19"/>
  <c r="T66" i="19" s="1"/>
  <c r="T62" i="19"/>
  <c r="T69" i="19"/>
  <c r="T78" i="19" s="1"/>
  <c r="T73" i="19"/>
  <c r="T88" i="19"/>
  <c r="AE88" i="19" s="1"/>
  <c r="T100" i="19"/>
  <c r="T112" i="19"/>
  <c r="T116" i="19"/>
  <c r="AE116" i="19" s="1"/>
  <c r="T120" i="19"/>
  <c r="T124" i="19"/>
  <c r="T128" i="19"/>
  <c r="T136" i="19"/>
  <c r="T140" i="19"/>
  <c r="AE140" i="19" s="1"/>
  <c r="T152" i="19"/>
  <c r="T156" i="19"/>
  <c r="O215" i="19"/>
  <c r="O343" i="19" s="1"/>
  <c r="O358" i="19" s="1"/>
  <c r="V176" i="19"/>
  <c r="T179" i="19"/>
  <c r="T187" i="19"/>
  <c r="AB190" i="19"/>
  <c r="AB194" i="19"/>
  <c r="AC196" i="19"/>
  <c r="Y196" i="19"/>
  <c r="Z196" i="19"/>
  <c r="V202" i="19"/>
  <c r="U203" i="19"/>
  <c r="S203" i="19"/>
  <c r="W203" i="19"/>
  <c r="U205" i="19"/>
  <c r="S205" i="19"/>
  <c r="W205" i="19"/>
  <c r="W208" i="19"/>
  <c r="S208" i="19"/>
  <c r="T208" i="19"/>
  <c r="V208" i="19"/>
  <c r="AC210" i="19"/>
  <c r="Y210" i="19"/>
  <c r="AB210" i="19"/>
  <c r="AA210" i="19"/>
  <c r="R212" i="19"/>
  <c r="AA225" i="19"/>
  <c r="AC225" i="19"/>
  <c r="X225" i="19"/>
  <c r="AD225" i="19"/>
  <c r="AA233" i="19"/>
  <c r="AC233" i="19"/>
  <c r="X233" i="19"/>
  <c r="AD233" i="19"/>
  <c r="AB238" i="19"/>
  <c r="X238" i="19"/>
  <c r="AD238" i="19"/>
  <c r="Y238" i="19"/>
  <c r="Z238" i="19"/>
  <c r="V240" i="19"/>
  <c r="W240" i="19"/>
  <c r="S240" i="19"/>
  <c r="U240" i="19"/>
  <c r="AA249" i="19"/>
  <c r="AC249" i="19"/>
  <c r="X249" i="19"/>
  <c r="Y249" i="19"/>
  <c r="V252" i="19"/>
  <c r="W252" i="19"/>
  <c r="U252" i="19"/>
  <c r="AA254" i="19"/>
  <c r="W257" i="19"/>
  <c r="S257" i="19"/>
  <c r="U257" i="19"/>
  <c r="X259" i="19"/>
  <c r="U92" i="19"/>
  <c r="U96" i="19"/>
  <c r="U104" i="19"/>
  <c r="AE104" i="19" s="1"/>
  <c r="U108" i="19"/>
  <c r="U132" i="19"/>
  <c r="U144" i="19"/>
  <c r="U148" i="19"/>
  <c r="H215" i="19"/>
  <c r="H343" i="19" s="1"/>
  <c r="H358" i="19" s="1"/>
  <c r="L215" i="19"/>
  <c r="P215" i="19"/>
  <c r="U164" i="19"/>
  <c r="AE164" i="19" s="1"/>
  <c r="U168" i="19"/>
  <c r="U170" i="19"/>
  <c r="U172" i="19"/>
  <c r="X174" i="19"/>
  <c r="AC174" i="19"/>
  <c r="W176" i="19"/>
  <c r="T177" i="19"/>
  <c r="AE177" i="19" s="1"/>
  <c r="U179" i="19"/>
  <c r="T185" i="19"/>
  <c r="U187" i="19"/>
  <c r="X190" i="19"/>
  <c r="AC190" i="19"/>
  <c r="V192" i="19"/>
  <c r="AA192" i="19"/>
  <c r="X194" i="19"/>
  <c r="AC194" i="19"/>
  <c r="V196" i="19"/>
  <c r="AA196" i="19"/>
  <c r="W202" i="19"/>
  <c r="AC204" i="19"/>
  <c r="Y204" i="19"/>
  <c r="AD204" i="19"/>
  <c r="X204" i="19"/>
  <c r="AB204" i="19"/>
  <c r="Y207" i="19"/>
  <c r="AA208" i="19"/>
  <c r="AD208" i="19"/>
  <c r="Y208" i="19"/>
  <c r="X208" i="19"/>
  <c r="U210" i="19"/>
  <c r="W210" i="19"/>
  <c r="V210" i="19"/>
  <c r="AD210" i="19"/>
  <c r="W221" i="19"/>
  <c r="S221" i="19"/>
  <c r="U221" i="19"/>
  <c r="Y225" i="19"/>
  <c r="AB226" i="19"/>
  <c r="X226" i="19"/>
  <c r="AD226" i="19"/>
  <c r="Y226" i="19"/>
  <c r="AC226" i="19"/>
  <c r="W229" i="19"/>
  <c r="S229" i="19"/>
  <c r="U229" i="19"/>
  <c r="Y233" i="19"/>
  <c r="AD236" i="19"/>
  <c r="Z236" i="19"/>
  <c r="AB236" i="19"/>
  <c r="AC236" i="19"/>
  <c r="AA237" i="19"/>
  <c r="AC237" i="19"/>
  <c r="X237" i="19"/>
  <c r="AB237" i="19"/>
  <c r="Y237" i="19"/>
  <c r="AC239" i="19"/>
  <c r="Y239" i="19"/>
  <c r="AA239" i="19"/>
  <c r="Z239" i="19"/>
  <c r="AD239" i="19"/>
  <c r="AD240" i="19"/>
  <c r="Z240" i="19"/>
  <c r="AB240" i="19"/>
  <c r="Y240" i="19"/>
  <c r="X240" i="19"/>
  <c r="AB246" i="19"/>
  <c r="X246" i="19"/>
  <c r="AD246" i="19"/>
  <c r="Y246" i="19"/>
  <c r="Z246" i="19"/>
  <c r="V248" i="19"/>
  <c r="W248" i="19"/>
  <c r="S248" i="19"/>
  <c r="U248" i="19"/>
  <c r="Z249" i="19"/>
  <c r="AC251" i="19"/>
  <c r="Y251" i="19"/>
  <c r="AA251" i="19"/>
  <c r="AD251" i="19"/>
  <c r="AB251" i="19"/>
  <c r="AA257" i="19"/>
  <c r="AC257" i="19"/>
  <c r="X257" i="19"/>
  <c r="Y257" i="19"/>
  <c r="V257" i="19"/>
  <c r="V260" i="19"/>
  <c r="W260" i="19"/>
  <c r="U260" i="19"/>
  <c r="X260" i="19"/>
  <c r="AA262" i="19"/>
  <c r="W265" i="19"/>
  <c r="S265" i="19"/>
  <c r="U265" i="19"/>
  <c r="X267" i="19"/>
  <c r="AD268" i="19"/>
  <c r="Z268" i="19"/>
  <c r="AB268" i="19"/>
  <c r="AC268" i="19"/>
  <c r="AA269" i="19"/>
  <c r="AC269" i="19"/>
  <c r="X269" i="19"/>
  <c r="AB269" i="19"/>
  <c r="Y269" i="19"/>
  <c r="AC271" i="19"/>
  <c r="Y271" i="19"/>
  <c r="AA271" i="19"/>
  <c r="Z271" i="19"/>
  <c r="AD271" i="19"/>
  <c r="AD272" i="19"/>
  <c r="Z272" i="19"/>
  <c r="AB272" i="19"/>
  <c r="Y272" i="19"/>
  <c r="X272" i="19"/>
  <c r="AB273" i="19"/>
  <c r="S276" i="19"/>
  <c r="AB278" i="19"/>
  <c r="X278" i="19"/>
  <c r="AD278" i="19"/>
  <c r="Y278" i="19"/>
  <c r="Z278" i="19"/>
  <c r="V280" i="19"/>
  <c r="W280" i="19"/>
  <c r="S280" i="19"/>
  <c r="U280" i="19"/>
  <c r="AC283" i="19"/>
  <c r="Y283" i="19"/>
  <c r="AA283" i="19"/>
  <c r="AD283" i="19"/>
  <c r="AB283" i="19"/>
  <c r="Y284" i="19"/>
  <c r="AD285" i="19"/>
  <c r="X287" i="19"/>
  <c r="AA289" i="19"/>
  <c r="AC289" i="19"/>
  <c r="X289" i="19"/>
  <c r="Y289" i="19"/>
  <c r="V292" i="19"/>
  <c r="W292" i="19"/>
  <c r="U292" i="19"/>
  <c r="X292" i="19"/>
  <c r="AA294" i="19"/>
  <c r="W297" i="19"/>
  <c r="S297" i="19"/>
  <c r="U297" i="19"/>
  <c r="AA306" i="19"/>
  <c r="AC306" i="19"/>
  <c r="X306" i="19"/>
  <c r="Z306" i="19"/>
  <c r="AB306" i="19"/>
  <c r="Y306" i="19"/>
  <c r="V319" i="19"/>
  <c r="W319" i="19"/>
  <c r="U319" i="19"/>
  <c r="T319" i="19"/>
  <c r="T321" i="19" s="1"/>
  <c r="T324" i="19" s="1"/>
  <c r="R321" i="19"/>
  <c r="AC331" i="19"/>
  <c r="Y331" i="19"/>
  <c r="AB331" i="19"/>
  <c r="X331" i="19"/>
  <c r="Z331" i="19"/>
  <c r="W335" i="19"/>
  <c r="S335" i="19"/>
  <c r="V335" i="19"/>
  <c r="U335" i="19"/>
  <c r="AD22" i="20"/>
  <c r="Z22" i="20"/>
  <c r="AB22" i="20"/>
  <c r="AC22" i="20"/>
  <c r="Y22" i="20"/>
  <c r="X22" i="20"/>
  <c r="AA22" i="20"/>
  <c r="AC247" i="19"/>
  <c r="Y247" i="19"/>
  <c r="AA247" i="19"/>
  <c r="Z247" i="19"/>
  <c r="AD247" i="19"/>
  <c r="AD248" i="19"/>
  <c r="Z248" i="19"/>
  <c r="AB248" i="19"/>
  <c r="Y248" i="19"/>
  <c r="X248" i="19"/>
  <c r="AB254" i="19"/>
  <c r="X254" i="19"/>
  <c r="AD254" i="19"/>
  <c r="Y254" i="19"/>
  <c r="Z254" i="19"/>
  <c r="V256" i="19"/>
  <c r="W256" i="19"/>
  <c r="S256" i="19"/>
  <c r="U256" i="19"/>
  <c r="AC259" i="19"/>
  <c r="Y259" i="19"/>
  <c r="AA259" i="19"/>
  <c r="AD259" i="19"/>
  <c r="AB259" i="19"/>
  <c r="AA265" i="19"/>
  <c r="AC265" i="19"/>
  <c r="X265" i="19"/>
  <c r="Y265" i="19"/>
  <c r="V268" i="19"/>
  <c r="W268" i="19"/>
  <c r="U268" i="19"/>
  <c r="W273" i="19"/>
  <c r="S273" i="19"/>
  <c r="U273" i="19"/>
  <c r="AD276" i="19"/>
  <c r="Z276" i="19"/>
  <c r="AB276" i="19"/>
  <c r="AC276" i="19"/>
  <c r="AA277" i="19"/>
  <c r="AC277" i="19"/>
  <c r="X277" i="19"/>
  <c r="AB277" i="19"/>
  <c r="Y277" i="19"/>
  <c r="AC279" i="19"/>
  <c r="Y279" i="19"/>
  <c r="AA279" i="19"/>
  <c r="Z279" i="19"/>
  <c r="AD279" i="19"/>
  <c r="AD280" i="19"/>
  <c r="Z280" i="19"/>
  <c r="AB280" i="19"/>
  <c r="Y280" i="19"/>
  <c r="X280" i="19"/>
  <c r="AB286" i="19"/>
  <c r="X286" i="19"/>
  <c r="AD286" i="19"/>
  <c r="Y286" i="19"/>
  <c r="Z286" i="19"/>
  <c r="V288" i="19"/>
  <c r="W288" i="19"/>
  <c r="S288" i="19"/>
  <c r="U288" i="19"/>
  <c r="AC291" i="19"/>
  <c r="Y291" i="19"/>
  <c r="AA291" i="19"/>
  <c r="AD291" i="19"/>
  <c r="AB291" i="19"/>
  <c r="AA297" i="19"/>
  <c r="AC297" i="19"/>
  <c r="X297" i="19"/>
  <c r="AD297" i="19"/>
  <c r="Y297" i="19"/>
  <c r="U304" i="19"/>
  <c r="W304" i="19"/>
  <c r="S304" i="19"/>
  <c r="T304" i="19"/>
  <c r="AB328" i="19"/>
  <c r="X328" i="19"/>
  <c r="AC328" i="19"/>
  <c r="Z328" i="19"/>
  <c r="AA328" i="19"/>
  <c r="AD328" i="19"/>
  <c r="AA329" i="19"/>
  <c r="Z329" i="19"/>
  <c r="AB329" i="19"/>
  <c r="AC329" i="19"/>
  <c r="X329" i="19"/>
  <c r="U331" i="19"/>
  <c r="W331" i="19"/>
  <c r="S331" i="19"/>
  <c r="AB332" i="19"/>
  <c r="X332" i="19"/>
  <c r="Z332" i="19"/>
  <c r="AD332" i="19"/>
  <c r="Y332" i="19"/>
  <c r="AA11" i="20"/>
  <c r="AC11" i="20"/>
  <c r="X11" i="20"/>
  <c r="Y11" i="20"/>
  <c r="AB11" i="20"/>
  <c r="Z11" i="20"/>
  <c r="AC21" i="20"/>
  <c r="Y21" i="20"/>
  <c r="AA21" i="20"/>
  <c r="AD21" i="20"/>
  <c r="Z21" i="20"/>
  <c r="X21" i="20"/>
  <c r="V22" i="20"/>
  <c r="W22" i="20"/>
  <c r="U22" i="20"/>
  <c r="S22" i="20"/>
  <c r="AA27" i="20"/>
  <c r="AC27" i="20"/>
  <c r="X27" i="20"/>
  <c r="Y27" i="20"/>
  <c r="AB27" i="20"/>
  <c r="Z27" i="20"/>
  <c r="AD46" i="20"/>
  <c r="Z46" i="20"/>
  <c r="AB46" i="20"/>
  <c r="AC46" i="20"/>
  <c r="AA46" i="20"/>
  <c r="Y46" i="20"/>
  <c r="X46" i="20"/>
  <c r="AB262" i="19"/>
  <c r="X262" i="19"/>
  <c r="AD262" i="19"/>
  <c r="Y262" i="19"/>
  <c r="Z262" i="19"/>
  <c r="V264" i="19"/>
  <c r="W264" i="19"/>
  <c r="S264" i="19"/>
  <c r="U264" i="19"/>
  <c r="AC267" i="19"/>
  <c r="Y267" i="19"/>
  <c r="AA267" i="19"/>
  <c r="AD267" i="19"/>
  <c r="AB267" i="19"/>
  <c r="AA273" i="19"/>
  <c r="AC273" i="19"/>
  <c r="X273" i="19"/>
  <c r="Y273" i="19"/>
  <c r="V276" i="19"/>
  <c r="W276" i="19"/>
  <c r="U276" i="19"/>
  <c r="W281" i="19"/>
  <c r="S281" i="19"/>
  <c r="U281" i="19"/>
  <c r="AD284" i="19"/>
  <c r="Z284" i="19"/>
  <c r="AB284" i="19"/>
  <c r="AC284" i="19"/>
  <c r="AA285" i="19"/>
  <c r="AC285" i="19"/>
  <c r="X285" i="19"/>
  <c r="AB285" i="19"/>
  <c r="Y285" i="19"/>
  <c r="AC287" i="19"/>
  <c r="Y287" i="19"/>
  <c r="AA287" i="19"/>
  <c r="Z287" i="19"/>
  <c r="AD287" i="19"/>
  <c r="AD288" i="19"/>
  <c r="Z288" i="19"/>
  <c r="AB288" i="19"/>
  <c r="Y288" i="19"/>
  <c r="X288" i="19"/>
  <c r="AB294" i="19"/>
  <c r="X294" i="19"/>
  <c r="AD294" i="19"/>
  <c r="Y294" i="19"/>
  <c r="Z294" i="19"/>
  <c r="V296" i="19"/>
  <c r="W296" i="19"/>
  <c r="S296" i="19"/>
  <c r="U296" i="19"/>
  <c r="Z297" i="19"/>
  <c r="R301" i="19"/>
  <c r="AB305" i="19"/>
  <c r="X305" i="19"/>
  <c r="Z305" i="19"/>
  <c r="Y305" i="19"/>
  <c r="AA305" i="19"/>
  <c r="AD307" i="19"/>
  <c r="Z307" i="19"/>
  <c r="AA307" i="19"/>
  <c r="AC307" i="19"/>
  <c r="X307" i="19"/>
  <c r="U308" i="19"/>
  <c r="T308" i="19"/>
  <c r="S308" i="19"/>
  <c r="V317" i="19"/>
  <c r="S317" i="19"/>
  <c r="W317" i="19"/>
  <c r="U317" i="19"/>
  <c r="Y329" i="19"/>
  <c r="W333" i="19"/>
  <c r="S333" i="19"/>
  <c r="T333" i="19"/>
  <c r="V333" i="19"/>
  <c r="AC363" i="19"/>
  <c r="Y363" i="19"/>
  <c r="AD363" i="19"/>
  <c r="X363" i="19"/>
  <c r="AA363" i="19"/>
  <c r="AA366" i="19" s="1"/>
  <c r="Z363" i="19"/>
  <c r="AD14" i="20"/>
  <c r="Z14" i="20"/>
  <c r="AB14" i="20"/>
  <c r="AC14" i="20"/>
  <c r="Y14" i="20"/>
  <c r="X14" i="20"/>
  <c r="AA14" i="20"/>
  <c r="AD30" i="20"/>
  <c r="Z30" i="20"/>
  <c r="AB30" i="20"/>
  <c r="AC30" i="20"/>
  <c r="Y30" i="20"/>
  <c r="X30" i="20"/>
  <c r="AA30" i="20"/>
  <c r="AD38" i="20"/>
  <c r="Z38" i="20"/>
  <c r="AB38" i="20"/>
  <c r="AC38" i="20"/>
  <c r="AA38" i="20"/>
  <c r="Y38" i="20"/>
  <c r="X38" i="20"/>
  <c r="AB174" i="19"/>
  <c r="AC192" i="19"/>
  <c r="Y192" i="19"/>
  <c r="Z192" i="19"/>
  <c r="AD207" i="19"/>
  <c r="Z207" i="19"/>
  <c r="Z212" i="19" s="1"/>
  <c r="AC207" i="19"/>
  <c r="X207" i="19"/>
  <c r="X212" i="19" s="1"/>
  <c r="AC227" i="19"/>
  <c r="Y227" i="19"/>
  <c r="AA227" i="19"/>
  <c r="AB227" i="19"/>
  <c r="V228" i="19"/>
  <c r="W228" i="19"/>
  <c r="T228" i="19"/>
  <c r="AC243" i="19"/>
  <c r="Y243" i="19"/>
  <c r="AA243" i="19"/>
  <c r="AD243" i="19"/>
  <c r="AB243" i="19"/>
  <c r="X247" i="19"/>
  <c r="AC248" i="19"/>
  <c r="AD260" i="19"/>
  <c r="Z260" i="19"/>
  <c r="AB260" i="19"/>
  <c r="AC260" i="19"/>
  <c r="AA261" i="19"/>
  <c r="AC261" i="19"/>
  <c r="X261" i="19"/>
  <c r="AB261" i="19"/>
  <c r="Y261" i="19"/>
  <c r="AC263" i="19"/>
  <c r="Y263" i="19"/>
  <c r="AA263" i="19"/>
  <c r="Z263" i="19"/>
  <c r="AD263" i="19"/>
  <c r="AD264" i="19"/>
  <c r="Z264" i="19"/>
  <c r="AB264" i="19"/>
  <c r="Y264" i="19"/>
  <c r="X264" i="19"/>
  <c r="AB265" i="19"/>
  <c r="S268" i="19"/>
  <c r="AB270" i="19"/>
  <c r="X270" i="19"/>
  <c r="AD270" i="19"/>
  <c r="Y270" i="19"/>
  <c r="Z270" i="19"/>
  <c r="V272" i="19"/>
  <c r="W272" i="19"/>
  <c r="S272" i="19"/>
  <c r="U272" i="19"/>
  <c r="Z273" i="19"/>
  <c r="AC275" i="19"/>
  <c r="Y275" i="19"/>
  <c r="AA275" i="19"/>
  <c r="AD275" i="19"/>
  <c r="AB275" i="19"/>
  <c r="Y276" i="19"/>
  <c r="AD277" i="19"/>
  <c r="X279" i="19"/>
  <c r="AC280" i="19"/>
  <c r="AA281" i="19"/>
  <c r="AC281" i="19"/>
  <c r="X281" i="19"/>
  <c r="Y281" i="19"/>
  <c r="V281" i="19"/>
  <c r="V284" i="19"/>
  <c r="W284" i="19"/>
  <c r="U284" i="19"/>
  <c r="X284" i="19"/>
  <c r="Z285" i="19"/>
  <c r="AA286" i="19"/>
  <c r="AA288" i="19"/>
  <c r="W289" i="19"/>
  <c r="S289" i="19"/>
  <c r="U289" i="19"/>
  <c r="X291" i="19"/>
  <c r="AD292" i="19"/>
  <c r="Z292" i="19"/>
  <c r="AB292" i="19"/>
  <c r="AC292" i="19"/>
  <c r="AA293" i="19"/>
  <c r="AC293" i="19"/>
  <c r="X293" i="19"/>
  <c r="AB293" i="19"/>
  <c r="Y293" i="19"/>
  <c r="AC295" i="19"/>
  <c r="Y295" i="19"/>
  <c r="AA295" i="19"/>
  <c r="Z295" i="19"/>
  <c r="AD295" i="19"/>
  <c r="AD296" i="19"/>
  <c r="Z296" i="19"/>
  <c r="AB296" i="19"/>
  <c r="Y296" i="19"/>
  <c r="X296" i="19"/>
  <c r="AB297" i="19"/>
  <c r="V304" i="19"/>
  <c r="Y307" i="19"/>
  <c r="AA321" i="19"/>
  <c r="AA324" i="19" s="1"/>
  <c r="AD329" i="19"/>
  <c r="T331" i="19"/>
  <c r="AA332" i="19"/>
  <c r="AA333" i="19"/>
  <c r="AC333" i="19"/>
  <c r="X333" i="19"/>
  <c r="Y333" i="19"/>
  <c r="Z333" i="19"/>
  <c r="AB333" i="19"/>
  <c r="R357" i="19"/>
  <c r="U362" i="19"/>
  <c r="S362" i="19"/>
  <c r="V362" i="19"/>
  <c r="V366" i="19" s="1"/>
  <c r="T362" i="19"/>
  <c r="T366" i="19" s="1"/>
  <c r="AB363" i="19"/>
  <c r="AC13" i="20"/>
  <c r="Y13" i="20"/>
  <c r="AA13" i="20"/>
  <c r="AD13" i="20"/>
  <c r="Z13" i="20"/>
  <c r="X13" i="20"/>
  <c r="V14" i="20"/>
  <c r="W14" i="20"/>
  <c r="U14" i="20"/>
  <c r="S14" i="20"/>
  <c r="AA19" i="20"/>
  <c r="AC19" i="20"/>
  <c r="X19" i="20"/>
  <c r="Y19" i="20"/>
  <c r="AB19" i="20"/>
  <c r="Z19" i="20"/>
  <c r="AB21" i="20"/>
  <c r="T22" i="20"/>
  <c r="AC29" i="20"/>
  <c r="Y29" i="20"/>
  <c r="AA29" i="20"/>
  <c r="AD29" i="20"/>
  <c r="Z29" i="20"/>
  <c r="X29" i="20"/>
  <c r="V30" i="20"/>
  <c r="W30" i="20"/>
  <c r="U30" i="20"/>
  <c r="S30" i="20"/>
  <c r="AB234" i="19"/>
  <c r="X234" i="19"/>
  <c r="AD234" i="19"/>
  <c r="Y234" i="19"/>
  <c r="AC234" i="19"/>
  <c r="W237" i="19"/>
  <c r="S237" i="19"/>
  <c r="U237" i="19"/>
  <c r="AB242" i="19"/>
  <c r="X242" i="19"/>
  <c r="AD242" i="19"/>
  <c r="Y242" i="19"/>
  <c r="AC242" i="19"/>
  <c r="W245" i="19"/>
  <c r="S245" i="19"/>
  <c r="U245" i="19"/>
  <c r="AB250" i="19"/>
  <c r="X250" i="19"/>
  <c r="AD250" i="19"/>
  <c r="Y250" i="19"/>
  <c r="AC250" i="19"/>
  <c r="W253" i="19"/>
  <c r="S253" i="19"/>
  <c r="U253" i="19"/>
  <c r="AB258" i="19"/>
  <c r="X258" i="19"/>
  <c r="AD258" i="19"/>
  <c r="Y258" i="19"/>
  <c r="AC258" i="19"/>
  <c r="W261" i="19"/>
  <c r="S261" i="19"/>
  <c r="U261" i="19"/>
  <c r="AB266" i="19"/>
  <c r="X266" i="19"/>
  <c r="AD266" i="19"/>
  <c r="Y266" i="19"/>
  <c r="AC266" i="19"/>
  <c r="W269" i="19"/>
  <c r="S269" i="19"/>
  <c r="U269" i="19"/>
  <c r="AB274" i="19"/>
  <c r="X274" i="19"/>
  <c r="AD274" i="19"/>
  <c r="Y274" i="19"/>
  <c r="AC274" i="19"/>
  <c r="W277" i="19"/>
  <c r="S277" i="19"/>
  <c r="U277" i="19"/>
  <c r="AB282" i="19"/>
  <c r="X282" i="19"/>
  <c r="AD282" i="19"/>
  <c r="Y282" i="19"/>
  <c r="AC282" i="19"/>
  <c r="W285" i="19"/>
  <c r="S285" i="19"/>
  <c r="U285" i="19"/>
  <c r="AB290" i="19"/>
  <c r="X290" i="19"/>
  <c r="AD290" i="19"/>
  <c r="Y290" i="19"/>
  <c r="AC290" i="19"/>
  <c r="W293" i="19"/>
  <c r="S293" i="19"/>
  <c r="U293" i="19"/>
  <c r="AB298" i="19"/>
  <c r="X298" i="19"/>
  <c r="AD298" i="19"/>
  <c r="Y298" i="19"/>
  <c r="AC298" i="19"/>
  <c r="AC304" i="19"/>
  <c r="Y304" i="19"/>
  <c r="AB304" i="19"/>
  <c r="AA304" i="19"/>
  <c r="W306" i="19"/>
  <c r="S306" i="19"/>
  <c r="U306" i="19"/>
  <c r="Y317" i="19"/>
  <c r="Y321" i="19" s="1"/>
  <c r="Y324" i="19" s="1"/>
  <c r="AD330" i="19"/>
  <c r="Z330" i="19"/>
  <c r="AC330" i="19"/>
  <c r="X330" i="19"/>
  <c r="U364" i="19"/>
  <c r="S364" i="19"/>
  <c r="W364" i="19"/>
  <c r="AA15" i="20"/>
  <c r="AC15" i="20"/>
  <c r="X15" i="20"/>
  <c r="AD15" i="20"/>
  <c r="AC17" i="20"/>
  <c r="Y17" i="20"/>
  <c r="AA17" i="20"/>
  <c r="AB17" i="20"/>
  <c r="V18" i="20"/>
  <c r="W18" i="20"/>
  <c r="T18" i="20"/>
  <c r="AA23" i="20"/>
  <c r="AC23" i="20"/>
  <c r="X23" i="20"/>
  <c r="AD23" i="20"/>
  <c r="AC25" i="20"/>
  <c r="Y25" i="20"/>
  <c r="AA25" i="20"/>
  <c r="AB25" i="20"/>
  <c r="V26" i="20"/>
  <c r="W26" i="20"/>
  <c r="T26" i="20"/>
  <c r="AA31" i="20"/>
  <c r="AC31" i="20"/>
  <c r="X31" i="20"/>
  <c r="AD31" i="20"/>
  <c r="AC33" i="20"/>
  <c r="Y33" i="20"/>
  <c r="AA33" i="20"/>
  <c r="AB33" i="20"/>
  <c r="V34" i="20"/>
  <c r="W34" i="20"/>
  <c r="T34" i="20"/>
  <c r="Z35" i="20"/>
  <c r="X37" i="20"/>
  <c r="AA39" i="20"/>
  <c r="AC39" i="20"/>
  <c r="X39" i="20"/>
  <c r="AD39" i="20"/>
  <c r="AC41" i="20"/>
  <c r="Y41" i="20"/>
  <c r="AA41" i="20"/>
  <c r="AB41" i="20"/>
  <c r="V42" i="20"/>
  <c r="W42" i="20"/>
  <c r="T42" i="20"/>
  <c r="Z43" i="20"/>
  <c r="X45" i="20"/>
  <c r="AA47" i="20"/>
  <c r="AC47" i="20"/>
  <c r="X47" i="20"/>
  <c r="AD47" i="20"/>
  <c r="AC49" i="20"/>
  <c r="Y49" i="20"/>
  <c r="AA49" i="20"/>
  <c r="AB49" i="20"/>
  <c r="V50" i="20"/>
  <c r="W50" i="20"/>
  <c r="T50" i="20"/>
  <c r="W51" i="20"/>
  <c r="S51" i="20"/>
  <c r="T51" i="20"/>
  <c r="V51" i="20"/>
  <c r="AC53" i="20"/>
  <c r="Y53" i="20"/>
  <c r="AB53" i="20"/>
  <c r="AA53" i="20"/>
  <c r="AD53" i="20"/>
  <c r="I81" i="20"/>
  <c r="M81" i="20"/>
  <c r="M343" i="20" s="1"/>
  <c r="M358" i="20" s="1"/>
  <c r="T66" i="20"/>
  <c r="AB59" i="20"/>
  <c r="X59" i="20"/>
  <c r="AA59" i="20"/>
  <c r="Z59" i="20"/>
  <c r="AC59" i="20"/>
  <c r="AC64" i="20"/>
  <c r="Y64" i="20"/>
  <c r="AD64" i="20"/>
  <c r="X64" i="20"/>
  <c r="AB64" i="20"/>
  <c r="AD69" i="20"/>
  <c r="Z69" i="20"/>
  <c r="Y69" i="20"/>
  <c r="AC69" i="20"/>
  <c r="X69" i="20"/>
  <c r="AA69" i="20"/>
  <c r="U72" i="20"/>
  <c r="S72" i="20"/>
  <c r="W72" i="20"/>
  <c r="Z72" i="20"/>
  <c r="AA74" i="20"/>
  <c r="Z74" i="20"/>
  <c r="AD74" i="20"/>
  <c r="Y74" i="20"/>
  <c r="AB74" i="20"/>
  <c r="T76" i="20"/>
  <c r="U87" i="20"/>
  <c r="S87" i="20"/>
  <c r="W87" i="20"/>
  <c r="AA89" i="20"/>
  <c r="Z89" i="20"/>
  <c r="AD89" i="20"/>
  <c r="Y89" i="20"/>
  <c r="AB89" i="20"/>
  <c r="T91" i="20"/>
  <c r="AD92" i="20"/>
  <c r="Z92" i="20"/>
  <c r="Y92" i="20"/>
  <c r="AC92" i="20"/>
  <c r="X92" i="20"/>
  <c r="AA92" i="20"/>
  <c r="AD95" i="20"/>
  <c r="Z95" i="20"/>
  <c r="AC95" i="20"/>
  <c r="X95" i="20"/>
  <c r="AB95" i="20"/>
  <c r="AA95" i="20"/>
  <c r="AA96" i="20"/>
  <c r="AD96" i="20"/>
  <c r="Y96" i="20"/>
  <c r="AB96" i="20"/>
  <c r="Z96" i="20"/>
  <c r="AC96" i="20"/>
  <c r="AB97" i="20"/>
  <c r="X97" i="20"/>
  <c r="Z97" i="20"/>
  <c r="Y97" i="20"/>
  <c r="AD97" i="20"/>
  <c r="AC98" i="20"/>
  <c r="Y98" i="20"/>
  <c r="AB98" i="20"/>
  <c r="Z98" i="20"/>
  <c r="X98" i="20"/>
  <c r="V99" i="20"/>
  <c r="S99" i="20"/>
  <c r="W99" i="20"/>
  <c r="U99" i="20"/>
  <c r="AC362" i="19"/>
  <c r="Y362" i="19"/>
  <c r="AD362" i="19"/>
  <c r="X362" i="19"/>
  <c r="AB362" i="19"/>
  <c r="W11" i="20"/>
  <c r="S11" i="20"/>
  <c r="U11" i="20"/>
  <c r="AB16" i="20"/>
  <c r="X16" i="20"/>
  <c r="AD16" i="20"/>
  <c r="Y16" i="20"/>
  <c r="AC16" i="20"/>
  <c r="AD18" i="20"/>
  <c r="Z18" i="20"/>
  <c r="AB18" i="20"/>
  <c r="AC18" i="20"/>
  <c r="W19" i="20"/>
  <c r="S19" i="20"/>
  <c r="U19" i="20"/>
  <c r="AB24" i="20"/>
  <c r="X24" i="20"/>
  <c r="AD24" i="20"/>
  <c r="Y24" i="20"/>
  <c r="AC24" i="20"/>
  <c r="AD26" i="20"/>
  <c r="Z26" i="20"/>
  <c r="AB26" i="20"/>
  <c r="AC26" i="20"/>
  <c r="W27" i="20"/>
  <c r="S27" i="20"/>
  <c r="U27" i="20"/>
  <c r="AB32" i="20"/>
  <c r="X32" i="20"/>
  <c r="AD32" i="20"/>
  <c r="Y32" i="20"/>
  <c r="AC32" i="20"/>
  <c r="AD34" i="20"/>
  <c r="Z34" i="20"/>
  <c r="AB34" i="20"/>
  <c r="AC34" i="20"/>
  <c r="W35" i="20"/>
  <c r="S35" i="20"/>
  <c r="U35" i="20"/>
  <c r="AB40" i="20"/>
  <c r="X40" i="20"/>
  <c r="AD40" i="20"/>
  <c r="Y40" i="20"/>
  <c r="AC40" i="20"/>
  <c r="AD42" i="20"/>
  <c r="Z42" i="20"/>
  <c r="AB42" i="20"/>
  <c r="AC42" i="20"/>
  <c r="W43" i="20"/>
  <c r="S43" i="20"/>
  <c r="U43" i="20"/>
  <c r="AB48" i="20"/>
  <c r="X48" i="20"/>
  <c r="AD48" i="20"/>
  <c r="Y48" i="20"/>
  <c r="AC48" i="20"/>
  <c r="AD50" i="20"/>
  <c r="Z50" i="20"/>
  <c r="AC50" i="20"/>
  <c r="AB50" i="20"/>
  <c r="AA51" i="20"/>
  <c r="AD51" i="20"/>
  <c r="Y51" i="20"/>
  <c r="AC51" i="20"/>
  <c r="X51" i="20"/>
  <c r="Z51" i="20"/>
  <c r="AA58" i="20"/>
  <c r="AA66" i="20" s="1"/>
  <c r="Z58" i="20"/>
  <c r="AD58" i="20"/>
  <c r="Y58" i="20"/>
  <c r="AB58" i="20"/>
  <c r="AD61" i="20"/>
  <c r="Z61" i="20"/>
  <c r="Y61" i="20"/>
  <c r="AC61" i="20"/>
  <c r="X61" i="20"/>
  <c r="AA61" i="20"/>
  <c r="U64" i="20"/>
  <c r="S64" i="20"/>
  <c r="W64" i="20"/>
  <c r="AB71" i="20"/>
  <c r="X71" i="20"/>
  <c r="AA71" i="20"/>
  <c r="Z71" i="20"/>
  <c r="AC71" i="20"/>
  <c r="AC76" i="20"/>
  <c r="Y76" i="20"/>
  <c r="AD76" i="20"/>
  <c r="X76" i="20"/>
  <c r="AB76" i="20"/>
  <c r="AC91" i="20"/>
  <c r="Y91" i="20"/>
  <c r="AD91" i="20"/>
  <c r="X91" i="20"/>
  <c r="AB91" i="20"/>
  <c r="U98" i="20"/>
  <c r="W98" i="20"/>
  <c r="S98" i="20"/>
  <c r="AB101" i="20"/>
  <c r="X101" i="20"/>
  <c r="Z101" i="20"/>
  <c r="AC101" i="20"/>
  <c r="AA101" i="20"/>
  <c r="AD101" i="20"/>
  <c r="W104" i="20"/>
  <c r="S104" i="20"/>
  <c r="T104" i="20"/>
  <c r="U104" i="20"/>
  <c r="AB125" i="20"/>
  <c r="X125" i="20"/>
  <c r="Z125" i="20"/>
  <c r="AD125" i="20"/>
  <c r="Y125" i="20"/>
  <c r="AC125" i="20"/>
  <c r="AA125" i="20"/>
  <c r="AA35" i="20"/>
  <c r="AC35" i="20"/>
  <c r="X35" i="20"/>
  <c r="AD35" i="20"/>
  <c r="AC37" i="20"/>
  <c r="Y37" i="20"/>
  <c r="AA37" i="20"/>
  <c r="AB37" i="20"/>
  <c r="V38" i="20"/>
  <c r="W38" i="20"/>
  <c r="T38" i="20"/>
  <c r="AA43" i="20"/>
  <c r="AC43" i="20"/>
  <c r="X43" i="20"/>
  <c r="AD43" i="20"/>
  <c r="AC45" i="20"/>
  <c r="Y45" i="20"/>
  <c r="AA45" i="20"/>
  <c r="AB45" i="20"/>
  <c r="V46" i="20"/>
  <c r="W46" i="20"/>
  <c r="T46" i="20"/>
  <c r="AC60" i="20"/>
  <c r="Y60" i="20"/>
  <c r="AD60" i="20"/>
  <c r="X60" i="20"/>
  <c r="AB60" i="20"/>
  <c r="AB63" i="20"/>
  <c r="X63" i="20"/>
  <c r="AA63" i="20"/>
  <c r="Z63" i="20"/>
  <c r="AC63" i="20"/>
  <c r="AA70" i="20"/>
  <c r="Z70" i="20"/>
  <c r="AD70" i="20"/>
  <c r="Y70" i="20"/>
  <c r="AB70" i="20"/>
  <c r="AD73" i="20"/>
  <c r="Z73" i="20"/>
  <c r="Y73" i="20"/>
  <c r="AC73" i="20"/>
  <c r="X73" i="20"/>
  <c r="AA73" i="20"/>
  <c r="U76" i="20"/>
  <c r="S76" i="20"/>
  <c r="W76" i="20"/>
  <c r="AD88" i="20"/>
  <c r="Z88" i="20"/>
  <c r="Y88" i="20"/>
  <c r="AC88" i="20"/>
  <c r="X88" i="20"/>
  <c r="AA88" i="20"/>
  <c r="U91" i="20"/>
  <c r="S91" i="20"/>
  <c r="W91" i="20"/>
  <c r="AD103" i="20"/>
  <c r="Z103" i="20"/>
  <c r="AC103" i="20"/>
  <c r="X103" i="20"/>
  <c r="AB103" i="20"/>
  <c r="AA103" i="20"/>
  <c r="AA104" i="20"/>
  <c r="AD104" i="20"/>
  <c r="Y104" i="20"/>
  <c r="AB104" i="20"/>
  <c r="Z104" i="20"/>
  <c r="AC104" i="20"/>
  <c r="AB109" i="20"/>
  <c r="X109" i="20"/>
  <c r="Z109" i="20"/>
  <c r="Y109" i="20"/>
  <c r="AD109" i="20"/>
  <c r="AC109" i="20"/>
  <c r="AA109" i="20"/>
  <c r="AB117" i="20"/>
  <c r="X117" i="20"/>
  <c r="Z117" i="20"/>
  <c r="Y117" i="20"/>
  <c r="AD117" i="20"/>
  <c r="AC117" i="20"/>
  <c r="AA117" i="20"/>
  <c r="AB129" i="20"/>
  <c r="X129" i="20"/>
  <c r="Z129" i="20"/>
  <c r="AA129" i="20"/>
  <c r="AC129" i="20"/>
  <c r="Y129" i="20"/>
  <c r="AD129" i="20"/>
  <c r="AC299" i="19"/>
  <c r="Y299" i="19"/>
  <c r="AA299" i="19"/>
  <c r="AB299" i="19"/>
  <c r="V307" i="19"/>
  <c r="U307" i="19"/>
  <c r="W307" i="19"/>
  <c r="AD317" i="19"/>
  <c r="Z317" i="19"/>
  <c r="AC317" i="19"/>
  <c r="X317" i="19"/>
  <c r="AB318" i="19"/>
  <c r="X318" i="19"/>
  <c r="Z318" i="19"/>
  <c r="AC318" i="19"/>
  <c r="AD319" i="19"/>
  <c r="Z319" i="19"/>
  <c r="AB319" i="19"/>
  <c r="AC319" i="19"/>
  <c r="V330" i="19"/>
  <c r="S330" i="19"/>
  <c r="U330" i="19"/>
  <c r="AB334" i="19"/>
  <c r="X334" i="19"/>
  <c r="AD334" i="19"/>
  <c r="Y334" i="19"/>
  <c r="AC334" i="19"/>
  <c r="Z362" i="19"/>
  <c r="Z366" i="19" s="1"/>
  <c r="U363" i="19"/>
  <c r="S363" i="19"/>
  <c r="W363" i="19"/>
  <c r="AC364" i="19"/>
  <c r="Y364" i="19"/>
  <c r="AD364" i="19"/>
  <c r="X364" i="19"/>
  <c r="AB364" i="19"/>
  <c r="AB12" i="20"/>
  <c r="X12" i="20"/>
  <c r="AD12" i="20"/>
  <c r="Y12" i="20"/>
  <c r="AC12" i="20"/>
  <c r="W15" i="20"/>
  <c r="S15" i="20"/>
  <c r="U15" i="20"/>
  <c r="AB15" i="20"/>
  <c r="Z16" i="20"/>
  <c r="Z17" i="20"/>
  <c r="S18" i="20"/>
  <c r="Y18" i="20"/>
  <c r="AB20" i="20"/>
  <c r="X20" i="20"/>
  <c r="AD20" i="20"/>
  <c r="Y20" i="20"/>
  <c r="AC20" i="20"/>
  <c r="W23" i="20"/>
  <c r="S23" i="20"/>
  <c r="U23" i="20"/>
  <c r="AB23" i="20"/>
  <c r="Z24" i="20"/>
  <c r="Z25" i="20"/>
  <c r="S26" i="20"/>
  <c r="Y26" i="20"/>
  <c r="AB28" i="20"/>
  <c r="X28" i="20"/>
  <c r="AD28" i="20"/>
  <c r="Y28" i="20"/>
  <c r="AC28" i="20"/>
  <c r="W31" i="20"/>
  <c r="S31" i="20"/>
  <c r="U31" i="20"/>
  <c r="AB31" i="20"/>
  <c r="Z32" i="20"/>
  <c r="Z33" i="20"/>
  <c r="S34" i="20"/>
  <c r="Y34" i="20"/>
  <c r="Y35" i="20"/>
  <c r="AB36" i="20"/>
  <c r="X36" i="20"/>
  <c r="AD36" i="20"/>
  <c r="Y36" i="20"/>
  <c r="AC36" i="20"/>
  <c r="AD37" i="20"/>
  <c r="U38" i="20"/>
  <c r="W39" i="20"/>
  <c r="S39" i="20"/>
  <c r="U39" i="20"/>
  <c r="AB39" i="20"/>
  <c r="Z40" i="20"/>
  <c r="Z41" i="20"/>
  <c r="Y42" i="20"/>
  <c r="Y43" i="20"/>
  <c r="AB44" i="20"/>
  <c r="X44" i="20"/>
  <c r="AD44" i="20"/>
  <c r="Y44" i="20"/>
  <c r="AC44" i="20"/>
  <c r="AD45" i="20"/>
  <c r="U46" i="20"/>
  <c r="W47" i="20"/>
  <c r="S47" i="20"/>
  <c r="U47" i="20"/>
  <c r="AB47" i="20"/>
  <c r="Z48" i="20"/>
  <c r="Z49" i="20"/>
  <c r="Y50" i="20"/>
  <c r="AB52" i="20"/>
  <c r="X52" i="20"/>
  <c r="Z52" i="20"/>
  <c r="AD52" i="20"/>
  <c r="Y52" i="20"/>
  <c r="Z53" i="20"/>
  <c r="V66" i="20"/>
  <c r="U60" i="20"/>
  <c r="S60" i="20"/>
  <c r="W60" i="20"/>
  <c r="Z60" i="20"/>
  <c r="AA62" i="20"/>
  <c r="Z62" i="20"/>
  <c r="AD62" i="20"/>
  <c r="Y62" i="20"/>
  <c r="AB62" i="20"/>
  <c r="AD63" i="20"/>
  <c r="T64" i="20"/>
  <c r="R66" i="20"/>
  <c r="AC70" i="20"/>
  <c r="AC72" i="20"/>
  <c r="Y72" i="20"/>
  <c r="AD72" i="20"/>
  <c r="X72" i="20"/>
  <c r="AB72" i="20"/>
  <c r="AB73" i="20"/>
  <c r="AB75" i="20"/>
  <c r="X75" i="20"/>
  <c r="AA75" i="20"/>
  <c r="Z75" i="20"/>
  <c r="AC75" i="20"/>
  <c r="AA76" i="20"/>
  <c r="AC87" i="20"/>
  <c r="Y87" i="20"/>
  <c r="AD87" i="20"/>
  <c r="X87" i="20"/>
  <c r="AB87" i="20"/>
  <c r="V87" i="20"/>
  <c r="AB88" i="20"/>
  <c r="X89" i="20"/>
  <c r="AB90" i="20"/>
  <c r="X90" i="20"/>
  <c r="AA90" i="20"/>
  <c r="Z90" i="20"/>
  <c r="AC90" i="20"/>
  <c r="AA91" i="20"/>
  <c r="AB93" i="20"/>
  <c r="X93" i="20"/>
  <c r="Z93" i="20"/>
  <c r="AC93" i="20"/>
  <c r="AA93" i="20"/>
  <c r="AD93" i="20"/>
  <c r="Y95" i="20"/>
  <c r="W96" i="20"/>
  <c r="S96" i="20"/>
  <c r="T96" i="20"/>
  <c r="U96" i="20"/>
  <c r="X96" i="20"/>
  <c r="AC97" i="20"/>
  <c r="T98" i="20"/>
  <c r="T99" i="20"/>
  <c r="T206" i="19"/>
  <c r="AE206" i="19" s="1"/>
  <c r="V223" i="19"/>
  <c r="V227" i="19"/>
  <c r="V231" i="19"/>
  <c r="AE231" i="19" s="1"/>
  <c r="AF231" i="19" s="1"/>
  <c r="V235" i="19"/>
  <c r="V239" i="19"/>
  <c r="V243" i="19"/>
  <c r="V247" i="19"/>
  <c r="V251" i="19"/>
  <c r="AE251" i="19" s="1"/>
  <c r="V255" i="19"/>
  <c r="V259" i="19"/>
  <c r="V263" i="19"/>
  <c r="V267" i="19"/>
  <c r="V271" i="19"/>
  <c r="V275" i="19"/>
  <c r="V279" i="19"/>
  <c r="V283" i="19"/>
  <c r="AE283" i="19" s="1"/>
  <c r="V287" i="19"/>
  <c r="V291" i="19"/>
  <c r="V295" i="19"/>
  <c r="V299" i="19"/>
  <c r="AC308" i="19"/>
  <c r="Y308" i="19"/>
  <c r="Z308" i="19"/>
  <c r="W329" i="19"/>
  <c r="S329" i="19"/>
  <c r="U329" i="19"/>
  <c r="AB335" i="19"/>
  <c r="V13" i="20"/>
  <c r="V17" i="20"/>
  <c r="V21" i="20"/>
  <c r="V25" i="20"/>
  <c r="V29" i="20"/>
  <c r="V33" i="20"/>
  <c r="V37" i="20"/>
  <c r="V41" i="20"/>
  <c r="V45" i="20"/>
  <c r="V49" i="20"/>
  <c r="V53" i="20"/>
  <c r="F343" i="20"/>
  <c r="R81" i="20"/>
  <c r="S61" i="20"/>
  <c r="S69" i="20"/>
  <c r="S73" i="20"/>
  <c r="S88" i="20"/>
  <c r="S92" i="20"/>
  <c r="AC94" i="20"/>
  <c r="Y94" i="20"/>
  <c r="AB94" i="20"/>
  <c r="AA94" i="20"/>
  <c r="AD99" i="20"/>
  <c r="Z99" i="20"/>
  <c r="AC99" i="20"/>
  <c r="X99" i="20"/>
  <c r="W100" i="20"/>
  <c r="S100" i="20"/>
  <c r="T100" i="20"/>
  <c r="V100" i="20"/>
  <c r="AC102" i="20"/>
  <c r="Y102" i="20"/>
  <c r="AB102" i="20"/>
  <c r="AA102" i="20"/>
  <c r="AD105" i="20"/>
  <c r="X106" i="20"/>
  <c r="AD107" i="20"/>
  <c r="Z107" i="20"/>
  <c r="AC107" i="20"/>
  <c r="X107" i="20"/>
  <c r="W107" i="20"/>
  <c r="W108" i="20"/>
  <c r="S108" i="20"/>
  <c r="T108" i="20"/>
  <c r="V108" i="20"/>
  <c r="AC110" i="20"/>
  <c r="Y110" i="20"/>
  <c r="AB110" i="20"/>
  <c r="AA110" i="20"/>
  <c r="AA111" i="20"/>
  <c r="Z112" i="20"/>
  <c r="AD113" i="20"/>
  <c r="X114" i="20"/>
  <c r="AD115" i="20"/>
  <c r="Z115" i="20"/>
  <c r="AC115" i="20"/>
  <c r="X115" i="20"/>
  <c r="W115" i="20"/>
  <c r="W116" i="20"/>
  <c r="S116" i="20"/>
  <c r="T116" i="20"/>
  <c r="V116" i="20"/>
  <c r="AC118" i="20"/>
  <c r="Y118" i="20"/>
  <c r="AB118" i="20"/>
  <c r="AA118" i="20"/>
  <c r="S122" i="20"/>
  <c r="V123" i="20"/>
  <c r="S123" i="20"/>
  <c r="T123" i="20"/>
  <c r="W123" i="20"/>
  <c r="AB124" i="20"/>
  <c r="U126" i="20"/>
  <c r="W126" i="20"/>
  <c r="V126" i="20"/>
  <c r="AC134" i="20"/>
  <c r="Y134" i="20"/>
  <c r="AB134" i="20"/>
  <c r="AD134" i="20"/>
  <c r="X134" i="20"/>
  <c r="AA136" i="20"/>
  <c r="AD136" i="20"/>
  <c r="Y136" i="20"/>
  <c r="AB136" i="20"/>
  <c r="AC136" i="20"/>
  <c r="Z136" i="20"/>
  <c r="Z142" i="20"/>
  <c r="AD169" i="20"/>
  <c r="Z169" i="20"/>
  <c r="Y169" i="20"/>
  <c r="AB169" i="20"/>
  <c r="AA169" i="20"/>
  <c r="X169" i="20"/>
  <c r="AC169" i="20"/>
  <c r="W58" i="20"/>
  <c r="S58" i="20"/>
  <c r="S66" i="20" s="1"/>
  <c r="U58" i="20"/>
  <c r="T61" i="20"/>
  <c r="W62" i="20"/>
  <c r="S62" i="20"/>
  <c r="U62" i="20"/>
  <c r="V78" i="20"/>
  <c r="T69" i="20"/>
  <c r="W70" i="20"/>
  <c r="S70" i="20"/>
  <c r="U70" i="20"/>
  <c r="T73" i="20"/>
  <c r="W74" i="20"/>
  <c r="S74" i="20"/>
  <c r="U74" i="20"/>
  <c r="T88" i="20"/>
  <c r="W89" i="20"/>
  <c r="S89" i="20"/>
  <c r="U89" i="20"/>
  <c r="T92" i="20"/>
  <c r="U94" i="20"/>
  <c r="W94" i="20"/>
  <c r="V94" i="20"/>
  <c r="V95" i="20"/>
  <c r="S95" i="20"/>
  <c r="U95" i="20"/>
  <c r="AA100" i="20"/>
  <c r="AD100" i="20"/>
  <c r="Y100" i="20"/>
  <c r="X100" i="20"/>
  <c r="U102" i="20"/>
  <c r="W102" i="20"/>
  <c r="V102" i="20"/>
  <c r="V103" i="20"/>
  <c r="S103" i="20"/>
  <c r="U103" i="20"/>
  <c r="S106" i="20"/>
  <c r="Z106" i="20"/>
  <c r="AA108" i="20"/>
  <c r="AD108" i="20"/>
  <c r="Y108" i="20"/>
  <c r="X108" i="20"/>
  <c r="U110" i="20"/>
  <c r="W110" i="20"/>
  <c r="V110" i="20"/>
  <c r="V111" i="20"/>
  <c r="S111" i="20"/>
  <c r="U111" i="20"/>
  <c r="AB112" i="20"/>
  <c r="Y113" i="20"/>
  <c r="S114" i="20"/>
  <c r="Z114" i="20"/>
  <c r="AA116" i="20"/>
  <c r="AD116" i="20"/>
  <c r="Y116" i="20"/>
  <c r="X116" i="20"/>
  <c r="U118" i="20"/>
  <c r="W118" i="20"/>
  <c r="V118" i="20"/>
  <c r="V119" i="20"/>
  <c r="S119" i="20"/>
  <c r="W119" i="20"/>
  <c r="U119" i="20"/>
  <c r="AA120" i="20"/>
  <c r="AD120" i="20"/>
  <c r="Y120" i="20"/>
  <c r="AC120" i="20"/>
  <c r="Z120" i="20"/>
  <c r="Y121" i="20"/>
  <c r="AD123" i="20"/>
  <c r="Z123" i="20"/>
  <c r="AC123" i="20"/>
  <c r="X123" i="20"/>
  <c r="AA123" i="20"/>
  <c r="Y123" i="20"/>
  <c r="AC124" i="20"/>
  <c r="V131" i="20"/>
  <c r="S131" i="20"/>
  <c r="T131" i="20"/>
  <c r="W131" i="20"/>
  <c r="AB137" i="20"/>
  <c r="X137" i="20"/>
  <c r="Z137" i="20"/>
  <c r="Y137" i="20"/>
  <c r="AA137" i="20"/>
  <c r="AB141" i="20"/>
  <c r="X141" i="20"/>
  <c r="Z141" i="20"/>
  <c r="AC141" i="20"/>
  <c r="AD141" i="20"/>
  <c r="AA141" i="20"/>
  <c r="AA142" i="20"/>
  <c r="AB149" i="20"/>
  <c r="X149" i="20"/>
  <c r="Z149" i="20"/>
  <c r="AC149" i="20"/>
  <c r="Y149" i="20"/>
  <c r="AD149" i="20"/>
  <c r="AC150" i="20"/>
  <c r="Y150" i="20"/>
  <c r="AB150" i="20"/>
  <c r="AD150" i="20"/>
  <c r="Z150" i="20"/>
  <c r="X150" i="20"/>
  <c r="AD155" i="20"/>
  <c r="Z155" i="20"/>
  <c r="AC155" i="20"/>
  <c r="X155" i="20"/>
  <c r="Y155" i="20"/>
  <c r="AB155" i="20"/>
  <c r="AA155" i="20"/>
  <c r="AD165" i="20"/>
  <c r="Z165" i="20"/>
  <c r="AC165" i="20"/>
  <c r="X165" i="20"/>
  <c r="Y165" i="20"/>
  <c r="AB165" i="20"/>
  <c r="AA165" i="20"/>
  <c r="AC106" i="20"/>
  <c r="Y106" i="20"/>
  <c r="AB106" i="20"/>
  <c r="AA106" i="20"/>
  <c r="AD111" i="20"/>
  <c r="Z111" i="20"/>
  <c r="AC111" i="20"/>
  <c r="X111" i="20"/>
  <c r="W112" i="20"/>
  <c r="S112" i="20"/>
  <c r="T112" i="20"/>
  <c r="V112" i="20"/>
  <c r="AC114" i="20"/>
  <c r="Y114" i="20"/>
  <c r="AB114" i="20"/>
  <c r="AA114" i="20"/>
  <c r="Z116" i="20"/>
  <c r="U122" i="20"/>
  <c r="W122" i="20"/>
  <c r="T122" i="20"/>
  <c r="W124" i="20"/>
  <c r="S124" i="20"/>
  <c r="T124" i="20"/>
  <c r="V124" i="20"/>
  <c r="V127" i="20"/>
  <c r="S127" i="20"/>
  <c r="W127" i="20"/>
  <c r="U127" i="20"/>
  <c r="AA128" i="20"/>
  <c r="AD128" i="20"/>
  <c r="Y128" i="20"/>
  <c r="AC128" i="20"/>
  <c r="Z128" i="20"/>
  <c r="AD131" i="20"/>
  <c r="Z131" i="20"/>
  <c r="AC131" i="20"/>
  <c r="X131" i="20"/>
  <c r="AA131" i="20"/>
  <c r="Y131" i="20"/>
  <c r="AB133" i="20"/>
  <c r="X133" i="20"/>
  <c r="Z133" i="20"/>
  <c r="AC133" i="20"/>
  <c r="AD133" i="20"/>
  <c r="AA133" i="20"/>
  <c r="AA134" i="20"/>
  <c r="U138" i="20"/>
  <c r="W138" i="20"/>
  <c r="S138" i="20"/>
  <c r="T138" i="20"/>
  <c r="V139" i="20"/>
  <c r="S139" i="20"/>
  <c r="T139" i="20"/>
  <c r="W139" i="20"/>
  <c r="W140" i="20"/>
  <c r="S140" i="20"/>
  <c r="T140" i="20"/>
  <c r="V140" i="20"/>
  <c r="AD147" i="20"/>
  <c r="Z147" i="20"/>
  <c r="AC147" i="20"/>
  <c r="X147" i="20"/>
  <c r="Y147" i="20"/>
  <c r="AB147" i="20"/>
  <c r="AA147" i="20"/>
  <c r="AA150" i="20"/>
  <c r="W156" i="20"/>
  <c r="S156" i="20"/>
  <c r="T156" i="20"/>
  <c r="U156" i="20"/>
  <c r="AB167" i="20"/>
  <c r="X167" i="20"/>
  <c r="Z167" i="20"/>
  <c r="AC167" i="20"/>
  <c r="AA167" i="20"/>
  <c r="Y167" i="20"/>
  <c r="AD167" i="20"/>
  <c r="AB105" i="20"/>
  <c r="X105" i="20"/>
  <c r="Z105" i="20"/>
  <c r="AC105" i="20"/>
  <c r="U106" i="20"/>
  <c r="W106" i="20"/>
  <c r="V106" i="20"/>
  <c r="AD106" i="20"/>
  <c r="V107" i="20"/>
  <c r="S107" i="20"/>
  <c r="U107" i="20"/>
  <c r="AA112" i="20"/>
  <c r="AD112" i="20"/>
  <c r="Y112" i="20"/>
  <c r="X112" i="20"/>
  <c r="AB113" i="20"/>
  <c r="X113" i="20"/>
  <c r="Z113" i="20"/>
  <c r="AC113" i="20"/>
  <c r="U114" i="20"/>
  <c r="W114" i="20"/>
  <c r="V114" i="20"/>
  <c r="AD114" i="20"/>
  <c r="V115" i="20"/>
  <c r="S115" i="20"/>
  <c r="U115" i="20"/>
  <c r="AB121" i="20"/>
  <c r="X121" i="20"/>
  <c r="Z121" i="20"/>
  <c r="AA121" i="20"/>
  <c r="AD121" i="20"/>
  <c r="AA124" i="20"/>
  <c r="AD124" i="20"/>
  <c r="Y124" i="20"/>
  <c r="Z124" i="20"/>
  <c r="X124" i="20"/>
  <c r="AC126" i="20"/>
  <c r="Y126" i="20"/>
  <c r="AB126" i="20"/>
  <c r="X126" i="20"/>
  <c r="AD126" i="20"/>
  <c r="AB128" i="20"/>
  <c r="U130" i="20"/>
  <c r="W130" i="20"/>
  <c r="T130" i="20"/>
  <c r="AB131" i="20"/>
  <c r="W132" i="20"/>
  <c r="S132" i="20"/>
  <c r="T132" i="20"/>
  <c r="V132" i="20"/>
  <c r="AC137" i="20"/>
  <c r="AD139" i="20"/>
  <c r="Z139" i="20"/>
  <c r="AC139" i="20"/>
  <c r="X139" i="20"/>
  <c r="Y139" i="20"/>
  <c r="AA139" i="20"/>
  <c r="AB139" i="20"/>
  <c r="AC142" i="20"/>
  <c r="Y142" i="20"/>
  <c r="AB142" i="20"/>
  <c r="AD142" i="20"/>
  <c r="X142" i="20"/>
  <c r="W148" i="20"/>
  <c r="S148" i="20"/>
  <c r="T148" i="20"/>
  <c r="U148" i="20"/>
  <c r="AB170" i="20"/>
  <c r="X170" i="20"/>
  <c r="AC170" i="20"/>
  <c r="AA170" i="20"/>
  <c r="Z170" i="20"/>
  <c r="Y170" i="20"/>
  <c r="AD170" i="20"/>
  <c r="AD119" i="20"/>
  <c r="Z119" i="20"/>
  <c r="AC119" i="20"/>
  <c r="X119" i="20"/>
  <c r="W120" i="20"/>
  <c r="S120" i="20"/>
  <c r="T120" i="20"/>
  <c r="V120" i="20"/>
  <c r="AC122" i="20"/>
  <c r="Y122" i="20"/>
  <c r="AB122" i="20"/>
  <c r="AA122" i="20"/>
  <c r="AD127" i="20"/>
  <c r="Z127" i="20"/>
  <c r="AC127" i="20"/>
  <c r="X127" i="20"/>
  <c r="W128" i="20"/>
  <c r="S128" i="20"/>
  <c r="T128" i="20"/>
  <c r="V128" i="20"/>
  <c r="AC130" i="20"/>
  <c r="Y130" i="20"/>
  <c r="AB130" i="20"/>
  <c r="AA130" i="20"/>
  <c r="AD135" i="20"/>
  <c r="Z135" i="20"/>
  <c r="AC135" i="20"/>
  <c r="X135" i="20"/>
  <c r="W136" i="20"/>
  <c r="S136" i="20"/>
  <c r="T136" i="20"/>
  <c r="V136" i="20"/>
  <c r="AC138" i="20"/>
  <c r="Y138" i="20"/>
  <c r="AB138" i="20"/>
  <c r="AA138" i="20"/>
  <c r="AD143" i="20"/>
  <c r="Z143" i="20"/>
  <c r="AC143" i="20"/>
  <c r="X143" i="20"/>
  <c r="W144" i="20"/>
  <c r="S144" i="20"/>
  <c r="T144" i="20"/>
  <c r="V144" i="20"/>
  <c r="AC146" i="20"/>
  <c r="Y146" i="20"/>
  <c r="AB146" i="20"/>
  <c r="AA146" i="20"/>
  <c r="AD151" i="20"/>
  <c r="Z151" i="20"/>
  <c r="AC151" i="20"/>
  <c r="X151" i="20"/>
  <c r="W152" i="20"/>
  <c r="S152" i="20"/>
  <c r="T152" i="20"/>
  <c r="V152" i="20"/>
  <c r="AC154" i="20"/>
  <c r="Y154" i="20"/>
  <c r="AB154" i="20"/>
  <c r="AA154" i="20"/>
  <c r="W162" i="20"/>
  <c r="S162" i="20"/>
  <c r="T162" i="20"/>
  <c r="V162" i="20"/>
  <c r="AC164" i="20"/>
  <c r="Y164" i="20"/>
  <c r="AB164" i="20"/>
  <c r="AA164" i="20"/>
  <c r="X168" i="20"/>
  <c r="S171" i="20"/>
  <c r="Z172" i="20"/>
  <c r="AC173" i="20"/>
  <c r="Y173" i="20"/>
  <c r="AB173" i="20"/>
  <c r="AA173" i="20"/>
  <c r="AA174" i="20"/>
  <c r="Y176" i="20"/>
  <c r="X177" i="20"/>
  <c r="U179" i="20"/>
  <c r="S179" i="20"/>
  <c r="W179" i="20"/>
  <c r="AC181" i="20"/>
  <c r="Y181" i="20"/>
  <c r="AA181" i="20"/>
  <c r="AB181" i="20"/>
  <c r="W182" i="20"/>
  <c r="S182" i="20"/>
  <c r="T182" i="20"/>
  <c r="V182" i="20"/>
  <c r="T183" i="20"/>
  <c r="AA183" i="20"/>
  <c r="W184" i="20"/>
  <c r="S184" i="20"/>
  <c r="V184" i="20"/>
  <c r="U184" i="20"/>
  <c r="X185" i="20"/>
  <c r="AC187" i="20"/>
  <c r="Y187" i="20"/>
  <c r="AA187" i="20"/>
  <c r="X187" i="20"/>
  <c r="AD187" i="20"/>
  <c r="AA188" i="20"/>
  <c r="AD188" i="20"/>
  <c r="Y188" i="20"/>
  <c r="Z188" i="20"/>
  <c r="X188" i="20"/>
  <c r="AC189" i="20"/>
  <c r="Y189" i="20"/>
  <c r="AD189" i="20"/>
  <c r="X189" i="20"/>
  <c r="AD202" i="20"/>
  <c r="Z202" i="20"/>
  <c r="Y202" i="20"/>
  <c r="AA202" i="20"/>
  <c r="AC202" i="20"/>
  <c r="AB202" i="20"/>
  <c r="AD205" i="20"/>
  <c r="Z205" i="20"/>
  <c r="AA205" i="20"/>
  <c r="AC205" i="20"/>
  <c r="Y205" i="20"/>
  <c r="X205" i="20"/>
  <c r="AB205" i="20"/>
  <c r="AA222" i="20"/>
  <c r="AD222" i="20"/>
  <c r="Y222" i="20"/>
  <c r="Z222" i="20"/>
  <c r="AC222" i="20"/>
  <c r="AB222" i="20"/>
  <c r="V225" i="20"/>
  <c r="S225" i="20"/>
  <c r="W225" i="20"/>
  <c r="T225" i="20"/>
  <c r="AA144" i="20"/>
  <c r="AD144" i="20"/>
  <c r="Y144" i="20"/>
  <c r="X144" i="20"/>
  <c r="AB145" i="20"/>
  <c r="X145" i="20"/>
  <c r="Z145" i="20"/>
  <c r="AC145" i="20"/>
  <c r="U146" i="20"/>
  <c r="W146" i="20"/>
  <c r="V146" i="20"/>
  <c r="V147" i="20"/>
  <c r="S147" i="20"/>
  <c r="U147" i="20"/>
  <c r="AA152" i="20"/>
  <c r="AD152" i="20"/>
  <c r="Y152" i="20"/>
  <c r="X152" i="20"/>
  <c r="AB153" i="20"/>
  <c r="X153" i="20"/>
  <c r="Z153" i="20"/>
  <c r="AC153" i="20"/>
  <c r="U154" i="20"/>
  <c r="W154" i="20"/>
  <c r="V154" i="20"/>
  <c r="V155" i="20"/>
  <c r="S155" i="20"/>
  <c r="U155" i="20"/>
  <c r="AA162" i="20"/>
  <c r="AD162" i="20"/>
  <c r="Y162" i="20"/>
  <c r="X162" i="20"/>
  <c r="AB163" i="20"/>
  <c r="X163" i="20"/>
  <c r="Z163" i="20"/>
  <c r="AC163" i="20"/>
  <c r="U164" i="20"/>
  <c r="W164" i="20"/>
  <c r="V164" i="20"/>
  <c r="V165" i="20"/>
  <c r="S165" i="20"/>
  <c r="U165" i="20"/>
  <c r="AD171" i="20"/>
  <c r="Z171" i="20"/>
  <c r="AA171" i="20"/>
  <c r="AB171" i="20"/>
  <c r="AA172" i="20"/>
  <c r="U173" i="20"/>
  <c r="W173" i="20"/>
  <c r="V173" i="20"/>
  <c r="AA182" i="20"/>
  <c r="AD182" i="20"/>
  <c r="Y182" i="20"/>
  <c r="X182" i="20"/>
  <c r="AC183" i="20"/>
  <c r="Y183" i="20"/>
  <c r="AD183" i="20"/>
  <c r="X183" i="20"/>
  <c r="AB183" i="20"/>
  <c r="AD190" i="20"/>
  <c r="Z190" i="20"/>
  <c r="Y190" i="20"/>
  <c r="AC190" i="20"/>
  <c r="AB190" i="20"/>
  <c r="AB192" i="20"/>
  <c r="X192" i="20"/>
  <c r="AA192" i="20"/>
  <c r="AD192" i="20"/>
  <c r="AC192" i="20"/>
  <c r="Z192" i="20"/>
  <c r="AD194" i="20"/>
  <c r="Z194" i="20"/>
  <c r="Y194" i="20"/>
  <c r="AB194" i="20"/>
  <c r="X194" i="20"/>
  <c r="AC194" i="20"/>
  <c r="R199" i="20"/>
  <c r="AD204" i="20"/>
  <c r="Z204" i="20"/>
  <c r="AB204" i="20"/>
  <c r="AA204" i="20"/>
  <c r="X204" i="20"/>
  <c r="AC204" i="20"/>
  <c r="Y204" i="20"/>
  <c r="AB227" i="20"/>
  <c r="X227" i="20"/>
  <c r="Z227" i="20"/>
  <c r="AA227" i="20"/>
  <c r="AD227" i="20"/>
  <c r="AC227" i="20"/>
  <c r="W166" i="20"/>
  <c r="S166" i="20"/>
  <c r="T166" i="20"/>
  <c r="V166" i="20"/>
  <c r="AC168" i="20"/>
  <c r="Y168" i="20"/>
  <c r="AB168" i="20"/>
  <c r="AA168" i="20"/>
  <c r="V171" i="20"/>
  <c r="U171" i="20"/>
  <c r="W171" i="20"/>
  <c r="AB172" i="20"/>
  <c r="X172" i="20"/>
  <c r="AD172" i="20"/>
  <c r="Y172" i="20"/>
  <c r="AC172" i="20"/>
  <c r="AD174" i="20"/>
  <c r="Z174" i="20"/>
  <c r="Y174" i="20"/>
  <c r="AC174" i="20"/>
  <c r="AB176" i="20"/>
  <c r="X176" i="20"/>
  <c r="AC176" i="20"/>
  <c r="AA176" i="20"/>
  <c r="AC177" i="20"/>
  <c r="Y177" i="20"/>
  <c r="AA177" i="20"/>
  <c r="AB177" i="20"/>
  <c r="W178" i="20"/>
  <c r="S178" i="20"/>
  <c r="T178" i="20"/>
  <c r="V178" i="20"/>
  <c r="W180" i="20"/>
  <c r="S180" i="20"/>
  <c r="V180" i="20"/>
  <c r="U180" i="20"/>
  <c r="Z182" i="20"/>
  <c r="U183" i="20"/>
  <c r="S183" i="20"/>
  <c r="W183" i="20"/>
  <c r="AC185" i="20"/>
  <c r="AD185" i="20"/>
  <c r="Y185" i="20"/>
  <c r="AA185" i="20"/>
  <c r="AB185" i="20"/>
  <c r="AB223" i="20"/>
  <c r="X223" i="20"/>
  <c r="Z223" i="20"/>
  <c r="AD223" i="20"/>
  <c r="AA223" i="20"/>
  <c r="Y223" i="20"/>
  <c r="U224" i="20"/>
  <c r="W224" i="20"/>
  <c r="T224" i="20"/>
  <c r="S224" i="20"/>
  <c r="AB243" i="20"/>
  <c r="X243" i="20"/>
  <c r="Z243" i="20"/>
  <c r="AA243" i="20"/>
  <c r="Y243" i="20"/>
  <c r="AD243" i="20"/>
  <c r="AC243" i="20"/>
  <c r="AA132" i="20"/>
  <c r="AD132" i="20"/>
  <c r="Y132" i="20"/>
  <c r="X132" i="20"/>
  <c r="U134" i="20"/>
  <c r="W134" i="20"/>
  <c r="V134" i="20"/>
  <c r="V135" i="20"/>
  <c r="S135" i="20"/>
  <c r="U135" i="20"/>
  <c r="AA140" i="20"/>
  <c r="AD140" i="20"/>
  <c r="Y140" i="20"/>
  <c r="X140" i="20"/>
  <c r="U142" i="20"/>
  <c r="W142" i="20"/>
  <c r="V142" i="20"/>
  <c r="V143" i="20"/>
  <c r="S143" i="20"/>
  <c r="U143" i="20"/>
  <c r="AB144" i="20"/>
  <c r="Y145" i="20"/>
  <c r="S146" i="20"/>
  <c r="AA148" i="20"/>
  <c r="AD148" i="20"/>
  <c r="Y148" i="20"/>
  <c r="X148" i="20"/>
  <c r="U150" i="20"/>
  <c r="W150" i="20"/>
  <c r="V150" i="20"/>
  <c r="V151" i="20"/>
  <c r="S151" i="20"/>
  <c r="U151" i="20"/>
  <c r="AB152" i="20"/>
  <c r="Y153" i="20"/>
  <c r="S154" i="20"/>
  <c r="AA156" i="20"/>
  <c r="AD156" i="20"/>
  <c r="Y156" i="20"/>
  <c r="X156" i="20"/>
  <c r="AB162" i="20"/>
  <c r="Y163" i="20"/>
  <c r="S164" i="20"/>
  <c r="AA166" i="20"/>
  <c r="AD166" i="20"/>
  <c r="Y166" i="20"/>
  <c r="X166" i="20"/>
  <c r="U168" i="20"/>
  <c r="W168" i="20"/>
  <c r="V168" i="20"/>
  <c r="AD168" i="20"/>
  <c r="X171" i="20"/>
  <c r="S173" i="20"/>
  <c r="X174" i="20"/>
  <c r="AA175" i="20"/>
  <c r="Z175" i="20"/>
  <c r="X175" i="20"/>
  <c r="AD175" i="20"/>
  <c r="AD176" i="20"/>
  <c r="AD177" i="20"/>
  <c r="AA178" i="20"/>
  <c r="AD178" i="20"/>
  <c r="Y178" i="20"/>
  <c r="X178" i="20"/>
  <c r="AC179" i="20"/>
  <c r="Y179" i="20"/>
  <c r="AD179" i="20"/>
  <c r="X179" i="20"/>
  <c r="V179" i="20"/>
  <c r="AB179" i="20"/>
  <c r="Z181" i="20"/>
  <c r="U182" i="20"/>
  <c r="AB182" i="20"/>
  <c r="Z183" i="20"/>
  <c r="T184" i="20"/>
  <c r="AB187" i="20"/>
  <c r="W188" i="20"/>
  <c r="S188" i="20"/>
  <c r="T188" i="20"/>
  <c r="V188" i="20"/>
  <c r="AB189" i="20"/>
  <c r="X190" i="20"/>
  <c r="AA194" i="20"/>
  <c r="AB207" i="20"/>
  <c r="X207" i="20"/>
  <c r="AC207" i="20"/>
  <c r="Z207" i="20"/>
  <c r="AD207" i="20"/>
  <c r="AA207" i="20"/>
  <c r="AB235" i="20"/>
  <c r="X235" i="20"/>
  <c r="Z235" i="20"/>
  <c r="AA235" i="20"/>
  <c r="Y235" i="20"/>
  <c r="AD235" i="20"/>
  <c r="AC235" i="20"/>
  <c r="R55" i="20"/>
  <c r="R158" i="20"/>
  <c r="J215" i="20"/>
  <c r="J343" i="20" s="1"/>
  <c r="J358" i="20" s="1"/>
  <c r="T169" i="20"/>
  <c r="T174" i="20"/>
  <c r="W175" i="20"/>
  <c r="S175" i="20"/>
  <c r="U175" i="20"/>
  <c r="V177" i="20"/>
  <c r="AB180" i="20"/>
  <c r="V181" i="20"/>
  <c r="AB184" i="20"/>
  <c r="V185" i="20"/>
  <c r="W186" i="20"/>
  <c r="S186" i="20"/>
  <c r="V186" i="20"/>
  <c r="U186" i="20"/>
  <c r="U189" i="20"/>
  <c r="S189" i="20"/>
  <c r="W189" i="20"/>
  <c r="U193" i="20"/>
  <c r="S193" i="20"/>
  <c r="W193" i="20"/>
  <c r="AC196" i="20"/>
  <c r="U197" i="20"/>
  <c r="S197" i="20"/>
  <c r="W197" i="20"/>
  <c r="V203" i="20"/>
  <c r="S203" i="20"/>
  <c r="U203" i="20"/>
  <c r="V209" i="20"/>
  <c r="U209" i="20"/>
  <c r="W209" i="20"/>
  <c r="AC209" i="20"/>
  <c r="W210" i="20"/>
  <c r="S210" i="20"/>
  <c r="V210" i="20"/>
  <c r="U210" i="20"/>
  <c r="V221" i="20"/>
  <c r="S221" i="20"/>
  <c r="U221" i="20"/>
  <c r="Z224" i="20"/>
  <c r="Y225" i="20"/>
  <c r="AA226" i="20"/>
  <c r="AD226" i="20"/>
  <c r="Y226" i="20"/>
  <c r="X226" i="20"/>
  <c r="U228" i="20"/>
  <c r="W228" i="20"/>
  <c r="V228" i="20"/>
  <c r="AD228" i="20"/>
  <c r="V229" i="20"/>
  <c r="S229" i="20"/>
  <c r="U229" i="20"/>
  <c r="AB230" i="20"/>
  <c r="Y231" i="20"/>
  <c r="S232" i="20"/>
  <c r="Z232" i="20"/>
  <c r="Y233" i="20"/>
  <c r="AA234" i="20"/>
  <c r="AD234" i="20"/>
  <c r="Y234" i="20"/>
  <c r="X234" i="20"/>
  <c r="U236" i="20"/>
  <c r="W236" i="20"/>
  <c r="V236" i="20"/>
  <c r="AD236" i="20"/>
  <c r="V237" i="20"/>
  <c r="S237" i="20"/>
  <c r="U237" i="20"/>
  <c r="AB238" i="20"/>
  <c r="Y239" i="20"/>
  <c r="S240" i="20"/>
  <c r="Y241" i="20"/>
  <c r="AA242" i="20"/>
  <c r="AD242" i="20"/>
  <c r="Y242" i="20"/>
  <c r="X242" i="20"/>
  <c r="U244" i="20"/>
  <c r="W244" i="20"/>
  <c r="V244" i="20"/>
  <c r="V245" i="20"/>
  <c r="S245" i="20"/>
  <c r="U245" i="20"/>
  <c r="AB246" i="20"/>
  <c r="AA247" i="20"/>
  <c r="AB251" i="20"/>
  <c r="X251" i="20"/>
  <c r="Z251" i="20"/>
  <c r="Y251" i="20"/>
  <c r="AD251" i="20"/>
  <c r="AD253" i="20"/>
  <c r="Z253" i="20"/>
  <c r="AC253" i="20"/>
  <c r="X253" i="20"/>
  <c r="Y253" i="20"/>
  <c r="AA258" i="20"/>
  <c r="AD258" i="20"/>
  <c r="Y258" i="20"/>
  <c r="AC258" i="20"/>
  <c r="AB258" i="20"/>
  <c r="AB259" i="20"/>
  <c r="X259" i="20"/>
  <c r="Z259" i="20"/>
  <c r="AA259" i="20"/>
  <c r="Y259" i="20"/>
  <c r="V261" i="20"/>
  <c r="S261" i="20"/>
  <c r="T261" i="20"/>
  <c r="W261" i="20"/>
  <c r="W262" i="20"/>
  <c r="S262" i="20"/>
  <c r="T262" i="20"/>
  <c r="V262" i="20"/>
  <c r="AB263" i="20"/>
  <c r="X263" i="20"/>
  <c r="Z263" i="20"/>
  <c r="AD263" i="20"/>
  <c r="AC263" i="20"/>
  <c r="AA263" i="20"/>
  <c r="AA266" i="20"/>
  <c r="AD266" i="20"/>
  <c r="Y266" i="20"/>
  <c r="Z266" i="20"/>
  <c r="AC266" i="20"/>
  <c r="AB266" i="20"/>
  <c r="V269" i="20"/>
  <c r="S269" i="20"/>
  <c r="W269" i="20"/>
  <c r="T269" i="20"/>
  <c r="AA274" i="20"/>
  <c r="AD274" i="20"/>
  <c r="Y274" i="20"/>
  <c r="Z274" i="20"/>
  <c r="AC274" i="20"/>
  <c r="AB274" i="20"/>
  <c r="AA191" i="20"/>
  <c r="Z191" i="20"/>
  <c r="X191" i="20"/>
  <c r="AD191" i="20"/>
  <c r="Z193" i="20"/>
  <c r="AA195" i="20"/>
  <c r="Z195" i="20"/>
  <c r="X195" i="20"/>
  <c r="AD195" i="20"/>
  <c r="Z197" i="20"/>
  <c r="AD203" i="20"/>
  <c r="Z203" i="20"/>
  <c r="AC203" i="20"/>
  <c r="X203" i="20"/>
  <c r="U208" i="20"/>
  <c r="T208" i="20"/>
  <c r="W208" i="20"/>
  <c r="AD221" i="20"/>
  <c r="Z221" i="20"/>
  <c r="AC221" i="20"/>
  <c r="X221" i="20"/>
  <c r="W222" i="20"/>
  <c r="S222" i="20"/>
  <c r="T222" i="20"/>
  <c r="V222" i="20"/>
  <c r="AC224" i="20"/>
  <c r="Y224" i="20"/>
  <c r="AB224" i="20"/>
  <c r="AA224" i="20"/>
  <c r="AD229" i="20"/>
  <c r="Z229" i="20"/>
  <c r="AC229" i="20"/>
  <c r="X229" i="20"/>
  <c r="W230" i="20"/>
  <c r="S230" i="20"/>
  <c r="T230" i="20"/>
  <c r="V230" i="20"/>
  <c r="AC232" i="20"/>
  <c r="Y232" i="20"/>
  <c r="AB232" i="20"/>
  <c r="AA232" i="20"/>
  <c r="Z234" i="20"/>
  <c r="AD237" i="20"/>
  <c r="Z237" i="20"/>
  <c r="AC237" i="20"/>
  <c r="X237" i="20"/>
  <c r="W237" i="20"/>
  <c r="W238" i="20"/>
  <c r="S238" i="20"/>
  <c r="T238" i="20"/>
  <c r="V238" i="20"/>
  <c r="AC240" i="20"/>
  <c r="Y240" i="20"/>
  <c r="AB240" i="20"/>
  <c r="AA240" i="20"/>
  <c r="Z242" i="20"/>
  <c r="AD245" i="20"/>
  <c r="Z245" i="20"/>
  <c r="AC245" i="20"/>
  <c r="X245" i="20"/>
  <c r="W245" i="20"/>
  <c r="W246" i="20"/>
  <c r="S246" i="20"/>
  <c r="T246" i="20"/>
  <c r="V246" i="20"/>
  <c r="W250" i="20"/>
  <c r="S250" i="20"/>
  <c r="T250" i="20"/>
  <c r="U250" i="20"/>
  <c r="AC252" i="20"/>
  <c r="Y252" i="20"/>
  <c r="AB252" i="20"/>
  <c r="Z252" i="20"/>
  <c r="AA253" i="20"/>
  <c r="U260" i="20"/>
  <c r="W260" i="20"/>
  <c r="T260" i="20"/>
  <c r="S260" i="20"/>
  <c r="AD261" i="20"/>
  <c r="Z261" i="20"/>
  <c r="AC261" i="20"/>
  <c r="X261" i="20"/>
  <c r="AA261" i="20"/>
  <c r="Y261" i="20"/>
  <c r="AB261" i="20"/>
  <c r="AB271" i="20"/>
  <c r="X271" i="20"/>
  <c r="Z271" i="20"/>
  <c r="AA271" i="20"/>
  <c r="AD271" i="20"/>
  <c r="AC271" i="20"/>
  <c r="AA230" i="20"/>
  <c r="AD230" i="20"/>
  <c r="Y230" i="20"/>
  <c r="X230" i="20"/>
  <c r="AB231" i="20"/>
  <c r="X231" i="20"/>
  <c r="Z231" i="20"/>
  <c r="AC231" i="20"/>
  <c r="U232" i="20"/>
  <c r="W232" i="20"/>
  <c r="V232" i="20"/>
  <c r="V233" i="20"/>
  <c r="S233" i="20"/>
  <c r="U233" i="20"/>
  <c r="AA238" i="20"/>
  <c r="AD238" i="20"/>
  <c r="Y238" i="20"/>
  <c r="X238" i="20"/>
  <c r="AB239" i="20"/>
  <c r="X239" i="20"/>
  <c r="Z239" i="20"/>
  <c r="AC239" i="20"/>
  <c r="U240" i="20"/>
  <c r="W240" i="20"/>
  <c r="V240" i="20"/>
  <c r="V241" i="20"/>
  <c r="S241" i="20"/>
  <c r="U241" i="20"/>
  <c r="AA246" i="20"/>
  <c r="AD246" i="20"/>
  <c r="Y246" i="20"/>
  <c r="X246" i="20"/>
  <c r="AB247" i="20"/>
  <c r="X247" i="20"/>
  <c r="Z247" i="20"/>
  <c r="AC247" i="20"/>
  <c r="AA250" i="20"/>
  <c r="AD250" i="20"/>
  <c r="Y250" i="20"/>
  <c r="AB250" i="20"/>
  <c r="Z250" i="20"/>
  <c r="AA251" i="20"/>
  <c r="U252" i="20"/>
  <c r="W252" i="20"/>
  <c r="S252" i="20"/>
  <c r="AB253" i="20"/>
  <c r="W254" i="20"/>
  <c r="S254" i="20"/>
  <c r="T254" i="20"/>
  <c r="V254" i="20"/>
  <c r="AC256" i="20"/>
  <c r="Y256" i="20"/>
  <c r="AB256" i="20"/>
  <c r="AD256" i="20"/>
  <c r="X258" i="20"/>
  <c r="AC259" i="20"/>
  <c r="AB267" i="20"/>
  <c r="X267" i="20"/>
  <c r="Z267" i="20"/>
  <c r="AD267" i="20"/>
  <c r="AA267" i="20"/>
  <c r="Y267" i="20"/>
  <c r="U268" i="20"/>
  <c r="W268" i="20"/>
  <c r="T268" i="20"/>
  <c r="S268" i="20"/>
  <c r="X274" i="20"/>
  <c r="AC193" i="20"/>
  <c r="Y193" i="20"/>
  <c r="AD193" i="20"/>
  <c r="X193" i="20"/>
  <c r="AB193" i="20"/>
  <c r="AB196" i="20"/>
  <c r="X196" i="20"/>
  <c r="AA196" i="20"/>
  <c r="Z196" i="20"/>
  <c r="AC197" i="20"/>
  <c r="Y197" i="20"/>
  <c r="AD197" i="20"/>
  <c r="X197" i="20"/>
  <c r="AB197" i="20"/>
  <c r="V204" i="20"/>
  <c r="W204" i="20"/>
  <c r="T204" i="20"/>
  <c r="V205" i="20"/>
  <c r="U205" i="20"/>
  <c r="W205" i="20"/>
  <c r="W206" i="20"/>
  <c r="S206" i="20"/>
  <c r="V206" i="20"/>
  <c r="U206" i="20"/>
  <c r="AD209" i="20"/>
  <c r="Z209" i="20"/>
  <c r="AA209" i="20"/>
  <c r="AB209" i="20"/>
  <c r="AD225" i="20"/>
  <c r="Z225" i="20"/>
  <c r="AC225" i="20"/>
  <c r="X225" i="20"/>
  <c r="W226" i="20"/>
  <c r="S226" i="20"/>
  <c r="T226" i="20"/>
  <c r="V226" i="20"/>
  <c r="AC228" i="20"/>
  <c r="Y228" i="20"/>
  <c r="AB228" i="20"/>
  <c r="AA228" i="20"/>
  <c r="Z230" i="20"/>
  <c r="AD231" i="20"/>
  <c r="AD233" i="20"/>
  <c r="Z233" i="20"/>
  <c r="AC233" i="20"/>
  <c r="X233" i="20"/>
  <c r="W233" i="20"/>
  <c r="W234" i="20"/>
  <c r="S234" i="20"/>
  <c r="T234" i="20"/>
  <c r="V234" i="20"/>
  <c r="AC236" i="20"/>
  <c r="Y236" i="20"/>
  <c r="AB236" i="20"/>
  <c r="AA236" i="20"/>
  <c r="Z238" i="20"/>
  <c r="AD239" i="20"/>
  <c r="AD241" i="20"/>
  <c r="Z241" i="20"/>
  <c r="AC241" i="20"/>
  <c r="X241" i="20"/>
  <c r="W241" i="20"/>
  <c r="W242" i="20"/>
  <c r="S242" i="20"/>
  <c r="T242" i="20"/>
  <c r="V242" i="20"/>
  <c r="AC242" i="20"/>
  <c r="AC244" i="20"/>
  <c r="Y244" i="20"/>
  <c r="AB244" i="20"/>
  <c r="T244" i="20"/>
  <c r="AA244" i="20"/>
  <c r="T245" i="20"/>
  <c r="AA245" i="20"/>
  <c r="Z246" i="20"/>
  <c r="Y247" i="20"/>
  <c r="AC248" i="20"/>
  <c r="Y248" i="20"/>
  <c r="AB248" i="20"/>
  <c r="AD248" i="20"/>
  <c r="AD249" i="20"/>
  <c r="Z249" i="20"/>
  <c r="AC249" i="20"/>
  <c r="X249" i="20"/>
  <c r="AB249" i="20"/>
  <c r="Y249" i="20"/>
  <c r="AC250" i="20"/>
  <c r="AC251" i="20"/>
  <c r="AA252" i="20"/>
  <c r="V253" i="20"/>
  <c r="S253" i="20"/>
  <c r="U253" i="20"/>
  <c r="AB255" i="20"/>
  <c r="X255" i="20"/>
  <c r="Z255" i="20"/>
  <c r="AC255" i="20"/>
  <c r="AA255" i="20"/>
  <c r="X256" i="20"/>
  <c r="Z258" i="20"/>
  <c r="AD259" i="20"/>
  <c r="V260" i="20"/>
  <c r="U261" i="20"/>
  <c r="U262" i="20"/>
  <c r="Y263" i="20"/>
  <c r="U269" i="20"/>
  <c r="AB186" i="20"/>
  <c r="V187" i="20"/>
  <c r="T190" i="20"/>
  <c r="W191" i="20"/>
  <c r="S191" i="20"/>
  <c r="U191" i="20"/>
  <c r="T194" i="20"/>
  <c r="W195" i="20"/>
  <c r="S195" i="20"/>
  <c r="U195" i="20"/>
  <c r="T202" i="20"/>
  <c r="AB206" i="20"/>
  <c r="AC208" i="20"/>
  <c r="Y208" i="20"/>
  <c r="Z208" i="20"/>
  <c r="AB210" i="20"/>
  <c r="U248" i="20"/>
  <c r="W248" i="20"/>
  <c r="V248" i="20"/>
  <c r="V249" i="20"/>
  <c r="S249" i="20"/>
  <c r="U249" i="20"/>
  <c r="AA254" i="20"/>
  <c r="AD254" i="20"/>
  <c r="Y254" i="20"/>
  <c r="X254" i="20"/>
  <c r="U256" i="20"/>
  <c r="W256" i="20"/>
  <c r="V256" i="20"/>
  <c r="V257" i="20"/>
  <c r="S257" i="20"/>
  <c r="U257" i="20"/>
  <c r="Z260" i="20"/>
  <c r="AA262" i="20"/>
  <c r="AD262" i="20"/>
  <c r="Y262" i="20"/>
  <c r="X262" i="20"/>
  <c r="U264" i="20"/>
  <c r="W264" i="20"/>
  <c r="V264" i="20"/>
  <c r="AD264" i="20"/>
  <c r="V265" i="20"/>
  <c r="S265" i="20"/>
  <c r="U265" i="20"/>
  <c r="Z268" i="20"/>
  <c r="Y269" i="20"/>
  <c r="AA270" i="20"/>
  <c r="AD270" i="20"/>
  <c r="Y270" i="20"/>
  <c r="X270" i="20"/>
  <c r="U272" i="20"/>
  <c r="W272" i="20"/>
  <c r="V272" i="20"/>
  <c r="AD272" i="20"/>
  <c r="V273" i="20"/>
  <c r="S273" i="20"/>
  <c r="U273" i="20"/>
  <c r="Y275" i="20"/>
  <c r="S276" i="20"/>
  <c r="Z276" i="20"/>
  <c r="Y277" i="20"/>
  <c r="AA278" i="20"/>
  <c r="AD278" i="20"/>
  <c r="Y278" i="20"/>
  <c r="AB278" i="20"/>
  <c r="Z278" i="20"/>
  <c r="AA279" i="20"/>
  <c r="U280" i="20"/>
  <c r="W280" i="20"/>
  <c r="S280" i="20"/>
  <c r="X280" i="20"/>
  <c r="W282" i="20"/>
  <c r="S282" i="20"/>
  <c r="T282" i="20"/>
  <c r="V282" i="20"/>
  <c r="AA286" i="20"/>
  <c r="AD286" i="20"/>
  <c r="Y286" i="20"/>
  <c r="Z286" i="20"/>
  <c r="AB286" i="20"/>
  <c r="AC286" i="20"/>
  <c r="AD257" i="20"/>
  <c r="Z257" i="20"/>
  <c r="AC257" i="20"/>
  <c r="X257" i="20"/>
  <c r="W258" i="20"/>
  <c r="S258" i="20"/>
  <c r="T258" i="20"/>
  <c r="V258" i="20"/>
  <c r="AC260" i="20"/>
  <c r="Y260" i="20"/>
  <c r="AB260" i="20"/>
  <c r="AA260" i="20"/>
  <c r="AD265" i="20"/>
  <c r="Z265" i="20"/>
  <c r="AC265" i="20"/>
  <c r="X265" i="20"/>
  <c r="W266" i="20"/>
  <c r="S266" i="20"/>
  <c r="T266" i="20"/>
  <c r="V266" i="20"/>
  <c r="AC268" i="20"/>
  <c r="Y268" i="20"/>
  <c r="AB268" i="20"/>
  <c r="AA268" i="20"/>
  <c r="AD273" i="20"/>
  <c r="Z273" i="20"/>
  <c r="AC273" i="20"/>
  <c r="X273" i="20"/>
  <c r="W274" i="20"/>
  <c r="S274" i="20"/>
  <c r="T274" i="20"/>
  <c r="V274" i="20"/>
  <c r="AC276" i="20"/>
  <c r="Y276" i="20"/>
  <c r="AB276" i="20"/>
  <c r="AA276" i="20"/>
  <c r="AA277" i="20"/>
  <c r="AC278" i="20"/>
  <c r="AA280" i="20"/>
  <c r="V281" i="20"/>
  <c r="S281" i="20"/>
  <c r="U281" i="20"/>
  <c r="AB283" i="20"/>
  <c r="X283" i="20"/>
  <c r="Z283" i="20"/>
  <c r="AC283" i="20"/>
  <c r="AA283" i="20"/>
  <c r="AB275" i="20"/>
  <c r="X275" i="20"/>
  <c r="Z275" i="20"/>
  <c r="AC275" i="20"/>
  <c r="U276" i="20"/>
  <c r="W276" i="20"/>
  <c r="V276" i="20"/>
  <c r="V277" i="20"/>
  <c r="S277" i="20"/>
  <c r="U277" i="20"/>
  <c r="AB279" i="20"/>
  <c r="X279" i="20"/>
  <c r="Z279" i="20"/>
  <c r="Y279" i="20"/>
  <c r="AD279" i="20"/>
  <c r="AD281" i="20"/>
  <c r="Z281" i="20"/>
  <c r="AC281" i="20"/>
  <c r="X281" i="20"/>
  <c r="Y281" i="20"/>
  <c r="W281" i="20"/>
  <c r="AD283" i="20"/>
  <c r="AC264" i="20"/>
  <c r="Y264" i="20"/>
  <c r="AB264" i="20"/>
  <c r="AA264" i="20"/>
  <c r="AD269" i="20"/>
  <c r="Z269" i="20"/>
  <c r="AC269" i="20"/>
  <c r="X269" i="20"/>
  <c r="W270" i="20"/>
  <c r="S270" i="20"/>
  <c r="T270" i="20"/>
  <c r="V270" i="20"/>
  <c r="AC272" i="20"/>
  <c r="Y272" i="20"/>
  <c r="AB272" i="20"/>
  <c r="AA272" i="20"/>
  <c r="AD275" i="20"/>
  <c r="AD277" i="20"/>
  <c r="Z277" i="20"/>
  <c r="AC277" i="20"/>
  <c r="X277" i="20"/>
  <c r="W278" i="20"/>
  <c r="S278" i="20"/>
  <c r="T278" i="20"/>
  <c r="U278" i="20"/>
  <c r="AC280" i="20"/>
  <c r="Y280" i="20"/>
  <c r="AB280" i="20"/>
  <c r="Z280" i="20"/>
  <c r="AD285" i="20"/>
  <c r="Z285" i="20"/>
  <c r="AC285" i="20"/>
  <c r="X285" i="20"/>
  <c r="AA285" i="20"/>
  <c r="AB285" i="20"/>
  <c r="Y285" i="20"/>
  <c r="W286" i="20"/>
  <c r="S286" i="20"/>
  <c r="T286" i="20"/>
  <c r="U286" i="20"/>
  <c r="AC288" i="20"/>
  <c r="Y288" i="20"/>
  <c r="AB288" i="20"/>
  <c r="X288" i="20"/>
  <c r="AD288" i="20"/>
  <c r="Z288" i="20"/>
  <c r="AA288" i="20"/>
  <c r="U247" i="20"/>
  <c r="AA282" i="20"/>
  <c r="AD282" i="20"/>
  <c r="Y282" i="20"/>
  <c r="X282" i="20"/>
  <c r="U284" i="20"/>
  <c r="W284" i="20"/>
  <c r="V284" i="20"/>
  <c r="V285" i="20"/>
  <c r="S285" i="20"/>
  <c r="U285" i="20"/>
  <c r="Y289" i="20"/>
  <c r="AB290" i="20"/>
  <c r="X290" i="20"/>
  <c r="AD290" i="20"/>
  <c r="Y290" i="20"/>
  <c r="AA290" i="20"/>
  <c r="Z290" i="20"/>
  <c r="AA293" i="20"/>
  <c r="AC293" i="20"/>
  <c r="X293" i="20"/>
  <c r="AB293" i="20"/>
  <c r="Z293" i="20"/>
  <c r="AD293" i="20"/>
  <c r="AB294" i="20"/>
  <c r="X294" i="20"/>
  <c r="AD294" i="20"/>
  <c r="Y294" i="20"/>
  <c r="Z294" i="20"/>
  <c r="AB287" i="20"/>
  <c r="X287" i="20"/>
  <c r="Z287" i="20"/>
  <c r="AC287" i="20"/>
  <c r="U288" i="20"/>
  <c r="W288" i="20"/>
  <c r="V288" i="20"/>
  <c r="V289" i="20"/>
  <c r="S289" i="20"/>
  <c r="U289" i="20"/>
  <c r="AD292" i="20"/>
  <c r="Z292" i="20"/>
  <c r="AB292" i="20"/>
  <c r="AC292" i="20"/>
  <c r="AA292" i="20"/>
  <c r="AD296" i="20"/>
  <c r="Z296" i="20"/>
  <c r="AB296" i="20"/>
  <c r="AC296" i="20"/>
  <c r="X296" i="20"/>
  <c r="AA296" i="20"/>
  <c r="AC284" i="20"/>
  <c r="Y284" i="20"/>
  <c r="AB284" i="20"/>
  <c r="AA284" i="20"/>
  <c r="AD287" i="20"/>
  <c r="AD289" i="20"/>
  <c r="Z289" i="20"/>
  <c r="AC289" i="20"/>
  <c r="X289" i="20"/>
  <c r="W289" i="20"/>
  <c r="T290" i="20"/>
  <c r="S290" i="20"/>
  <c r="U290" i="20"/>
  <c r="W290" i="20"/>
  <c r="X292" i="20"/>
  <c r="AA294" i="20"/>
  <c r="AC291" i="20"/>
  <c r="Y291" i="20"/>
  <c r="AA291" i="20"/>
  <c r="AB291" i="20"/>
  <c r="V292" i="20"/>
  <c r="W292" i="20"/>
  <c r="T292" i="20"/>
  <c r="X295" i="20"/>
  <c r="W297" i="20"/>
  <c r="S297" i="20"/>
  <c r="T297" i="20"/>
  <c r="V297" i="20"/>
  <c r="AD306" i="20"/>
  <c r="Z306" i="20"/>
  <c r="AA306" i="20"/>
  <c r="AB306" i="20"/>
  <c r="Y306" i="20"/>
  <c r="AC306" i="20"/>
  <c r="W293" i="20"/>
  <c r="S293" i="20"/>
  <c r="U293" i="20"/>
  <c r="AA297" i="20"/>
  <c r="AC297" i="20"/>
  <c r="X297" i="20"/>
  <c r="AD297" i="20"/>
  <c r="Y297" i="20"/>
  <c r="Z297" i="20"/>
  <c r="AA298" i="20"/>
  <c r="AA328" i="20"/>
  <c r="AD328" i="20"/>
  <c r="Z328" i="20"/>
  <c r="AB328" i="20"/>
  <c r="Y328" i="20"/>
  <c r="AC328" i="20"/>
  <c r="X328" i="20"/>
  <c r="AC295" i="20"/>
  <c r="Y295" i="20"/>
  <c r="AA295" i="20"/>
  <c r="AB295" i="20"/>
  <c r="V296" i="20"/>
  <c r="W296" i="20"/>
  <c r="S296" i="20"/>
  <c r="U296" i="20"/>
  <c r="AB297" i="20"/>
  <c r="AB304" i="20"/>
  <c r="X304" i="20"/>
  <c r="AC304" i="20"/>
  <c r="Y304" i="20"/>
  <c r="Z304" i="20"/>
  <c r="AA304" i="20"/>
  <c r="X306" i="20"/>
  <c r="AB298" i="20"/>
  <c r="X298" i="20"/>
  <c r="AD298" i="20"/>
  <c r="Y298" i="20"/>
  <c r="Z298" i="20"/>
  <c r="AA305" i="20"/>
  <c r="AB305" i="20"/>
  <c r="X305" i="20"/>
  <c r="Y305" i="20"/>
  <c r="AD305" i="20"/>
  <c r="Z305" i="20"/>
  <c r="AC307" i="20"/>
  <c r="Y307" i="20"/>
  <c r="AB307" i="20"/>
  <c r="X307" i="20"/>
  <c r="AD307" i="20"/>
  <c r="Z307" i="20"/>
  <c r="AA307" i="20"/>
  <c r="R301" i="20"/>
  <c r="V306" i="20"/>
  <c r="W306" i="20"/>
  <c r="S306" i="20"/>
  <c r="U306" i="20"/>
  <c r="AB308" i="20"/>
  <c r="X308" i="20"/>
  <c r="AA308" i="20"/>
  <c r="AC308" i="20"/>
  <c r="Y308" i="20"/>
  <c r="AA318" i="20"/>
  <c r="AA321" i="20" s="1"/>
  <c r="AA324" i="20" s="1"/>
  <c r="AD318" i="20"/>
  <c r="AD321" i="20" s="1"/>
  <c r="AD324" i="20" s="1"/>
  <c r="Z318" i="20"/>
  <c r="Z321" i="20" s="1"/>
  <c r="Z324" i="20" s="1"/>
  <c r="AB318" i="20"/>
  <c r="Y318" i="20"/>
  <c r="AC318" i="20"/>
  <c r="AC321" i="20" s="1"/>
  <c r="AC324" i="20" s="1"/>
  <c r="AA333" i="20"/>
  <c r="AD333" i="20"/>
  <c r="Z333" i="20"/>
  <c r="AC333" i="20"/>
  <c r="Y333" i="20"/>
  <c r="AB333" i="20"/>
  <c r="AD329" i="20"/>
  <c r="Z329" i="20"/>
  <c r="AC329" i="20"/>
  <c r="Y329" i="20"/>
  <c r="X329" i="20"/>
  <c r="AA329" i="20"/>
  <c r="AB329" i="20"/>
  <c r="AB299" i="20"/>
  <c r="X299" i="20"/>
  <c r="AC299" i="20"/>
  <c r="Y299" i="20"/>
  <c r="AD299" i="20"/>
  <c r="Z308" i="20"/>
  <c r="X318" i="20"/>
  <c r="R324" i="20"/>
  <c r="V291" i="20"/>
  <c r="V295" i="20"/>
  <c r="T306" i="20"/>
  <c r="AD308" i="20"/>
  <c r="X333" i="20"/>
  <c r="U299" i="20"/>
  <c r="U304" i="20"/>
  <c r="V307" i="20"/>
  <c r="U308" i="20"/>
  <c r="W318" i="20"/>
  <c r="W321" i="20" s="1"/>
  <c r="W324" i="20" s="1"/>
  <c r="S318" i="20"/>
  <c r="V318" i="20"/>
  <c r="V321" i="20" s="1"/>
  <c r="V324" i="20" s="1"/>
  <c r="U318" i="20"/>
  <c r="U321" i="20" s="1"/>
  <c r="U324" i="20" s="1"/>
  <c r="W328" i="20"/>
  <c r="S328" i="20"/>
  <c r="V328" i="20"/>
  <c r="U328" i="20"/>
  <c r="AB332" i="20"/>
  <c r="X332" i="20"/>
  <c r="AA332" i="20"/>
  <c r="AD332" i="20"/>
  <c r="Z332" i="20"/>
  <c r="AC332" i="20"/>
  <c r="AA335" i="20"/>
  <c r="AD335" i="20"/>
  <c r="Z335" i="20"/>
  <c r="AC335" i="20"/>
  <c r="Y335" i="20"/>
  <c r="AB335" i="20"/>
  <c r="X335" i="20"/>
  <c r="AA364" i="20"/>
  <c r="AD364" i="20"/>
  <c r="Z364" i="20"/>
  <c r="AC364" i="20"/>
  <c r="Y364" i="20"/>
  <c r="AB364" i="20"/>
  <c r="X364" i="20"/>
  <c r="T307" i="20"/>
  <c r="R321" i="20"/>
  <c r="V329" i="20"/>
  <c r="U329" i="20"/>
  <c r="W329" i="20"/>
  <c r="W333" i="20"/>
  <c r="S333" i="20"/>
  <c r="V333" i="20"/>
  <c r="U333" i="20"/>
  <c r="AA363" i="20"/>
  <c r="AD363" i="20"/>
  <c r="Z363" i="20"/>
  <c r="AC363" i="20"/>
  <c r="Y363" i="20"/>
  <c r="AB363" i="20"/>
  <c r="X363" i="20"/>
  <c r="P313" i="20"/>
  <c r="P343" i="20" s="1"/>
  <c r="P358" i="20" s="1"/>
  <c r="T318" i="20"/>
  <c r="AC330" i="20"/>
  <c r="Y330" i="20"/>
  <c r="AB330" i="20"/>
  <c r="X330" i="20"/>
  <c r="AA330" i="20"/>
  <c r="Y332" i="20"/>
  <c r="AA362" i="20"/>
  <c r="AD362" i="20"/>
  <c r="Z362" i="20"/>
  <c r="AC362" i="20"/>
  <c r="Y362" i="20"/>
  <c r="AB362" i="20"/>
  <c r="X362" i="20"/>
  <c r="Y334" i="20"/>
  <c r="AC334" i="20"/>
  <c r="T335" i="20"/>
  <c r="T362" i="20"/>
  <c r="T363" i="20"/>
  <c r="T364" i="20"/>
  <c r="T317" i="20"/>
  <c r="X317" i="20"/>
  <c r="AB317" i="20"/>
  <c r="T319" i="20"/>
  <c r="X319" i="20"/>
  <c r="AB319" i="20"/>
  <c r="S331" i="20"/>
  <c r="W331" i="20"/>
  <c r="AA331" i="20"/>
  <c r="V332" i="20"/>
  <c r="V334" i="20"/>
  <c r="Z334" i="20"/>
  <c r="AD334" i="20"/>
  <c r="U335" i="20"/>
  <c r="R337" i="20"/>
  <c r="U362" i="20"/>
  <c r="U363" i="20"/>
  <c r="U364" i="20"/>
  <c r="Y317" i="20"/>
  <c r="Y319" i="20"/>
  <c r="X331" i="20"/>
  <c r="AB331" i="20"/>
  <c r="S332" i="20"/>
  <c r="W332" i="20"/>
  <c r="S334" i="20"/>
  <c r="W334" i="20"/>
  <c r="AA334" i="20"/>
  <c r="V335" i="20"/>
  <c r="V362" i="20"/>
  <c r="V363" i="20"/>
  <c r="V364" i="20"/>
  <c r="Y331" i="20"/>
  <c r="X334" i="20"/>
  <c r="S335" i="20"/>
  <c r="S362" i="20"/>
  <c r="S363" i="20"/>
  <c r="S364" i="20"/>
  <c r="T78" i="20" l="1"/>
  <c r="W66" i="20"/>
  <c r="AE37" i="20"/>
  <c r="AE259" i="19"/>
  <c r="AE50" i="20"/>
  <c r="P343" i="19"/>
  <c r="P358" i="19" s="1"/>
  <c r="AE96" i="19"/>
  <c r="AE112" i="19"/>
  <c r="J343" i="19"/>
  <c r="J358" i="19" s="1"/>
  <c r="AE287" i="19"/>
  <c r="AE255" i="19"/>
  <c r="AE223" i="19"/>
  <c r="AF223" i="19" s="1"/>
  <c r="AE22" i="20"/>
  <c r="L343" i="19"/>
  <c r="L358" i="19" s="1"/>
  <c r="AE152" i="19"/>
  <c r="AE100" i="19"/>
  <c r="AE61" i="19"/>
  <c r="V66" i="19"/>
  <c r="AE279" i="19"/>
  <c r="AE247" i="19"/>
  <c r="AE305" i="19"/>
  <c r="AE148" i="19"/>
  <c r="AE136" i="19"/>
  <c r="AE202" i="20"/>
  <c r="AE21" i="20"/>
  <c r="AE144" i="19"/>
  <c r="S212" i="19"/>
  <c r="AE128" i="19"/>
  <c r="AE73" i="19"/>
  <c r="AD78" i="19"/>
  <c r="AE271" i="19"/>
  <c r="AE239" i="19"/>
  <c r="AF239" i="19" s="1"/>
  <c r="AE196" i="19"/>
  <c r="AE185" i="19"/>
  <c r="AE132" i="19"/>
  <c r="AE124" i="19"/>
  <c r="M343" i="19"/>
  <c r="M358" i="19" s="1"/>
  <c r="AE13" i="20"/>
  <c r="AE235" i="19"/>
  <c r="AF235" i="19" s="1"/>
  <c r="I343" i="20"/>
  <c r="I358" i="20" s="1"/>
  <c r="AE108" i="19"/>
  <c r="AE120" i="19"/>
  <c r="AE62" i="19"/>
  <c r="AE95" i="19"/>
  <c r="AE30" i="20"/>
  <c r="AE182" i="19"/>
  <c r="AE167" i="19"/>
  <c r="AE51" i="19"/>
  <c r="AE47" i="19"/>
  <c r="AE43" i="19"/>
  <c r="U78" i="20"/>
  <c r="F343" i="19"/>
  <c r="R343" i="19" s="1"/>
  <c r="N343" i="19"/>
  <c r="N358" i="19" s="1"/>
  <c r="Q343" i="19"/>
  <c r="Q358" i="19" s="1"/>
  <c r="AE332" i="19"/>
  <c r="U212" i="19"/>
  <c r="AE149" i="19"/>
  <c r="V55" i="19"/>
  <c r="V81" i="19" s="1"/>
  <c r="AE141" i="19"/>
  <c r="AE28" i="19"/>
  <c r="AE32" i="19"/>
  <c r="R340" i="19"/>
  <c r="AE193" i="19"/>
  <c r="V366" i="20"/>
  <c r="AB366" i="20"/>
  <c r="AE330" i="20"/>
  <c r="AE328" i="20"/>
  <c r="AE304" i="20"/>
  <c r="AE204" i="20"/>
  <c r="AE164" i="20"/>
  <c r="L23" i="17" s="1"/>
  <c r="AE146" i="20"/>
  <c r="W78" i="20"/>
  <c r="AE14" i="20"/>
  <c r="AE49" i="20"/>
  <c r="AE33" i="20"/>
  <c r="AE17" i="20"/>
  <c r="AD366" i="20"/>
  <c r="AE154" i="20"/>
  <c r="AE150" i="20"/>
  <c r="AE45" i="20"/>
  <c r="AE29" i="20"/>
  <c r="AE64" i="20"/>
  <c r="AE307" i="20"/>
  <c r="AE279" i="20"/>
  <c r="AE234" i="20"/>
  <c r="AE53" i="20"/>
  <c r="Q343" i="20"/>
  <c r="Q358" i="20" s="1"/>
  <c r="AE299" i="20"/>
  <c r="AE298" i="20"/>
  <c r="AE222" i="20"/>
  <c r="AE251" i="20"/>
  <c r="AE143" i="20"/>
  <c r="AE142" i="20"/>
  <c r="AD55" i="20"/>
  <c r="AE286" i="20"/>
  <c r="AE270" i="20"/>
  <c r="AB321" i="20"/>
  <c r="AB324" i="20" s="1"/>
  <c r="AE194" i="20"/>
  <c r="AE190" i="20"/>
  <c r="AE121" i="20"/>
  <c r="AE118" i="20"/>
  <c r="AE95" i="20"/>
  <c r="AE94" i="20"/>
  <c r="AE62" i="20"/>
  <c r="AE25" i="20"/>
  <c r="AE60" i="20"/>
  <c r="AE46" i="20"/>
  <c r="AE36" i="20"/>
  <c r="AE12" i="20"/>
  <c r="AE71" i="20"/>
  <c r="AE27" i="20"/>
  <c r="AE19" i="20"/>
  <c r="AE299" i="19"/>
  <c r="AE267" i="19"/>
  <c r="W366" i="19"/>
  <c r="AE290" i="19"/>
  <c r="AE274" i="19"/>
  <c r="AE266" i="19"/>
  <c r="AE258" i="19"/>
  <c r="AE242" i="19"/>
  <c r="AE234" i="19"/>
  <c r="AF234" i="19" s="1"/>
  <c r="AE284" i="19"/>
  <c r="AE156" i="19"/>
  <c r="AE189" i="19"/>
  <c r="AE143" i="19"/>
  <c r="AE139" i="19"/>
  <c r="AE131" i="19"/>
  <c r="AE127" i="19"/>
  <c r="AE123" i="19"/>
  <c r="AE119" i="19"/>
  <c r="AE252" i="19"/>
  <c r="AE109" i="19"/>
  <c r="AE74" i="19"/>
  <c r="AE39" i="19"/>
  <c r="AE111" i="19"/>
  <c r="AB321" i="19"/>
  <c r="AB324" i="19" s="1"/>
  <c r="AE268" i="19"/>
  <c r="AE294" i="19"/>
  <c r="AE163" i="19"/>
  <c r="G343" i="19"/>
  <c r="G358" i="19" s="1"/>
  <c r="AE334" i="20"/>
  <c r="AE319" i="20"/>
  <c r="AA366" i="20"/>
  <c r="AE331" i="20"/>
  <c r="AC366" i="20"/>
  <c r="AE329" i="20"/>
  <c r="AE335" i="20"/>
  <c r="X366" i="20"/>
  <c r="Z366" i="20"/>
  <c r="AE333" i="20"/>
  <c r="AE291" i="20"/>
  <c r="AE305" i="20"/>
  <c r="AE292" i="20"/>
  <c r="AE247" i="20"/>
  <c r="AE275" i="20"/>
  <c r="AE281" i="20"/>
  <c r="AE280" i="20"/>
  <c r="AE264" i="20"/>
  <c r="AE253" i="20"/>
  <c r="AE244" i="20"/>
  <c r="AE205" i="20"/>
  <c r="V212" i="20"/>
  <c r="AE196" i="20"/>
  <c r="AE268" i="20"/>
  <c r="AE267" i="20"/>
  <c r="AE231" i="20"/>
  <c r="AE238" i="20"/>
  <c r="AE197" i="20"/>
  <c r="AE193" i="20"/>
  <c r="AE235" i="20"/>
  <c r="AE135" i="20"/>
  <c r="AE134" i="20"/>
  <c r="AE224" i="20"/>
  <c r="AE223" i="20"/>
  <c r="AE166" i="20"/>
  <c r="AC199" i="20"/>
  <c r="AE153" i="20"/>
  <c r="AE152" i="20"/>
  <c r="AE144" i="20"/>
  <c r="AE136" i="20"/>
  <c r="L77" i="17" s="1"/>
  <c r="AE128" i="20"/>
  <c r="AE120" i="20"/>
  <c r="L120" i="17" s="1"/>
  <c r="AE148" i="20"/>
  <c r="AE130" i="20"/>
  <c r="AE115" i="20"/>
  <c r="AE113" i="20"/>
  <c r="AE127" i="20"/>
  <c r="AE124" i="20"/>
  <c r="L63" i="17" s="1"/>
  <c r="AE112" i="20"/>
  <c r="AE149" i="20"/>
  <c r="AE137" i="20"/>
  <c r="AE131" i="20"/>
  <c r="AE89" i="20"/>
  <c r="L102" i="17" s="1"/>
  <c r="AE74" i="20"/>
  <c r="AE70" i="20"/>
  <c r="AE126" i="20"/>
  <c r="AE123" i="20"/>
  <c r="AE88" i="20"/>
  <c r="L100" i="17" s="1"/>
  <c r="V55" i="20"/>
  <c r="V81" i="20" s="1"/>
  <c r="AE90" i="20"/>
  <c r="L104" i="17" s="1"/>
  <c r="AE87" i="20"/>
  <c r="L98" i="17" s="1"/>
  <c r="AE52" i="20"/>
  <c r="AE20" i="20"/>
  <c r="AE15" i="20"/>
  <c r="AE117" i="20"/>
  <c r="Z158" i="20"/>
  <c r="AE104" i="20"/>
  <c r="L91" i="17" s="1"/>
  <c r="AB66" i="20"/>
  <c r="AE97" i="20"/>
  <c r="AE318" i="20"/>
  <c r="AE306" i="20"/>
  <c r="S321" i="20"/>
  <c r="S324" i="20" s="1"/>
  <c r="AE296" i="20"/>
  <c r="AE297" i="20"/>
  <c r="AE278" i="20"/>
  <c r="AE277" i="20"/>
  <c r="AE283" i="20"/>
  <c r="AE282" i="20"/>
  <c r="AE249" i="20"/>
  <c r="AE248" i="20"/>
  <c r="AE195" i="20"/>
  <c r="AE191" i="20"/>
  <c r="AE255" i="20"/>
  <c r="AE226" i="20"/>
  <c r="AE206" i="20"/>
  <c r="AE252" i="20"/>
  <c r="AE233" i="20"/>
  <c r="AE208" i="20"/>
  <c r="AE240" i="20"/>
  <c r="AE237" i="20"/>
  <c r="AE232" i="20"/>
  <c r="AE229" i="20"/>
  <c r="AE188" i="20"/>
  <c r="AE168" i="20"/>
  <c r="AE151" i="20"/>
  <c r="AE155" i="20"/>
  <c r="AE184" i="20"/>
  <c r="AE132" i="20"/>
  <c r="AE138" i="20"/>
  <c r="AE133" i="20"/>
  <c r="AE119" i="20"/>
  <c r="AE106" i="20"/>
  <c r="AE116" i="20"/>
  <c r="L129" i="17" s="1"/>
  <c r="AE100" i="20"/>
  <c r="L86" i="17" s="1"/>
  <c r="AE73" i="20"/>
  <c r="AE129" i="20"/>
  <c r="AE38" i="20"/>
  <c r="AE125" i="20"/>
  <c r="AE98" i="20"/>
  <c r="AE43" i="20"/>
  <c r="AE35" i="20"/>
  <c r="AE72" i="20"/>
  <c r="X66" i="20"/>
  <c r="AE51" i="20"/>
  <c r="T55" i="20"/>
  <c r="T81" i="20" s="1"/>
  <c r="Y366" i="20"/>
  <c r="AE287" i="20"/>
  <c r="AE273" i="20"/>
  <c r="AE254" i="20"/>
  <c r="AE239" i="20"/>
  <c r="AE271" i="20"/>
  <c r="AE250" i="20"/>
  <c r="AE246" i="20"/>
  <c r="AE230" i="20"/>
  <c r="AE269" i="20"/>
  <c r="AE263" i="20"/>
  <c r="AE262" i="20"/>
  <c r="AE236" i="20"/>
  <c r="AE228" i="20"/>
  <c r="AE221" i="20"/>
  <c r="AE210" i="20"/>
  <c r="AE209" i="20"/>
  <c r="AE207" i="20"/>
  <c r="AE243" i="20"/>
  <c r="AE176" i="20"/>
  <c r="AE227" i="20"/>
  <c r="AE192" i="20"/>
  <c r="AE163" i="20"/>
  <c r="AE145" i="20"/>
  <c r="AE225" i="20"/>
  <c r="AE167" i="20"/>
  <c r="AE156" i="20"/>
  <c r="AE140" i="20"/>
  <c r="AE139" i="20"/>
  <c r="T158" i="20"/>
  <c r="AE122" i="20"/>
  <c r="AE108" i="20"/>
  <c r="L95" i="17" s="1"/>
  <c r="AE93" i="20"/>
  <c r="AE75" i="20"/>
  <c r="AE44" i="20"/>
  <c r="AE39" i="20"/>
  <c r="AE31" i="20"/>
  <c r="AE91" i="20"/>
  <c r="AE48" i="20"/>
  <c r="AE40" i="20"/>
  <c r="AE32" i="20"/>
  <c r="AE16" i="20"/>
  <c r="AE99" i="20"/>
  <c r="AC66" i="20"/>
  <c r="AE332" i="20"/>
  <c r="AE308" i="20"/>
  <c r="AE295" i="20"/>
  <c r="AE293" i="20"/>
  <c r="AE290" i="20"/>
  <c r="AE289" i="20"/>
  <c r="AE288" i="20"/>
  <c r="AE294" i="20"/>
  <c r="AE285" i="20"/>
  <c r="AE284" i="20"/>
  <c r="AE274" i="20"/>
  <c r="AE266" i="20"/>
  <c r="AE258" i="20"/>
  <c r="AE276" i="20"/>
  <c r="AE272" i="20"/>
  <c r="AE265" i="20"/>
  <c r="AE257" i="20"/>
  <c r="AE256" i="20"/>
  <c r="AE242" i="20"/>
  <c r="W212" i="20"/>
  <c r="AE241" i="20"/>
  <c r="X301" i="20"/>
  <c r="X313" i="20" s="1"/>
  <c r="AE260" i="20"/>
  <c r="AE259" i="20"/>
  <c r="AE245" i="20"/>
  <c r="AE189" i="20"/>
  <c r="AE165" i="20"/>
  <c r="U199" i="20"/>
  <c r="AE147" i="20"/>
  <c r="AE107" i="20"/>
  <c r="AE105" i="20"/>
  <c r="AE141" i="20"/>
  <c r="AE114" i="20"/>
  <c r="AE111" i="20"/>
  <c r="AE110" i="20"/>
  <c r="AE103" i="20"/>
  <c r="L89" i="17" s="1"/>
  <c r="AE102" i="20"/>
  <c r="AE92" i="20"/>
  <c r="AE61" i="20"/>
  <c r="AE96" i="20"/>
  <c r="L76" i="17" s="1"/>
  <c r="AA158" i="20"/>
  <c r="AE47" i="20"/>
  <c r="AE28" i="20"/>
  <c r="AE23" i="20"/>
  <c r="AE18" i="20"/>
  <c r="AE109" i="20"/>
  <c r="AE76" i="20"/>
  <c r="AB78" i="20"/>
  <c r="AE63" i="20"/>
  <c r="AE101" i="20"/>
  <c r="AE59" i="20"/>
  <c r="AE291" i="19"/>
  <c r="AE275" i="19"/>
  <c r="AE243" i="19"/>
  <c r="AE227" i="19"/>
  <c r="AF227" i="19" s="1"/>
  <c r="AE318" i="19"/>
  <c r="Z321" i="19"/>
  <c r="Z324" i="19" s="1"/>
  <c r="U301" i="19"/>
  <c r="U313" i="19" s="1"/>
  <c r="AE289" i="19"/>
  <c r="W321" i="19"/>
  <c r="W324" i="19" s="1"/>
  <c r="AE286" i="19"/>
  <c r="AE210" i="19"/>
  <c r="U158" i="19"/>
  <c r="AE238" i="19"/>
  <c r="AF238" i="19" s="1"/>
  <c r="AE197" i="19"/>
  <c r="L31" i="17" s="1"/>
  <c r="M31" i="17" s="1"/>
  <c r="AE180" i="19"/>
  <c r="AE63" i="19"/>
  <c r="AE72" i="19"/>
  <c r="AE147" i="19"/>
  <c r="L58" i="17" s="1"/>
  <c r="AE135" i="19"/>
  <c r="AE107" i="19"/>
  <c r="V158" i="19"/>
  <c r="AE36" i="19"/>
  <c r="AE329" i="19"/>
  <c r="AE334" i="19"/>
  <c r="AE306" i="19"/>
  <c r="AE269" i="19"/>
  <c r="AE237" i="19"/>
  <c r="AF237" i="19" s="1"/>
  <c r="AE272" i="19"/>
  <c r="AE228" i="19"/>
  <c r="AF228" i="19" s="1"/>
  <c r="AE262" i="19"/>
  <c r="AE278" i="19"/>
  <c r="AE192" i="19"/>
  <c r="AE155" i="19"/>
  <c r="AC199" i="19"/>
  <c r="AE151" i="19"/>
  <c r="AE91" i="19"/>
  <c r="L61" i="17" s="1"/>
  <c r="Z78" i="19"/>
  <c r="AE46" i="19"/>
  <c r="AE76" i="19"/>
  <c r="AE260" i="19"/>
  <c r="AE209" i="19"/>
  <c r="AE195" i="19"/>
  <c r="AE191" i="19"/>
  <c r="AE165" i="19"/>
  <c r="AE101" i="19"/>
  <c r="L87" i="17" s="1"/>
  <c r="AE75" i="19"/>
  <c r="AE18" i="19"/>
  <c r="AE115" i="19"/>
  <c r="L125" i="17" s="1"/>
  <c r="AE99" i="19"/>
  <c r="W158" i="19"/>
  <c r="AE42" i="19"/>
  <c r="Y66" i="19"/>
  <c r="AE21" i="19"/>
  <c r="L5" i="17" s="1"/>
  <c r="AE295" i="19"/>
  <c r="AE263" i="19"/>
  <c r="AC321" i="19"/>
  <c r="AC324" i="19" s="1"/>
  <c r="AE307" i="19"/>
  <c r="AD366" i="19"/>
  <c r="AE270" i="19"/>
  <c r="U321" i="19"/>
  <c r="U324" i="19" s="1"/>
  <c r="AE254" i="19"/>
  <c r="AE292" i="19"/>
  <c r="AE246" i="19"/>
  <c r="AE226" i="19"/>
  <c r="AF226" i="19" s="1"/>
  <c r="AE230" i="19"/>
  <c r="AF230" i="19" s="1"/>
  <c r="AB199" i="19"/>
  <c r="AE222" i="19"/>
  <c r="AF222" i="19" s="1"/>
  <c r="Y199" i="19"/>
  <c r="AE188" i="19"/>
  <c r="L33" i="17" s="1"/>
  <c r="AE142" i="19"/>
  <c r="L84" i="17" s="1"/>
  <c r="AE93" i="19"/>
  <c r="Y158" i="19"/>
  <c r="AE20" i="19"/>
  <c r="AC55" i="19"/>
  <c r="AE19" i="19"/>
  <c r="AE52" i="19"/>
  <c r="AE50" i="19"/>
  <c r="L18" i="17" s="1"/>
  <c r="AE24" i="19"/>
  <c r="AE22" i="19"/>
  <c r="L6" i="17" s="1"/>
  <c r="U366" i="20"/>
  <c r="X321" i="20"/>
  <c r="X324" i="20" s="1"/>
  <c r="T366" i="20"/>
  <c r="S366" i="20"/>
  <c r="Y321" i="20"/>
  <c r="Y324" i="20" s="1"/>
  <c r="T321" i="20"/>
  <c r="T324" i="20" s="1"/>
  <c r="R313" i="20"/>
  <c r="U301" i="20"/>
  <c r="U313" i="20" s="1"/>
  <c r="Z301" i="20"/>
  <c r="Z313" i="20" s="1"/>
  <c r="S301" i="20"/>
  <c r="S313" i="20" s="1"/>
  <c r="R215" i="20"/>
  <c r="X199" i="20"/>
  <c r="AA212" i="20"/>
  <c r="V199" i="20"/>
  <c r="U66" i="20"/>
  <c r="S78" i="20"/>
  <c r="F358" i="20"/>
  <c r="R343" i="20"/>
  <c r="AE41" i="20"/>
  <c r="X158" i="20"/>
  <c r="AE34" i="20"/>
  <c r="X321" i="19"/>
  <c r="X324" i="19" s="1"/>
  <c r="Z66" i="20"/>
  <c r="AE24" i="20"/>
  <c r="W55" i="20"/>
  <c r="W81" i="20" s="1"/>
  <c r="Y366" i="19"/>
  <c r="AA78" i="20"/>
  <c r="Z78" i="20"/>
  <c r="AE42" i="20"/>
  <c r="AE179" i="20"/>
  <c r="AE172" i="20"/>
  <c r="AE282" i="19"/>
  <c r="AE277" i="19"/>
  <c r="AE250" i="19"/>
  <c r="AE245" i="19"/>
  <c r="U366" i="19"/>
  <c r="AE319" i="19"/>
  <c r="V321" i="19"/>
  <c r="V324" i="19" s="1"/>
  <c r="Z55" i="20"/>
  <c r="X55" i="20"/>
  <c r="AE280" i="19"/>
  <c r="AE229" i="19"/>
  <c r="AF229" i="19" s="1"/>
  <c r="AE257" i="19"/>
  <c r="AE240" i="19"/>
  <c r="AF240" i="19" s="1"/>
  <c r="AE208" i="19"/>
  <c r="AE224" i="19"/>
  <c r="AF224" i="19" s="1"/>
  <c r="AE190" i="19"/>
  <c r="L35" i="17" s="1"/>
  <c r="AA199" i="19"/>
  <c r="AB301" i="19"/>
  <c r="AB313" i="19" s="1"/>
  <c r="AC301" i="19"/>
  <c r="AC313" i="19" s="1"/>
  <c r="U199" i="19"/>
  <c r="R215" i="19"/>
  <c r="AE241" i="19"/>
  <c r="S301" i="19"/>
  <c r="S313" i="19" s="1"/>
  <c r="AA212" i="19"/>
  <c r="AC212" i="19"/>
  <c r="AE110" i="19"/>
  <c r="AE172" i="19"/>
  <c r="AE138" i="19"/>
  <c r="AE102" i="19"/>
  <c r="T158" i="19"/>
  <c r="AE26" i="19"/>
  <c r="AE17" i="19"/>
  <c r="AB55" i="19"/>
  <c r="AA55" i="19"/>
  <c r="AE176" i="19"/>
  <c r="L44" i="17" s="1"/>
  <c r="AE98" i="19"/>
  <c r="L82" i="17" s="1"/>
  <c r="AE145" i="19"/>
  <c r="AE129" i="19"/>
  <c r="AE125" i="19"/>
  <c r="AE113" i="19"/>
  <c r="AE89" i="19"/>
  <c r="L103" i="17" s="1"/>
  <c r="X158" i="19"/>
  <c r="AE69" i="19"/>
  <c r="AE48" i="19"/>
  <c r="AE25" i="19"/>
  <c r="AE23" i="19"/>
  <c r="AE16" i="19"/>
  <c r="X55" i="19"/>
  <c r="Y55" i="19"/>
  <c r="AA301" i="20"/>
  <c r="AA313" i="20" s="1"/>
  <c r="AD301" i="20"/>
  <c r="AD313" i="20" s="1"/>
  <c r="V301" i="20"/>
  <c r="V313" i="20" s="1"/>
  <c r="Y199" i="20"/>
  <c r="Y212" i="20"/>
  <c r="T199" i="20"/>
  <c r="AD158" i="20"/>
  <c r="AE330" i="19"/>
  <c r="AB366" i="19"/>
  <c r="AC366" i="19"/>
  <c r="W158" i="20"/>
  <c r="X78" i="20"/>
  <c r="AD78" i="20"/>
  <c r="AE181" i="20"/>
  <c r="AE185" i="20"/>
  <c r="L54" i="17" s="1"/>
  <c r="AE169" i="20"/>
  <c r="AE261" i="20"/>
  <c r="AE178" i="20"/>
  <c r="L46" i="17" s="1"/>
  <c r="AE308" i="19"/>
  <c r="AE281" i="19"/>
  <c r="AB55" i="20"/>
  <c r="AC55" i="20"/>
  <c r="AE331" i="19"/>
  <c r="AE328" i="19"/>
  <c r="AE276" i="19"/>
  <c r="W212" i="19"/>
  <c r="W215" i="19" s="1"/>
  <c r="V212" i="19"/>
  <c r="AE249" i="19"/>
  <c r="AE232" i="19"/>
  <c r="AF232" i="19" s="1"/>
  <c r="AE186" i="19"/>
  <c r="AE174" i="19"/>
  <c r="AE225" i="19"/>
  <c r="AF225" i="19" s="1"/>
  <c r="AE171" i="19"/>
  <c r="Z199" i="19"/>
  <c r="Y301" i="19"/>
  <c r="Y313" i="19" s="1"/>
  <c r="AA301" i="19"/>
  <c r="AA313" i="19" s="1"/>
  <c r="AE162" i="19"/>
  <c r="S199" i="19"/>
  <c r="W301" i="19"/>
  <c r="W313" i="19" s="1"/>
  <c r="AB212" i="19"/>
  <c r="AE150" i="19"/>
  <c r="AE146" i="19"/>
  <c r="W55" i="19"/>
  <c r="W81" i="19" s="1"/>
  <c r="AE64" i="19"/>
  <c r="AE14" i="19"/>
  <c r="L3" i="17" s="1"/>
  <c r="U55" i="19"/>
  <c r="U81" i="19" s="1"/>
  <c r="AC158" i="19"/>
  <c r="AC215" i="19" s="1"/>
  <c r="AB158" i="19"/>
  <c r="S55" i="19"/>
  <c r="S81" i="19" s="1"/>
  <c r="AE11" i="19"/>
  <c r="AD66" i="19"/>
  <c r="AC66" i="19"/>
  <c r="T55" i="19"/>
  <c r="T81" i="19" s="1"/>
  <c r="R81" i="19"/>
  <c r="AB301" i="20"/>
  <c r="AB313" i="20" s="1"/>
  <c r="W301" i="20"/>
  <c r="W313" i="20" s="1"/>
  <c r="U212" i="20"/>
  <c r="AD199" i="20"/>
  <c r="AB212" i="20"/>
  <c r="Z212" i="20"/>
  <c r="S199" i="20"/>
  <c r="Z199" i="20"/>
  <c r="V158" i="20"/>
  <c r="V215" i="20" s="1"/>
  <c r="V343" i="20" s="1"/>
  <c r="Y158" i="20"/>
  <c r="Y66" i="20"/>
  <c r="U55" i="20"/>
  <c r="X366" i="19"/>
  <c r="S158" i="20"/>
  <c r="AC78" i="20"/>
  <c r="AE177" i="20"/>
  <c r="L45" i="17" s="1"/>
  <c r="AE170" i="20"/>
  <c r="AE58" i="20"/>
  <c r="AE174" i="20"/>
  <c r="AE203" i="20"/>
  <c r="AE180" i="20"/>
  <c r="AE298" i="19"/>
  <c r="AE293" i="19"/>
  <c r="AE261" i="19"/>
  <c r="AE333" i="19"/>
  <c r="AE296" i="19"/>
  <c r="AE264" i="19"/>
  <c r="Y55" i="20"/>
  <c r="AA55" i="20"/>
  <c r="AA81" i="20" s="1"/>
  <c r="AE273" i="19"/>
  <c r="AE335" i="19"/>
  <c r="AE297" i="19"/>
  <c r="AE265" i="19"/>
  <c r="AE203" i="19"/>
  <c r="AE233" i="19"/>
  <c r="AF233" i="19" s="1"/>
  <c r="AE207" i="19"/>
  <c r="AE183" i="19"/>
  <c r="AD199" i="19"/>
  <c r="AE154" i="19"/>
  <c r="AD301" i="19"/>
  <c r="AD313" i="19" s="1"/>
  <c r="AE184" i="19"/>
  <c r="L53" i="17" s="1"/>
  <c r="W199" i="19"/>
  <c r="U215" i="19"/>
  <c r="AE244" i="19"/>
  <c r="V301" i="19"/>
  <c r="V313" i="19" s="1"/>
  <c r="AE204" i="19"/>
  <c r="T212" i="19"/>
  <c r="AD212" i="19"/>
  <c r="AE187" i="19"/>
  <c r="AE169" i="19"/>
  <c r="L37" i="17" s="1"/>
  <c r="AE118" i="19"/>
  <c r="L131" i="17" s="1"/>
  <c r="AE94" i="19"/>
  <c r="L71" i="17" s="1"/>
  <c r="Z158" i="19"/>
  <c r="AE59" i="19"/>
  <c r="AE38" i="19"/>
  <c r="AE29" i="19"/>
  <c r="L11" i="17" s="1"/>
  <c r="AE15" i="19"/>
  <c r="L4" i="17" s="1"/>
  <c r="AE181" i="19"/>
  <c r="AE168" i="19"/>
  <c r="L36" i="17" s="1"/>
  <c r="T199" i="19"/>
  <c r="Z55" i="19"/>
  <c r="AE170" i="19"/>
  <c r="AE90" i="19"/>
  <c r="L105" i="17" s="1"/>
  <c r="AD158" i="19"/>
  <c r="AE41" i="19"/>
  <c r="AE153" i="19"/>
  <c r="AE137" i="19"/>
  <c r="AE133" i="19"/>
  <c r="AE121" i="19"/>
  <c r="AE117" i="19"/>
  <c r="L130" i="17" s="1"/>
  <c r="AE105" i="19"/>
  <c r="L92" i="17" s="1"/>
  <c r="AE44" i="19"/>
  <c r="S158" i="19"/>
  <c r="S215" i="19" s="1"/>
  <c r="X66" i="19"/>
  <c r="AB66" i="19"/>
  <c r="AE92" i="19"/>
  <c r="L67" i="17" s="1"/>
  <c r="T212" i="20"/>
  <c r="S212" i="20"/>
  <c r="Y301" i="20"/>
  <c r="Y313" i="20" s="1"/>
  <c r="AC301" i="20"/>
  <c r="AC313" i="20" s="1"/>
  <c r="T301" i="20"/>
  <c r="T313" i="20" s="1"/>
  <c r="X212" i="20"/>
  <c r="AB199" i="20"/>
  <c r="AA199" i="20"/>
  <c r="AC212" i="20"/>
  <c r="AD212" i="20"/>
  <c r="W199" i="20"/>
  <c r="AB158" i="20"/>
  <c r="AC158" i="20"/>
  <c r="AE26" i="20"/>
  <c r="AD321" i="19"/>
  <c r="AD324" i="19" s="1"/>
  <c r="AD66" i="20"/>
  <c r="S55" i="20"/>
  <c r="S81" i="20" s="1"/>
  <c r="U158" i="20"/>
  <c r="U215" i="20" s="1"/>
  <c r="Y78" i="20"/>
  <c r="AE69" i="20"/>
  <c r="AE173" i="20"/>
  <c r="AE183" i="20"/>
  <c r="AE171" i="20"/>
  <c r="AE11" i="20"/>
  <c r="AE187" i="20"/>
  <c r="AE162" i="20"/>
  <c r="AE175" i="20"/>
  <c r="L43" i="17" s="1"/>
  <c r="AE182" i="20"/>
  <c r="L50" i="17" s="1"/>
  <c r="AE186" i="20"/>
  <c r="AE317" i="20"/>
  <c r="AE285" i="19"/>
  <c r="AE253" i="19"/>
  <c r="S366" i="19"/>
  <c r="S321" i="19"/>
  <c r="S324" i="19" s="1"/>
  <c r="AE317" i="19"/>
  <c r="AE304" i="19"/>
  <c r="AE288" i="19"/>
  <c r="AE256" i="19"/>
  <c r="AE248" i="19"/>
  <c r="AE221" i="19"/>
  <c r="AF221" i="19" s="1"/>
  <c r="AE205" i="19"/>
  <c r="AE236" i="19"/>
  <c r="AF236" i="19" s="1"/>
  <c r="AE202" i="19"/>
  <c r="AE173" i="19"/>
  <c r="AE166" i="19"/>
  <c r="AE194" i="19"/>
  <c r="X199" i="19"/>
  <c r="Z301" i="19"/>
  <c r="Z313" i="19" s="1"/>
  <c r="X301" i="19"/>
  <c r="X313" i="19" s="1"/>
  <c r="AE179" i="19"/>
  <c r="L47" i="17" s="1"/>
  <c r="V199" i="19"/>
  <c r="T301" i="19"/>
  <c r="T313" i="19" s="1"/>
  <c r="Y212" i="19"/>
  <c r="AE134" i="19"/>
  <c r="AE126" i="19"/>
  <c r="AE130" i="19"/>
  <c r="AE122" i="19"/>
  <c r="AE114" i="19"/>
  <c r="X78" i="19"/>
  <c r="AE58" i="19"/>
  <c r="AE34" i="19"/>
  <c r="AE30" i="19"/>
  <c r="L12" i="17" s="1"/>
  <c r="AE13" i="19"/>
  <c r="L2" i="17" s="1"/>
  <c r="AE12" i="19"/>
  <c r="AD55" i="19"/>
  <c r="AD81" i="19" s="1"/>
  <c r="AE106" i="19"/>
  <c r="L93" i="17" s="1"/>
  <c r="AE71" i="19"/>
  <c r="AA66" i="19"/>
  <c r="AE53" i="19"/>
  <c r="AE49" i="19"/>
  <c r="AE45" i="19"/>
  <c r="AE40" i="19"/>
  <c r="AE97" i="19"/>
  <c r="L78" i="17" s="1"/>
  <c r="AA158" i="19"/>
  <c r="AE70" i="19"/>
  <c r="AE60" i="19"/>
  <c r="Z66" i="19"/>
  <c r="AE37" i="19"/>
  <c r="AE35" i="19"/>
  <c r="AE33" i="19"/>
  <c r="AE31" i="19"/>
  <c r="AE27" i="19"/>
  <c r="L9" i="17" s="1"/>
  <c r="L106" i="17" l="1"/>
  <c r="AI146" i="19"/>
  <c r="R358" i="20"/>
  <c r="L74" i="17"/>
  <c r="L73" i="17"/>
  <c r="S4" i="17"/>
  <c r="L66" i="17"/>
  <c r="S5" i="17"/>
  <c r="L24" i="17"/>
  <c r="AA215" i="19"/>
  <c r="F358" i="19"/>
  <c r="R358" i="19" s="1"/>
  <c r="L26" i="17"/>
  <c r="L109" i="17"/>
  <c r="L127" i="17"/>
  <c r="L80" i="17"/>
  <c r="S6" i="17"/>
  <c r="AD81" i="20"/>
  <c r="AC81" i="19"/>
  <c r="AC343" i="19" s="1"/>
  <c r="AB215" i="19"/>
  <c r="Y81" i="19"/>
  <c r="L99" i="17"/>
  <c r="L101" i="17"/>
  <c r="Y81" i="20"/>
  <c r="Q1" i="17"/>
  <c r="L75" i="17"/>
  <c r="L25" i="17"/>
  <c r="L79" i="17"/>
  <c r="L7" i="17"/>
  <c r="L94" i="17"/>
  <c r="L69" i="17"/>
  <c r="L88" i="17"/>
  <c r="L13" i="17"/>
  <c r="L64" i="17"/>
  <c r="L40" i="17"/>
  <c r="L85" i="17"/>
  <c r="L72" i="17"/>
  <c r="L21" i="17"/>
  <c r="L38" i="17"/>
  <c r="L81" i="17"/>
  <c r="L83" i="17"/>
  <c r="L41" i="17"/>
  <c r="L49" i="17"/>
  <c r="L48" i="17"/>
  <c r="L56" i="17"/>
  <c r="L51" i="17"/>
  <c r="L42" i="17"/>
  <c r="L96" i="17"/>
  <c r="L65" i="17"/>
  <c r="L34" i="17"/>
  <c r="L55" i="17"/>
  <c r="L8" i="17"/>
  <c r="L22" i="17"/>
  <c r="L107" i="17"/>
  <c r="L70" i="17"/>
  <c r="L10" i="17"/>
  <c r="AD215" i="19"/>
  <c r="AD343" i="19" s="1"/>
  <c r="AE158" i="20"/>
  <c r="AA215" i="20"/>
  <c r="AB81" i="20"/>
  <c r="U81" i="20"/>
  <c r="Z215" i="20"/>
  <c r="Y215" i="20"/>
  <c r="Y343" i="20" s="1"/>
  <c r="S215" i="20"/>
  <c r="S343" i="20" s="1"/>
  <c r="AC81" i="20"/>
  <c r="T215" i="20"/>
  <c r="T343" i="20" s="1"/>
  <c r="AE158" i="19"/>
  <c r="S343" i="19"/>
  <c r="V215" i="19"/>
  <c r="V343" i="19" s="1"/>
  <c r="Y215" i="19"/>
  <c r="Y343" i="19" s="1"/>
  <c r="AE66" i="19"/>
  <c r="AE212" i="19"/>
  <c r="AE321" i="20"/>
  <c r="AE324" i="20" s="1"/>
  <c r="AE199" i="20"/>
  <c r="AB215" i="20"/>
  <c r="U343" i="20"/>
  <c r="AA81" i="19"/>
  <c r="AA343" i="19" s="1"/>
  <c r="AE301" i="19"/>
  <c r="AE313" i="19" s="1"/>
  <c r="Z81" i="20"/>
  <c r="Z81" i="19"/>
  <c r="Z215" i="19"/>
  <c r="AA343" i="20"/>
  <c r="AE55" i="19"/>
  <c r="W343" i="19"/>
  <c r="X81" i="19"/>
  <c r="T215" i="19"/>
  <c r="T343" i="19" s="1"/>
  <c r="X215" i="20"/>
  <c r="U343" i="19"/>
  <c r="AE199" i="19"/>
  <c r="W215" i="20"/>
  <c r="W343" i="20" s="1"/>
  <c r="AE78" i="19"/>
  <c r="AB81" i="19"/>
  <c r="AB343" i="19" s="1"/>
  <c r="AE212" i="20"/>
  <c r="AE66" i="20"/>
  <c r="AE321" i="19"/>
  <c r="AE324" i="19" s="1"/>
  <c r="AE55" i="20"/>
  <c r="AE78" i="20"/>
  <c r="AC215" i="20"/>
  <c r="AE200" i="19"/>
  <c r="AE301" i="20"/>
  <c r="AE313" i="20" s="1"/>
  <c r="AD215" i="20"/>
  <c r="AD343" i="20" s="1"/>
  <c r="X215" i="19"/>
  <c r="X81" i="20"/>
  <c r="X343" i="20" s="1"/>
  <c r="S7" i="17" l="1"/>
  <c r="AB343" i="20"/>
  <c r="AC343" i="20"/>
  <c r="Q6" i="17"/>
  <c r="T6" i="17" s="1"/>
  <c r="P1" i="17"/>
  <c r="R1" i="17" s="1"/>
  <c r="S1" i="17" s="1"/>
  <c r="Z343" i="20"/>
  <c r="Q5" i="17"/>
  <c r="Q4" i="17"/>
  <c r="AE81" i="19"/>
  <c r="AE215" i="19"/>
  <c r="AE215" i="20"/>
  <c r="AE81" i="20"/>
  <c r="X343" i="19"/>
  <c r="Z343" i="19"/>
  <c r="R6" i="17" l="1"/>
  <c r="R5" i="17"/>
  <c r="T5" i="17"/>
  <c r="T4" i="17"/>
  <c r="Q7" i="17"/>
  <c r="R4" i="17"/>
  <c r="AE343" i="19"/>
  <c r="AE343" i="20"/>
  <c r="K83" i="17" l="1"/>
  <c r="M83" i="17" s="1"/>
  <c r="K71" i="17"/>
  <c r="M71" i="17" s="1"/>
  <c r="J55" i="17"/>
  <c r="J54" i="17"/>
  <c r="J95" i="17"/>
  <c r="J94" i="17"/>
  <c r="J93" i="17"/>
  <c r="J92" i="17"/>
  <c r="J50" i="17"/>
  <c r="J89" i="17"/>
  <c r="F53" i="7" s="1"/>
  <c r="J88" i="17"/>
  <c r="J87" i="17"/>
  <c r="J86" i="17"/>
  <c r="J46" i="17"/>
  <c r="J45" i="17"/>
  <c r="J84" i="17"/>
  <c r="F50" i="7" s="1"/>
  <c r="J83" i="17"/>
  <c r="J82" i="17"/>
  <c r="F51" i="7" s="1"/>
  <c r="J81" i="17"/>
  <c r="J80" i="17"/>
  <c r="J79" i="17"/>
  <c r="J78" i="17"/>
  <c r="J77" i="17"/>
  <c r="J76" i="17"/>
  <c r="J75" i="17"/>
  <c r="J37" i="17"/>
  <c r="J41" i="17"/>
  <c r="J71" i="17"/>
  <c r="F45" i="7" s="1"/>
  <c r="J70" i="17"/>
  <c r="J69" i="17"/>
  <c r="J64" i="17"/>
  <c r="J63" i="17"/>
  <c r="J99" i="17"/>
  <c r="F56" i="7" s="1"/>
  <c r="J101" i="17"/>
  <c r="F57" i="7" s="1"/>
  <c r="J103" i="17"/>
  <c r="F58" i="7" s="1"/>
  <c r="J105" i="17"/>
  <c r="F59" i="7" s="1"/>
  <c r="K135" i="17"/>
  <c r="K137" i="17"/>
  <c r="K139" i="17"/>
  <c r="K141" i="17"/>
  <c r="K143" i="17"/>
  <c r="K145" i="17"/>
  <c r="K147" i="17"/>
  <c r="K149" i="17"/>
  <c r="K151" i="17"/>
  <c r="K153" i="17"/>
  <c r="K155" i="17"/>
  <c r="K157" i="17"/>
  <c r="M149" i="17" l="1"/>
  <c r="E117" i="7" s="1"/>
  <c r="M155" i="17"/>
  <c r="E123" i="7" s="1"/>
  <c r="M151" i="17"/>
  <c r="E119" i="7" s="1"/>
  <c r="M145" i="17"/>
  <c r="E113" i="7" s="1"/>
  <c r="M141" i="17"/>
  <c r="E109" i="7" s="1"/>
  <c r="M139" i="17"/>
  <c r="E105" i="7" s="1"/>
  <c r="M137" i="17"/>
  <c r="E103" i="7" s="1"/>
  <c r="M135" i="17"/>
  <c r="E102" i="7" s="1"/>
  <c r="M157" i="17"/>
  <c r="E125" i="7" s="1"/>
  <c r="M153" i="17"/>
  <c r="E121" i="7" s="1"/>
  <c r="M147" i="17"/>
  <c r="E115" i="7" s="1"/>
  <c r="M143" i="17"/>
  <c r="E111" i="7" s="1"/>
  <c r="J106" i="17" l="1"/>
  <c r="F60" i="7" s="1"/>
  <c r="J58" i="17"/>
  <c r="F42" i="7" s="1"/>
  <c r="J56" i="17"/>
  <c r="F40" i="7" s="1"/>
  <c r="J53" i="17"/>
  <c r="F39" i="7" s="1"/>
  <c r="J96" i="17"/>
  <c r="F55" i="7" s="1"/>
  <c r="J91" i="17"/>
  <c r="F54" i="7" s="1"/>
  <c r="J57" i="17"/>
  <c r="F101" i="7" s="1"/>
  <c r="J97" i="17"/>
  <c r="F130" i="7" s="1"/>
  <c r="J49" i="17"/>
  <c r="F38" i="7" s="1"/>
  <c r="J51" i="17"/>
  <c r="F100" i="7" s="1"/>
  <c r="J85" i="17"/>
  <c r="F52" i="7" s="1"/>
  <c r="J52" i="17"/>
  <c r="F99" i="7" s="1"/>
  <c r="J38" i="17"/>
  <c r="F34" i="7" s="1"/>
  <c r="J66" i="17"/>
  <c r="F47" i="7" s="1"/>
  <c r="J65" i="17"/>
  <c r="F48" i="7" s="1"/>
  <c r="J39" i="17"/>
  <c r="F98" i="7" s="1"/>
  <c r="J43" i="17"/>
  <c r="F31" i="7" s="1"/>
  <c r="J42" i="17"/>
  <c r="F32" i="7" s="1"/>
  <c r="J73" i="17"/>
  <c r="F44" i="7" s="1"/>
  <c r="J72" i="17"/>
  <c r="J90" i="17"/>
  <c r="F129" i="7" s="1"/>
  <c r="J48" i="17"/>
  <c r="F36" i="7" s="1"/>
  <c r="J47" i="17"/>
  <c r="F37" i="7" s="1"/>
  <c r="M104" i="17"/>
  <c r="M102" i="17"/>
  <c r="M100" i="17"/>
  <c r="M98" i="17"/>
  <c r="M35" i="17"/>
  <c r="M34" i="17"/>
  <c r="M33" i="17"/>
  <c r="M32" i="17"/>
  <c r="J74" i="17"/>
  <c r="F49" i="7" s="1"/>
  <c r="J44" i="17"/>
  <c r="F35" i="7" s="1"/>
  <c r="J61" i="17"/>
  <c r="F46" i="7" s="1"/>
  <c r="J36" i="17"/>
  <c r="F33" i="7" s="1"/>
  <c r="J67" i="17"/>
  <c r="F43" i="7" s="1"/>
  <c r="J40" i="17"/>
  <c r="F30" i="7" s="1"/>
  <c r="K14" i="17"/>
  <c r="M14" i="17" s="1"/>
  <c r="K15" i="17"/>
  <c r="M15" i="17" s="1"/>
  <c r="E86" i="7" s="1"/>
  <c r="K16" i="17"/>
  <c r="M16" i="17" s="1"/>
  <c r="E87" i="7" s="1"/>
  <c r="K17" i="17"/>
  <c r="M17" i="17" s="1"/>
  <c r="E88" i="7" s="1"/>
  <c r="K106" i="17"/>
  <c r="M106" i="17" s="1"/>
  <c r="K58" i="17"/>
  <c r="M58" i="17" s="1"/>
  <c r="K30" i="17"/>
  <c r="M30" i="17" s="1"/>
  <c r="K29" i="17"/>
  <c r="M29" i="17" s="1"/>
  <c r="K28" i="17"/>
  <c r="M28" i="17" s="1"/>
  <c r="K27" i="17"/>
  <c r="M27" i="17" s="1"/>
  <c r="K133" i="17"/>
  <c r="M133" i="17" s="1"/>
  <c r="K131" i="17"/>
  <c r="M131" i="17" s="1"/>
  <c r="K128" i="17"/>
  <c r="M128" i="17" s="1"/>
  <c r="K124" i="17"/>
  <c r="M124" i="17" s="1"/>
  <c r="K123" i="17"/>
  <c r="M123" i="17" s="1"/>
  <c r="K121" i="17"/>
  <c r="M121" i="17" s="1"/>
  <c r="K118" i="17"/>
  <c r="M118" i="17" s="1"/>
  <c r="K116" i="17"/>
  <c r="M116" i="17" s="1"/>
  <c r="K114" i="17"/>
  <c r="M114" i="17" s="1"/>
  <c r="K112" i="17"/>
  <c r="M112" i="17" s="1"/>
  <c r="K110" i="17"/>
  <c r="M110" i="17" s="1"/>
  <c r="K108" i="17"/>
  <c r="M108" i="17" s="1"/>
  <c r="K97" i="17"/>
  <c r="M97" i="17" s="1"/>
  <c r="E130" i="7" s="1"/>
  <c r="K90" i="17"/>
  <c r="M90" i="17" s="1"/>
  <c r="K84" i="17"/>
  <c r="M84" i="17" s="1"/>
  <c r="E50" i="7" s="1"/>
  <c r="P50" i="7" s="1"/>
  <c r="K66" i="17"/>
  <c r="M66" i="17" s="1"/>
  <c r="E47" i="7" s="1"/>
  <c r="P47" i="7" s="1"/>
  <c r="K73" i="17"/>
  <c r="M73" i="17" s="1"/>
  <c r="K96" i="17"/>
  <c r="M96" i="17" s="1"/>
  <c r="E55" i="7" s="1"/>
  <c r="P55" i="7" s="1"/>
  <c r="K89" i="17"/>
  <c r="M89" i="17" s="1"/>
  <c r="E53" i="7" s="1"/>
  <c r="P53" i="7" s="1"/>
  <c r="K82" i="17"/>
  <c r="M82" i="17" s="1"/>
  <c r="E51" i="7" s="1"/>
  <c r="P51" i="7" s="1"/>
  <c r="K65" i="17"/>
  <c r="M65" i="17" s="1"/>
  <c r="E48" i="7" s="1"/>
  <c r="P48" i="7" s="1"/>
  <c r="K72" i="17"/>
  <c r="M72" i="17" s="1"/>
  <c r="E45" i="7" s="1"/>
  <c r="P45" i="7" s="1"/>
  <c r="K57" i="17"/>
  <c r="M57" i="17" s="1"/>
  <c r="E101" i="7" s="1"/>
  <c r="K52" i="17"/>
  <c r="M52" i="17" s="1"/>
  <c r="E99" i="7" s="1"/>
  <c r="K48" i="17"/>
  <c r="M48" i="17" s="1"/>
  <c r="E36" i="7" s="1"/>
  <c r="P36" i="7" s="1"/>
  <c r="K39" i="17"/>
  <c r="M39" i="17" s="1"/>
  <c r="E98" i="7" s="1"/>
  <c r="K43" i="17"/>
  <c r="M43" i="17" s="1"/>
  <c r="K56" i="17"/>
  <c r="M56" i="17" s="1"/>
  <c r="E40" i="7" s="1"/>
  <c r="P40" i="7" s="1"/>
  <c r="K51" i="17"/>
  <c r="M51" i="17" s="1"/>
  <c r="E100" i="7" s="1"/>
  <c r="K47" i="17"/>
  <c r="M47" i="17" s="1"/>
  <c r="E37" i="7" s="1"/>
  <c r="P37" i="7" s="1"/>
  <c r="K38" i="17"/>
  <c r="M38" i="17" s="1"/>
  <c r="E34" i="7" s="1"/>
  <c r="P34" i="7" s="1"/>
  <c r="K42" i="17"/>
  <c r="M42" i="17" s="1"/>
  <c r="E32" i="7" s="1"/>
  <c r="P32" i="7" s="1"/>
  <c r="K18" i="17"/>
  <c r="M18" i="17" s="1"/>
  <c r="J18" i="17"/>
  <c r="F19" i="7" s="1"/>
  <c r="J104" i="17"/>
  <c r="F134" i="7" s="1"/>
  <c r="J35" i="17"/>
  <c r="F29" i="7" s="1"/>
  <c r="J30" i="17"/>
  <c r="F96" i="7" s="1"/>
  <c r="J26" i="17"/>
  <c r="F25" i="7" s="1"/>
  <c r="J25" i="17"/>
  <c r="F24" i="7" s="1"/>
  <c r="J17" i="17"/>
  <c r="J11" i="17"/>
  <c r="F18" i="7" s="1"/>
  <c r="J12" i="17"/>
  <c r="F13" i="7" s="1"/>
  <c r="J13" i="17"/>
  <c r="F14" i="7" s="1"/>
  <c r="J102" i="17"/>
  <c r="F133" i="7" s="1"/>
  <c r="J34" i="17"/>
  <c r="F28" i="7" s="1"/>
  <c r="J29" i="17"/>
  <c r="F95" i="7" s="1"/>
  <c r="J24" i="17"/>
  <c r="F92" i="7" s="1"/>
  <c r="J23" i="17"/>
  <c r="F23" i="7" s="1"/>
  <c r="J16" i="17"/>
  <c r="J8" i="17"/>
  <c r="F17" i="7" s="1"/>
  <c r="J9" i="17"/>
  <c r="F11" i="7" s="1"/>
  <c r="J10" i="17"/>
  <c r="F12" i="7" s="1"/>
  <c r="J100" i="17"/>
  <c r="F132" i="7" s="1"/>
  <c r="J33" i="17"/>
  <c r="F27" i="7" s="1"/>
  <c r="J28" i="17"/>
  <c r="F94" i="7" s="1"/>
  <c r="J22" i="17"/>
  <c r="F22" i="7" s="1"/>
  <c r="J21" i="17"/>
  <c r="F21" i="7" s="1"/>
  <c r="J15" i="17"/>
  <c r="J5" i="17"/>
  <c r="F16" i="7" s="1"/>
  <c r="J6" i="17"/>
  <c r="F9" i="7" s="1"/>
  <c r="J7" i="17"/>
  <c r="F10" i="7" s="1"/>
  <c r="J98" i="17"/>
  <c r="F131" i="7" s="1"/>
  <c r="J32" i="17"/>
  <c r="F97" i="7" s="1"/>
  <c r="J27" i="17"/>
  <c r="F93" i="7" s="1"/>
  <c r="J20" i="17"/>
  <c r="F91" i="7" s="1"/>
  <c r="J19" i="17"/>
  <c r="F90" i="7" s="1"/>
  <c r="J14" i="17"/>
  <c r="J2" i="17"/>
  <c r="F15" i="7" s="1"/>
  <c r="J3" i="17"/>
  <c r="F7" i="7" s="1"/>
  <c r="J4" i="17"/>
  <c r="F8" i="7" s="1"/>
  <c r="E129" i="7" l="1"/>
  <c r="E42" i="7"/>
  <c r="E85" i="7"/>
  <c r="S10" i="17"/>
  <c r="G45" i="7"/>
  <c r="E132" i="7"/>
  <c r="E133" i="7"/>
  <c r="E134" i="7"/>
  <c r="E131" i="7"/>
  <c r="G100" i="7"/>
  <c r="G130" i="7"/>
  <c r="G37" i="7"/>
  <c r="G98" i="7"/>
  <c r="G55" i="7"/>
  <c r="G129" i="7"/>
  <c r="G48" i="7"/>
  <c r="G40" i="7"/>
  <c r="G99" i="7"/>
  <c r="G51" i="7"/>
  <c r="G47" i="7"/>
  <c r="G36" i="7"/>
  <c r="G34" i="7"/>
  <c r="G101" i="7"/>
  <c r="G53" i="7"/>
  <c r="G50" i="7"/>
  <c r="E135" i="7"/>
  <c r="E142" i="7"/>
  <c r="E148" i="7"/>
  <c r="E26" i="7"/>
  <c r="P26" i="7" s="1"/>
  <c r="E96" i="7"/>
  <c r="E29" i="7"/>
  <c r="P29" i="7" s="1"/>
  <c r="E136" i="7"/>
  <c r="E144" i="7"/>
  <c r="E149" i="7"/>
  <c r="E93" i="7"/>
  <c r="E97" i="7"/>
  <c r="E138" i="7"/>
  <c r="E145" i="7"/>
  <c r="E67" i="7"/>
  <c r="P67" i="7" s="1"/>
  <c r="E94" i="7"/>
  <c r="E60" i="7"/>
  <c r="P60" i="7" s="1"/>
  <c r="E27" i="7"/>
  <c r="P27" i="7" s="1"/>
  <c r="E19" i="7"/>
  <c r="P19" i="7" s="1"/>
  <c r="E44" i="7"/>
  <c r="P44" i="7" s="1"/>
  <c r="E140" i="7"/>
  <c r="E147" i="7"/>
  <c r="E151" i="7"/>
  <c r="E95" i="7"/>
  <c r="E28" i="7"/>
  <c r="P28" i="7" s="1"/>
  <c r="E89" i="7" l="1"/>
  <c r="P42" i="7"/>
  <c r="G32" i="7"/>
  <c r="G133" i="7"/>
  <c r="G134" i="7"/>
  <c r="G132" i="7"/>
  <c r="G131" i="7"/>
  <c r="G19" i="7"/>
  <c r="G94" i="7"/>
  <c r="G93" i="7"/>
  <c r="G28" i="7"/>
  <c r="G87" i="7"/>
  <c r="G88" i="7"/>
  <c r="G85" i="7"/>
  <c r="G86" i="7"/>
  <c r="G96" i="7"/>
  <c r="G95" i="7"/>
  <c r="G27" i="7"/>
  <c r="G97" i="7"/>
  <c r="G42" i="7"/>
  <c r="G29" i="7"/>
  <c r="G26" i="7"/>
  <c r="G60" i="7"/>
  <c r="G44" i="7"/>
  <c r="E31" i="7"/>
  <c r="P31" i="7" s="1"/>
  <c r="H60" i="4"/>
  <c r="G89" i="7" l="1"/>
  <c r="G31" i="7"/>
  <c r="C40" i="4"/>
  <c r="J134" i="17" l="1"/>
  <c r="J135" i="17"/>
  <c r="J107" i="17"/>
  <c r="J108" i="17"/>
  <c r="C61" i="4"/>
  <c r="F135" i="7" l="1"/>
  <c r="G135" i="7" s="1"/>
  <c r="F102" i="7"/>
  <c r="G102" i="7" s="1"/>
  <c r="F61" i="7"/>
  <c r="F106" i="7"/>
  <c r="E61" i="4"/>
  <c r="I82" i="7"/>
  <c r="C54" i="4"/>
  <c r="C53" i="4"/>
  <c r="C51" i="4"/>
  <c r="C50" i="4"/>
  <c r="C49" i="4"/>
  <c r="C47" i="4"/>
  <c r="C46" i="4"/>
  <c r="C45" i="4"/>
  <c r="C44" i="4"/>
  <c r="C42" i="4"/>
  <c r="C41" i="4"/>
  <c r="J136" i="17" l="1"/>
  <c r="J137" i="17"/>
  <c r="J110" i="17"/>
  <c r="J109" i="17"/>
  <c r="J144" i="17"/>
  <c r="J145" i="17"/>
  <c r="J118" i="17"/>
  <c r="J117" i="17"/>
  <c r="J127" i="17"/>
  <c r="J152" i="17"/>
  <c r="J153" i="17"/>
  <c r="J126" i="17"/>
  <c r="J128" i="17"/>
  <c r="J138" i="17"/>
  <c r="J139" i="17"/>
  <c r="J111" i="17"/>
  <c r="J112" i="17"/>
  <c r="J146" i="17"/>
  <c r="J147" i="17"/>
  <c r="J120" i="17"/>
  <c r="J121" i="17"/>
  <c r="J119" i="17"/>
  <c r="J130" i="17"/>
  <c r="J154" i="17"/>
  <c r="J155" i="17"/>
  <c r="J131" i="17"/>
  <c r="J129" i="17"/>
  <c r="J142" i="17"/>
  <c r="J143" i="17"/>
  <c r="J116" i="17"/>
  <c r="J115" i="17"/>
  <c r="J151" i="17"/>
  <c r="J150" i="17"/>
  <c r="F118" i="7" s="1"/>
  <c r="J125" i="17"/>
  <c r="F64" i="7" s="1"/>
  <c r="J124" i="17"/>
  <c r="J140" i="17"/>
  <c r="J141" i="17"/>
  <c r="J114" i="17"/>
  <c r="J113" i="17"/>
  <c r="J148" i="17"/>
  <c r="J149" i="17"/>
  <c r="J122" i="17"/>
  <c r="J123" i="17"/>
  <c r="J156" i="17"/>
  <c r="J157" i="17"/>
  <c r="J133" i="17"/>
  <c r="J132" i="17"/>
  <c r="C7" i="4"/>
  <c r="C8" i="4"/>
  <c r="C9" i="4"/>
  <c r="C10" i="4"/>
  <c r="F144" i="7" l="1"/>
  <c r="G144" i="7" s="1"/>
  <c r="F113" i="7"/>
  <c r="G113" i="7" s="1"/>
  <c r="F150" i="7"/>
  <c r="F124" i="7"/>
  <c r="K94" i="17"/>
  <c r="M94" i="17" s="1"/>
  <c r="K88" i="17"/>
  <c r="M88" i="17" s="1"/>
  <c r="K80" i="17"/>
  <c r="M80" i="17" s="1"/>
  <c r="F111" i="7"/>
  <c r="G111" i="7" s="1"/>
  <c r="F142" i="7"/>
  <c r="G142" i="7" s="1"/>
  <c r="K93" i="17"/>
  <c r="M93" i="17" s="1"/>
  <c r="K78" i="17"/>
  <c r="M78" i="17" s="1"/>
  <c r="K87" i="17"/>
  <c r="M87" i="17" s="1"/>
  <c r="K46" i="17"/>
  <c r="M46" i="17" s="1"/>
  <c r="K64" i="17"/>
  <c r="M64" i="17" s="1"/>
  <c r="K55" i="17"/>
  <c r="M55" i="17" s="1"/>
  <c r="K79" i="17"/>
  <c r="M79" i="17" s="1"/>
  <c r="K70" i="17"/>
  <c r="M70" i="17" s="1"/>
  <c r="F147" i="7"/>
  <c r="G147" i="7" s="1"/>
  <c r="F117" i="7"/>
  <c r="G117" i="7" s="1"/>
  <c r="F139" i="7"/>
  <c r="F108" i="7"/>
  <c r="F148" i="7"/>
  <c r="G148" i="7" s="1"/>
  <c r="F119" i="7"/>
  <c r="G119" i="7" s="1"/>
  <c r="F110" i="7"/>
  <c r="F141" i="7"/>
  <c r="F122" i="7"/>
  <c r="F66" i="7"/>
  <c r="F136" i="7"/>
  <c r="G136" i="7" s="1"/>
  <c r="F103" i="7"/>
  <c r="G103" i="7" s="1"/>
  <c r="F151" i="7"/>
  <c r="G151" i="7" s="1"/>
  <c r="F125" i="7"/>
  <c r="G125" i="7" s="1"/>
  <c r="F146" i="7"/>
  <c r="F116" i="7"/>
  <c r="F140" i="7"/>
  <c r="G140" i="7" s="1"/>
  <c r="F109" i="7"/>
  <c r="G109" i="7" s="1"/>
  <c r="F115" i="7"/>
  <c r="G115" i="7" s="1"/>
  <c r="F145" i="7"/>
  <c r="G145" i="7" s="1"/>
  <c r="F138" i="7"/>
  <c r="G138" i="7" s="1"/>
  <c r="F105" i="7"/>
  <c r="G105" i="7" s="1"/>
  <c r="F121" i="7"/>
  <c r="G121" i="7" s="1"/>
  <c r="F149" i="7"/>
  <c r="G149" i="7" s="1"/>
  <c r="F123" i="7"/>
  <c r="G123" i="7" s="1"/>
  <c r="F67" i="7"/>
  <c r="G67" i="7" s="1"/>
  <c r="F114" i="7"/>
  <c r="F63" i="7"/>
  <c r="K95" i="17"/>
  <c r="M95" i="17" s="1"/>
  <c r="K81" i="17"/>
  <c r="M81" i="17" s="1"/>
  <c r="K54" i="17"/>
  <c r="M54" i="17" s="1"/>
  <c r="K50" i="17"/>
  <c r="M50" i="17" s="1"/>
  <c r="K76" i="17"/>
  <c r="M76" i="17" s="1"/>
  <c r="K69" i="17"/>
  <c r="M69" i="17" s="1"/>
  <c r="K92" i="17"/>
  <c r="M92" i="17" s="1"/>
  <c r="K86" i="17"/>
  <c r="M86" i="17" s="1"/>
  <c r="K37" i="17"/>
  <c r="M37" i="17" s="1"/>
  <c r="K127" i="17"/>
  <c r="M127" i="17" s="1"/>
  <c r="K45" i="17"/>
  <c r="M45" i="17" s="1"/>
  <c r="K63" i="17"/>
  <c r="M63" i="17" s="1"/>
  <c r="K120" i="17"/>
  <c r="M120" i="17" s="1"/>
  <c r="K77" i="17"/>
  <c r="M77" i="17" s="1"/>
  <c r="K41" i="17"/>
  <c r="M41" i="17" s="1"/>
  <c r="F137" i="7"/>
  <c r="F104" i="7"/>
  <c r="F65" i="7"/>
  <c r="F120" i="7"/>
  <c r="F143" i="7"/>
  <c r="F112" i="7"/>
  <c r="F107" i="7"/>
  <c r="F62" i="7"/>
  <c r="E9" i="4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H10" i="4" l="1"/>
  <c r="G10" i="4"/>
  <c r="F10" i="4"/>
  <c r="E10" i="4"/>
  <c r="D60" i="4" l="1"/>
  <c r="D59" i="4"/>
  <c r="C13" i="4"/>
  <c r="C12" i="4"/>
  <c r="C11" i="4"/>
  <c r="P128" i="7" l="1"/>
  <c r="P127" i="7"/>
  <c r="P109" i="7"/>
  <c r="P102" i="7"/>
  <c r="P115" i="7"/>
  <c r="P121" i="7"/>
  <c r="P103" i="7"/>
  <c r="P105" i="7"/>
  <c r="P111" i="7"/>
  <c r="P113" i="7"/>
  <c r="P123" i="7"/>
  <c r="P119" i="7"/>
  <c r="P125" i="7"/>
  <c r="P117" i="7"/>
  <c r="P98" i="7"/>
  <c r="P88" i="7"/>
  <c r="P86" i="7"/>
  <c r="P99" i="7"/>
  <c r="P130" i="7"/>
  <c r="P87" i="7"/>
  <c r="P101" i="7"/>
  <c r="P100" i="7"/>
  <c r="P95" i="7"/>
  <c r="P147" i="7"/>
  <c r="P97" i="7"/>
  <c r="P145" i="7"/>
  <c r="P93" i="7"/>
  <c r="P142" i="7"/>
  <c r="P85" i="7"/>
  <c r="P96" i="7"/>
  <c r="P151" i="7"/>
  <c r="P133" i="7"/>
  <c r="P144" i="7"/>
  <c r="P134" i="7"/>
  <c r="P132" i="7"/>
  <c r="P135" i="7"/>
  <c r="P149" i="7"/>
  <c r="P129" i="7"/>
  <c r="P94" i="7"/>
  <c r="P140" i="7"/>
  <c r="P131" i="7"/>
  <c r="P138" i="7"/>
  <c r="P148" i="7"/>
  <c r="P136" i="7"/>
  <c r="K8" i="17"/>
  <c r="M8" i="17" s="1"/>
  <c r="E17" i="7" s="1"/>
  <c r="P17" i="7" s="1"/>
  <c r="K5" i="17"/>
  <c r="M5" i="17" s="1"/>
  <c r="E16" i="7" s="1"/>
  <c r="P16" i="7" s="1"/>
  <c r="K11" i="17"/>
  <c r="M11" i="17" s="1"/>
  <c r="E18" i="7" s="1"/>
  <c r="P18" i="7" s="1"/>
  <c r="K2" i="17"/>
  <c r="M2" i="17" s="1"/>
  <c r="K148" i="17"/>
  <c r="M148" i="17" s="1"/>
  <c r="E116" i="7" s="1"/>
  <c r="K122" i="17"/>
  <c r="M122" i="17" s="1"/>
  <c r="E146" i="7" s="1"/>
  <c r="K99" i="17"/>
  <c r="M99" i="17" s="1"/>
  <c r="K103" i="17"/>
  <c r="M103" i="17" s="1"/>
  <c r="E58" i="7" s="1"/>
  <c r="P58" i="7" s="1"/>
  <c r="K134" i="17"/>
  <c r="M134" i="17" s="1"/>
  <c r="E106" i="7" s="1"/>
  <c r="P106" i="7" s="1"/>
  <c r="K136" i="17"/>
  <c r="M136" i="17" s="1"/>
  <c r="E107" i="7" s="1"/>
  <c r="P107" i="7" s="1"/>
  <c r="K138" i="17"/>
  <c r="M138" i="17" s="1"/>
  <c r="E104" i="7" s="1"/>
  <c r="P104" i="7" s="1"/>
  <c r="K140" i="17"/>
  <c r="M140" i="17" s="1"/>
  <c r="E108" i="7" s="1"/>
  <c r="K142" i="17"/>
  <c r="M142" i="17" s="1"/>
  <c r="E110" i="7" s="1"/>
  <c r="K144" i="17"/>
  <c r="M144" i="17" s="1"/>
  <c r="E112" i="7" s="1"/>
  <c r="P112" i="7" s="1"/>
  <c r="K146" i="17"/>
  <c r="M146" i="17" s="1"/>
  <c r="E114" i="7" s="1"/>
  <c r="P114" i="7" s="1"/>
  <c r="K152" i="17"/>
  <c r="M152" i="17" s="1"/>
  <c r="E120" i="7" s="1"/>
  <c r="P120" i="7" s="1"/>
  <c r="K154" i="17"/>
  <c r="M154" i="17" s="1"/>
  <c r="E122" i="7" s="1"/>
  <c r="P122" i="7" s="1"/>
  <c r="K156" i="17"/>
  <c r="M156" i="17" s="1"/>
  <c r="E124" i="7" s="1"/>
  <c r="K101" i="17"/>
  <c r="M101" i="17" s="1"/>
  <c r="E57" i="7" s="1"/>
  <c r="P57" i="7" s="1"/>
  <c r="K75" i="17"/>
  <c r="M75" i="17" s="1"/>
  <c r="K105" i="17"/>
  <c r="M105" i="17" s="1"/>
  <c r="E59" i="7" s="1"/>
  <c r="K126" i="17"/>
  <c r="M126" i="17" s="1"/>
  <c r="E65" i="7" s="1"/>
  <c r="P65" i="7" s="1"/>
  <c r="K115" i="17"/>
  <c r="M115" i="17" s="1"/>
  <c r="E141" i="7" s="1"/>
  <c r="K107" i="17"/>
  <c r="M107" i="17" s="1"/>
  <c r="E61" i="7" s="1"/>
  <c r="P61" i="7" s="1"/>
  <c r="K36" i="17"/>
  <c r="M36" i="17" s="1"/>
  <c r="E33" i="7" s="1"/>
  <c r="P33" i="7" s="1"/>
  <c r="K74" i="17"/>
  <c r="M74" i="17" s="1"/>
  <c r="K150" i="17"/>
  <c r="M150" i="17" s="1"/>
  <c r="E118" i="7" s="1"/>
  <c r="K125" i="17"/>
  <c r="M125" i="17" s="1"/>
  <c r="E64" i="7" s="1"/>
  <c r="P64" i="7" s="1"/>
  <c r="K113" i="17"/>
  <c r="M113" i="17" s="1"/>
  <c r="E139" i="7" s="1"/>
  <c r="P139" i="7" s="1"/>
  <c r="K53" i="17"/>
  <c r="M53" i="17" s="1"/>
  <c r="E39" i="7" s="1"/>
  <c r="P39" i="7" s="1"/>
  <c r="K40" i="17"/>
  <c r="M40" i="17" s="1"/>
  <c r="E30" i="7" s="1"/>
  <c r="P30" i="7" s="1"/>
  <c r="K61" i="17"/>
  <c r="M61" i="17" s="1"/>
  <c r="E46" i="7" s="1"/>
  <c r="K25" i="17"/>
  <c r="M25" i="17" s="1"/>
  <c r="E24" i="7" s="1"/>
  <c r="P24" i="7" s="1"/>
  <c r="K21" i="17"/>
  <c r="M21" i="17" s="1"/>
  <c r="E21" i="7" s="1"/>
  <c r="K13" i="17"/>
  <c r="M13" i="17" s="1"/>
  <c r="E14" i="7" s="1"/>
  <c r="P14" i="7" s="1"/>
  <c r="K7" i="17"/>
  <c r="M7" i="17" s="1"/>
  <c r="E10" i="7" s="1"/>
  <c r="P10" i="7" s="1"/>
  <c r="K26" i="17"/>
  <c r="M26" i="17" s="1"/>
  <c r="E25" i="7" s="1"/>
  <c r="K12" i="17"/>
  <c r="M12" i="17" s="1"/>
  <c r="E13" i="7" s="1"/>
  <c r="P13" i="7" s="1"/>
  <c r="K132" i="17"/>
  <c r="M132" i="17" s="1"/>
  <c r="E150" i="7" s="1"/>
  <c r="K119" i="17"/>
  <c r="M119" i="17" s="1"/>
  <c r="E63" i="7" s="1"/>
  <c r="P63" i="7" s="1"/>
  <c r="K111" i="17"/>
  <c r="M111" i="17" s="1"/>
  <c r="K49" i="17"/>
  <c r="M49" i="17" s="1"/>
  <c r="E38" i="7" s="1"/>
  <c r="P38" i="7" s="1"/>
  <c r="K91" i="17"/>
  <c r="M91" i="17" s="1"/>
  <c r="E54" i="7" s="1"/>
  <c r="P54" i="7" s="1"/>
  <c r="K67" i="17"/>
  <c r="M67" i="17" s="1"/>
  <c r="E43" i="7" s="1"/>
  <c r="K24" i="17"/>
  <c r="M24" i="17" s="1"/>
  <c r="E92" i="7" s="1"/>
  <c r="P92" i="7" s="1"/>
  <c r="K20" i="17"/>
  <c r="M20" i="17" s="1"/>
  <c r="E91" i="7" s="1"/>
  <c r="P91" i="7" s="1"/>
  <c r="K9" i="17"/>
  <c r="M9" i="17" s="1"/>
  <c r="E11" i="7" s="1"/>
  <c r="K3" i="17"/>
  <c r="M3" i="17" s="1"/>
  <c r="E7" i="7" s="1"/>
  <c r="K22" i="17"/>
  <c r="M22" i="17" s="1"/>
  <c r="E22" i="7" s="1"/>
  <c r="P22" i="7" s="1"/>
  <c r="K6" i="17"/>
  <c r="M6" i="17" s="1"/>
  <c r="E9" i="7" s="1"/>
  <c r="K129" i="17"/>
  <c r="M129" i="17" s="1"/>
  <c r="E66" i="7" s="1"/>
  <c r="P66" i="7" s="1"/>
  <c r="K117" i="17"/>
  <c r="M117" i="17" s="1"/>
  <c r="E143" i="7" s="1"/>
  <c r="P143" i="7" s="1"/>
  <c r="K109" i="17"/>
  <c r="M109" i="17" s="1"/>
  <c r="E62" i="7" s="1"/>
  <c r="P62" i="7" s="1"/>
  <c r="K44" i="17"/>
  <c r="M44" i="17" s="1"/>
  <c r="E35" i="7" s="1"/>
  <c r="P35" i="7" s="1"/>
  <c r="K85" i="17"/>
  <c r="M85" i="17" s="1"/>
  <c r="E52" i="7" s="1"/>
  <c r="P52" i="7" s="1"/>
  <c r="K23" i="17"/>
  <c r="M23" i="17" s="1"/>
  <c r="E23" i="7" s="1"/>
  <c r="P23" i="7" s="1"/>
  <c r="K19" i="17"/>
  <c r="M19" i="17" s="1"/>
  <c r="K10" i="17"/>
  <c r="M10" i="17" s="1"/>
  <c r="E12" i="7" s="1"/>
  <c r="P12" i="7" s="1"/>
  <c r="K4" i="17"/>
  <c r="M4" i="17" s="1"/>
  <c r="E8" i="7" s="1"/>
  <c r="K130" i="17"/>
  <c r="M130" i="17" s="1"/>
  <c r="D61" i="4"/>
  <c r="C64" i="4"/>
  <c r="I12" i="4"/>
  <c r="H12" i="4"/>
  <c r="G12" i="4"/>
  <c r="F12" i="4"/>
  <c r="E12" i="4"/>
  <c r="D12" i="4"/>
  <c r="I11" i="4"/>
  <c r="D11" i="4"/>
  <c r="H11" i="4"/>
  <c r="G11" i="4"/>
  <c r="F11" i="4"/>
  <c r="E11" i="4"/>
  <c r="I13" i="4"/>
  <c r="H13" i="4"/>
  <c r="G13" i="4"/>
  <c r="F13" i="4"/>
  <c r="E13" i="4"/>
  <c r="D13" i="4"/>
  <c r="H62" i="4"/>
  <c r="H64" i="4" s="1"/>
  <c r="P89" i="7" l="1"/>
  <c r="E137" i="7"/>
  <c r="P137" i="7" s="1"/>
  <c r="S12" i="17"/>
  <c r="R12" i="17"/>
  <c r="R10" i="17"/>
  <c r="S11" i="17"/>
  <c r="R11" i="17"/>
  <c r="E90" i="7"/>
  <c r="P90" i="7" s="1"/>
  <c r="E56" i="7"/>
  <c r="P56" i="7" s="1"/>
  <c r="E15" i="7"/>
  <c r="P15" i="7" s="1"/>
  <c r="P7" i="7"/>
  <c r="E41" i="7"/>
  <c r="P9" i="7"/>
  <c r="P11" i="7"/>
  <c r="P150" i="7"/>
  <c r="P141" i="7"/>
  <c r="P124" i="7"/>
  <c r="P25" i="7"/>
  <c r="P59" i="7"/>
  <c r="P110" i="7"/>
  <c r="P116" i="7"/>
  <c r="P21" i="7"/>
  <c r="P146" i="7"/>
  <c r="P108" i="7"/>
  <c r="P8" i="7"/>
  <c r="P118" i="7"/>
  <c r="G35" i="7"/>
  <c r="G23" i="7"/>
  <c r="G143" i="7"/>
  <c r="G7" i="7"/>
  <c r="G63" i="7"/>
  <c r="G10" i="7"/>
  <c r="P46" i="7"/>
  <c r="G64" i="7"/>
  <c r="G61" i="7"/>
  <c r="G120" i="7"/>
  <c r="G108" i="7"/>
  <c r="G58" i="7"/>
  <c r="G52" i="7"/>
  <c r="G66" i="7"/>
  <c r="G11" i="7"/>
  <c r="G54" i="7"/>
  <c r="G150" i="7"/>
  <c r="G14" i="7"/>
  <c r="G30" i="7"/>
  <c r="G118" i="7"/>
  <c r="G141" i="7"/>
  <c r="G57" i="7"/>
  <c r="G114" i="7"/>
  <c r="G104" i="7"/>
  <c r="G18" i="7"/>
  <c r="G12" i="7"/>
  <c r="G91" i="7"/>
  <c r="G21" i="7"/>
  <c r="G39" i="7"/>
  <c r="E49" i="7"/>
  <c r="P49" i="7" s="1"/>
  <c r="G65" i="7"/>
  <c r="G124" i="7"/>
  <c r="G112" i="7"/>
  <c r="G107" i="7"/>
  <c r="G146" i="7"/>
  <c r="G16" i="7"/>
  <c r="G8" i="7"/>
  <c r="G9" i="7"/>
  <c r="G38" i="7"/>
  <c r="G13" i="7"/>
  <c r="C65" i="4"/>
  <c r="C67" i="4" s="1"/>
  <c r="G62" i="7"/>
  <c r="G22" i="7"/>
  <c r="G92" i="7"/>
  <c r="G25" i="7"/>
  <c r="G24" i="7"/>
  <c r="G139" i="7"/>
  <c r="G33" i="7"/>
  <c r="G59" i="7"/>
  <c r="G122" i="7"/>
  <c r="G110" i="7"/>
  <c r="G106" i="7"/>
  <c r="G116" i="7"/>
  <c r="G17" i="7"/>
  <c r="E152" i="7" l="1"/>
  <c r="G137" i="7"/>
  <c r="R13" i="17"/>
  <c r="P43" i="7"/>
  <c r="E68" i="7"/>
  <c r="Q11" i="17"/>
  <c r="T11" i="17" s="1"/>
  <c r="E126" i="7"/>
  <c r="E20" i="7"/>
  <c r="G90" i="7"/>
  <c r="G126" i="7" s="1"/>
  <c r="G15" i="7"/>
  <c r="G20" i="7" s="1"/>
  <c r="G56" i="7"/>
  <c r="P126" i="7"/>
  <c r="G152" i="7"/>
  <c r="P41" i="7"/>
  <c r="G46" i="7"/>
  <c r="P20" i="7"/>
  <c r="I75" i="7" s="1"/>
  <c r="G43" i="7"/>
  <c r="P152" i="7"/>
  <c r="G49" i="7"/>
  <c r="G41" i="7"/>
  <c r="E69" i="7" l="1"/>
  <c r="Q12" i="17"/>
  <c r="T12" i="17" s="1"/>
  <c r="Q10" i="17"/>
  <c r="D77" i="7"/>
  <c r="G68" i="7"/>
  <c r="G69" i="7" s="1"/>
  <c r="D78" i="7" s="1"/>
  <c r="P68" i="7"/>
  <c r="I77" i="7" s="1"/>
  <c r="T10" i="17" l="1"/>
  <c r="Q13" i="17"/>
  <c r="H65" i="7"/>
  <c r="I65" i="7" s="1"/>
  <c r="J65" i="7" s="1"/>
  <c r="M65" i="7" s="1"/>
  <c r="N65" i="7" s="1"/>
  <c r="H116" i="7"/>
  <c r="I116" i="7" s="1"/>
  <c r="J116" i="7" s="1"/>
  <c r="M116" i="7" s="1"/>
  <c r="H26" i="7"/>
  <c r="I26" i="7" s="1"/>
  <c r="J26" i="7" s="1"/>
  <c r="M26" i="7" s="1"/>
  <c r="O26" i="7" s="1"/>
  <c r="O65" i="7"/>
  <c r="H101" i="7"/>
  <c r="I101" i="7" s="1"/>
  <c r="J101" i="7" s="1"/>
  <c r="M101" i="7" s="1"/>
  <c r="H114" i="7"/>
  <c r="I114" i="7" s="1"/>
  <c r="J114" i="7" s="1"/>
  <c r="M114" i="7" s="1"/>
  <c r="H104" i="7"/>
  <c r="I104" i="7" s="1"/>
  <c r="J104" i="7" s="1"/>
  <c r="M104" i="7" s="1"/>
  <c r="H142" i="7"/>
  <c r="I142" i="7" s="1"/>
  <c r="J142" i="7" s="1"/>
  <c r="M142" i="7" s="1"/>
  <c r="H27" i="7"/>
  <c r="I27" i="7" s="1"/>
  <c r="J27" i="7" s="1"/>
  <c r="M27" i="7" s="1"/>
  <c r="H52" i="7"/>
  <c r="I52" i="7" s="1"/>
  <c r="J52" i="7" s="1"/>
  <c r="M52" i="7" s="1"/>
  <c r="H111" i="7"/>
  <c r="I111" i="7" s="1"/>
  <c r="J111" i="7" s="1"/>
  <c r="M111" i="7" s="1"/>
  <c r="H67" i="7"/>
  <c r="I67" i="7" s="1"/>
  <c r="J67" i="7" s="1"/>
  <c r="M67" i="7" s="1"/>
  <c r="H13" i="7"/>
  <c r="I13" i="7" s="1"/>
  <c r="J13" i="7" s="1"/>
  <c r="M13" i="7" s="1"/>
  <c r="H151" i="7"/>
  <c r="I151" i="7" s="1"/>
  <c r="J151" i="7" s="1"/>
  <c r="M151" i="7" s="1"/>
  <c r="H38" i="7"/>
  <c r="I38" i="7" s="1"/>
  <c r="J38" i="7" s="1"/>
  <c r="M38" i="7" s="1"/>
  <c r="H62" i="7"/>
  <c r="I62" i="7" s="1"/>
  <c r="J62" i="7" s="1"/>
  <c r="M62" i="7" s="1"/>
  <c r="H7" i="7"/>
  <c r="I7" i="7" s="1"/>
  <c r="H128" i="7"/>
  <c r="I128" i="7" s="1"/>
  <c r="J128" i="7" s="1"/>
  <c r="M128" i="7" s="1"/>
  <c r="N26" i="7"/>
  <c r="H115" i="7"/>
  <c r="I115" i="7" s="1"/>
  <c r="J115" i="7" s="1"/>
  <c r="M115" i="7" s="1"/>
  <c r="H146" i="7"/>
  <c r="I146" i="7" s="1"/>
  <c r="J146" i="7" s="1"/>
  <c r="M146" i="7" s="1"/>
  <c r="H148" i="7"/>
  <c r="I148" i="7" s="1"/>
  <c r="J148" i="7" s="1"/>
  <c r="M148" i="7" s="1"/>
  <c r="H50" i="7"/>
  <c r="I50" i="7" s="1"/>
  <c r="J50" i="7" s="1"/>
  <c r="M50" i="7" s="1"/>
  <c r="H34" i="7"/>
  <c r="I34" i="7" s="1"/>
  <c r="J34" i="7" s="1"/>
  <c r="M34" i="7" s="1"/>
  <c r="H91" i="7"/>
  <c r="I91" i="7" s="1"/>
  <c r="J91" i="7" s="1"/>
  <c r="M91" i="7" s="1"/>
  <c r="H44" i="7"/>
  <c r="I44" i="7" s="1"/>
  <c r="J44" i="7" s="1"/>
  <c r="M44" i="7" s="1"/>
  <c r="H45" i="7"/>
  <c r="I45" i="7" s="1"/>
  <c r="J45" i="7" s="1"/>
  <c r="M45" i="7" s="1"/>
  <c r="H53" i="7"/>
  <c r="I53" i="7" s="1"/>
  <c r="J53" i="7" s="1"/>
  <c r="M53" i="7" s="1"/>
  <c r="H132" i="7"/>
  <c r="I132" i="7" s="1"/>
  <c r="J132" i="7" s="1"/>
  <c r="M132" i="7" s="1"/>
  <c r="H150" i="7"/>
  <c r="I150" i="7" s="1"/>
  <c r="J150" i="7" s="1"/>
  <c r="M150" i="7" s="1"/>
  <c r="H110" i="7"/>
  <c r="I110" i="7" s="1"/>
  <c r="J110" i="7" s="1"/>
  <c r="M110" i="7" s="1"/>
  <c r="S110" i="7" s="1"/>
  <c r="H10" i="7"/>
  <c r="I10" i="7" s="1"/>
  <c r="J10" i="7" s="1"/>
  <c r="M10" i="7" s="1"/>
  <c r="S10" i="7" s="1"/>
  <c r="H56" i="7"/>
  <c r="I56" i="7" s="1"/>
  <c r="J56" i="7" s="1"/>
  <c r="M56" i="7" s="1"/>
  <c r="H113" i="7"/>
  <c r="I113" i="7" s="1"/>
  <c r="J113" i="7" s="1"/>
  <c r="M113" i="7" s="1"/>
  <c r="H36" i="7"/>
  <c r="I36" i="7" s="1"/>
  <c r="J36" i="7" s="1"/>
  <c r="M36" i="7" s="1"/>
  <c r="S36" i="7" s="1"/>
  <c r="H95" i="7"/>
  <c r="I95" i="7" s="1"/>
  <c r="J95" i="7" s="1"/>
  <c r="M95" i="7" s="1"/>
  <c r="H121" i="7"/>
  <c r="I121" i="7" s="1"/>
  <c r="J121" i="7" s="1"/>
  <c r="M121" i="7" s="1"/>
  <c r="H124" i="7"/>
  <c r="I124" i="7" s="1"/>
  <c r="J124" i="7" s="1"/>
  <c r="M124" i="7" s="1"/>
  <c r="H15" i="7"/>
  <c r="I15" i="7" s="1"/>
  <c r="J15" i="7" s="1"/>
  <c r="M15" i="7" s="1"/>
  <c r="S15" i="7" s="1"/>
  <c r="H97" i="7"/>
  <c r="I97" i="7" s="1"/>
  <c r="J97" i="7" s="1"/>
  <c r="M97" i="7" s="1"/>
  <c r="H138" i="7"/>
  <c r="I138" i="7" s="1"/>
  <c r="J138" i="7" s="1"/>
  <c r="M138" i="7" s="1"/>
  <c r="H139" i="7"/>
  <c r="I139" i="7" s="1"/>
  <c r="J139" i="7" s="1"/>
  <c r="M139" i="7" s="1"/>
  <c r="H21" i="7"/>
  <c r="I21" i="7" s="1"/>
  <c r="J21" i="7" s="1"/>
  <c r="H107" i="7"/>
  <c r="I107" i="7" s="1"/>
  <c r="J107" i="7" s="1"/>
  <c r="M107" i="7" s="1"/>
  <c r="H57" i="7"/>
  <c r="I57" i="7" s="1"/>
  <c r="J57" i="7" s="1"/>
  <c r="M57" i="7" s="1"/>
  <c r="H98" i="7"/>
  <c r="I98" i="7" s="1"/>
  <c r="J98" i="7" s="1"/>
  <c r="M98" i="7" s="1"/>
  <c r="H105" i="7"/>
  <c r="I105" i="7" s="1"/>
  <c r="J105" i="7" s="1"/>
  <c r="M105" i="7" s="1"/>
  <c r="H12" i="7"/>
  <c r="I12" i="7" s="1"/>
  <c r="J12" i="7" s="1"/>
  <c r="M12" i="7" s="1"/>
  <c r="H123" i="7"/>
  <c r="I123" i="7" s="1"/>
  <c r="J123" i="7" s="1"/>
  <c r="M123" i="7" s="1"/>
  <c r="H109" i="7"/>
  <c r="I109" i="7" s="1"/>
  <c r="J109" i="7" s="1"/>
  <c r="M109" i="7" s="1"/>
  <c r="H134" i="7"/>
  <c r="I134" i="7" s="1"/>
  <c r="J134" i="7" s="1"/>
  <c r="M134" i="7" s="1"/>
  <c r="H49" i="7"/>
  <c r="I49" i="7" s="1"/>
  <c r="J49" i="7" s="1"/>
  <c r="M49" i="7" s="1"/>
  <c r="H118" i="7"/>
  <c r="I118" i="7" s="1"/>
  <c r="J118" i="7" s="1"/>
  <c r="M118" i="7" s="1"/>
  <c r="H100" i="7"/>
  <c r="I100" i="7" s="1"/>
  <c r="J100" i="7" s="1"/>
  <c r="M100" i="7" s="1"/>
  <c r="H106" i="7"/>
  <c r="I106" i="7" s="1"/>
  <c r="J106" i="7" s="1"/>
  <c r="M106" i="7" s="1"/>
  <c r="H141" i="7"/>
  <c r="I141" i="7" s="1"/>
  <c r="J141" i="7" s="1"/>
  <c r="M141" i="7" s="1"/>
  <c r="H143" i="7"/>
  <c r="I143" i="7" s="1"/>
  <c r="J143" i="7" s="1"/>
  <c r="M143" i="7" s="1"/>
  <c r="H18" i="7"/>
  <c r="I18" i="7" s="1"/>
  <c r="J18" i="7" s="1"/>
  <c r="M18" i="7" s="1"/>
  <c r="H58" i="7"/>
  <c r="I58" i="7" s="1"/>
  <c r="J58" i="7" s="1"/>
  <c r="M58" i="7" s="1"/>
  <c r="H16" i="7"/>
  <c r="I16" i="7" s="1"/>
  <c r="J16" i="7" s="1"/>
  <c r="M16" i="7" s="1"/>
  <c r="S16" i="7" s="1"/>
  <c r="H35" i="7"/>
  <c r="I35" i="7" s="1"/>
  <c r="J35" i="7" s="1"/>
  <c r="M35" i="7" s="1"/>
  <c r="H30" i="7"/>
  <c r="I30" i="7" s="1"/>
  <c r="J30" i="7" s="1"/>
  <c r="M30" i="7" s="1"/>
  <c r="H39" i="7"/>
  <c r="I39" i="7" s="1"/>
  <c r="J39" i="7" s="1"/>
  <c r="M39" i="7" s="1"/>
  <c r="H117" i="7"/>
  <c r="I117" i="7" s="1"/>
  <c r="J117" i="7" s="1"/>
  <c r="M117" i="7" s="1"/>
  <c r="H51" i="7"/>
  <c r="I51" i="7" s="1"/>
  <c r="J51" i="7" s="1"/>
  <c r="M51" i="7" s="1"/>
  <c r="H54" i="7"/>
  <c r="I54" i="7" s="1"/>
  <c r="J54" i="7" s="1"/>
  <c r="M54" i="7" s="1"/>
  <c r="H103" i="7"/>
  <c r="I103" i="7" s="1"/>
  <c r="J103" i="7" s="1"/>
  <c r="M103" i="7" s="1"/>
  <c r="H8" i="7"/>
  <c r="I8" i="7" s="1"/>
  <c r="J8" i="7" s="1"/>
  <c r="M8" i="7" s="1"/>
  <c r="H131" i="7"/>
  <c r="I131" i="7" s="1"/>
  <c r="J131" i="7" s="1"/>
  <c r="M131" i="7" s="1"/>
  <c r="H40" i="7"/>
  <c r="I40" i="7" s="1"/>
  <c r="J40" i="7" s="1"/>
  <c r="M40" i="7" s="1"/>
  <c r="H145" i="7"/>
  <c r="I145" i="7" s="1"/>
  <c r="J145" i="7" s="1"/>
  <c r="M145" i="7" s="1"/>
  <c r="H43" i="7"/>
  <c r="I43" i="7" s="1"/>
  <c r="J43" i="7" s="1"/>
  <c r="M43" i="7" s="1"/>
  <c r="H102" i="7"/>
  <c r="I102" i="7" s="1"/>
  <c r="J102" i="7" s="1"/>
  <c r="M102" i="7" s="1"/>
  <c r="H14" i="7"/>
  <c r="I14" i="7" s="1"/>
  <c r="J14" i="7" s="1"/>
  <c r="M14" i="7" s="1"/>
  <c r="S14" i="7" s="1"/>
  <c r="H136" i="7"/>
  <c r="I136" i="7" s="1"/>
  <c r="J136" i="7" s="1"/>
  <c r="M136" i="7" s="1"/>
  <c r="H90" i="7"/>
  <c r="I90" i="7" s="1"/>
  <c r="J90" i="7" s="1"/>
  <c r="M90" i="7" s="1"/>
  <c r="H55" i="7"/>
  <c r="I55" i="7" s="1"/>
  <c r="J55" i="7" s="1"/>
  <c r="M55" i="7" s="1"/>
  <c r="H86" i="7"/>
  <c r="I86" i="7" s="1"/>
  <c r="J86" i="7" s="1"/>
  <c r="M86" i="7" s="1"/>
  <c r="H99" i="7"/>
  <c r="I99" i="7" s="1"/>
  <c r="J99" i="7" s="1"/>
  <c r="M99" i="7" s="1"/>
  <c r="H33" i="7"/>
  <c r="I33" i="7" s="1"/>
  <c r="J33" i="7" s="1"/>
  <c r="M33" i="7" s="1"/>
  <c r="H135" i="7"/>
  <c r="I135" i="7" s="1"/>
  <c r="J135" i="7" s="1"/>
  <c r="M135" i="7" s="1"/>
  <c r="H64" i="7"/>
  <c r="I64" i="7" s="1"/>
  <c r="J64" i="7" s="1"/>
  <c r="M64" i="7" s="1"/>
  <c r="H61" i="7"/>
  <c r="I61" i="7" s="1"/>
  <c r="J61" i="7" s="1"/>
  <c r="M61" i="7" s="1"/>
  <c r="H63" i="7"/>
  <c r="I63" i="7" s="1"/>
  <c r="J63" i="7" s="1"/>
  <c r="M63" i="7" s="1"/>
  <c r="H37" i="7"/>
  <c r="I37" i="7" s="1"/>
  <c r="J37" i="7" s="1"/>
  <c r="M37" i="7" s="1"/>
  <c r="H88" i="7"/>
  <c r="I88" i="7" s="1"/>
  <c r="J88" i="7" s="1"/>
  <c r="M88" i="7" s="1"/>
  <c r="H133" i="7"/>
  <c r="I133" i="7" s="1"/>
  <c r="J133" i="7" s="1"/>
  <c r="M133" i="7" s="1"/>
  <c r="H66" i="7"/>
  <c r="I66" i="7" s="1"/>
  <c r="J66" i="7" s="1"/>
  <c r="M66" i="7" s="1"/>
  <c r="H149" i="7"/>
  <c r="I149" i="7" s="1"/>
  <c r="J149" i="7" s="1"/>
  <c r="M149" i="7" s="1"/>
  <c r="H144" i="7"/>
  <c r="I144" i="7" s="1"/>
  <c r="J144" i="7" s="1"/>
  <c r="M144" i="7" s="1"/>
  <c r="H147" i="7"/>
  <c r="I147" i="7" s="1"/>
  <c r="J147" i="7" s="1"/>
  <c r="M147" i="7" s="1"/>
  <c r="H127" i="7"/>
  <c r="H85" i="7"/>
  <c r="H59" i="7"/>
  <c r="I59" i="7" s="1"/>
  <c r="J59" i="7" s="1"/>
  <c r="M59" i="7" s="1"/>
  <c r="H17" i="7"/>
  <c r="I17" i="7" s="1"/>
  <c r="J17" i="7" s="1"/>
  <c r="M17" i="7" s="1"/>
  <c r="H96" i="7"/>
  <c r="I96" i="7" s="1"/>
  <c r="J96" i="7" s="1"/>
  <c r="M96" i="7" s="1"/>
  <c r="H42" i="7"/>
  <c r="H125" i="7"/>
  <c r="I125" i="7" s="1"/>
  <c r="J125" i="7" s="1"/>
  <c r="M125" i="7" s="1"/>
  <c r="H94" i="7"/>
  <c r="I94" i="7" s="1"/>
  <c r="J94" i="7" s="1"/>
  <c r="M94" i="7" s="1"/>
  <c r="H112" i="7"/>
  <c r="I112" i="7" s="1"/>
  <c r="J112" i="7" s="1"/>
  <c r="M112" i="7" s="1"/>
  <c r="H32" i="7"/>
  <c r="I32" i="7" s="1"/>
  <c r="J32" i="7" s="1"/>
  <c r="M32" i="7" s="1"/>
  <c r="H140" i="7"/>
  <c r="I140" i="7" s="1"/>
  <c r="J140" i="7" s="1"/>
  <c r="M140" i="7" s="1"/>
  <c r="H19" i="7"/>
  <c r="I19" i="7" s="1"/>
  <c r="J19" i="7" s="1"/>
  <c r="M19" i="7" s="1"/>
  <c r="H119" i="7"/>
  <c r="I119" i="7" s="1"/>
  <c r="J119" i="7" s="1"/>
  <c r="M119" i="7" s="1"/>
  <c r="H22" i="7"/>
  <c r="H31" i="7"/>
  <c r="I31" i="7" s="1"/>
  <c r="J31" i="7" s="1"/>
  <c r="M31" i="7" s="1"/>
  <c r="H28" i="7"/>
  <c r="I28" i="7" s="1"/>
  <c r="J28" i="7" s="1"/>
  <c r="M28" i="7" s="1"/>
  <c r="H129" i="7"/>
  <c r="I129" i="7" s="1"/>
  <c r="J129" i="7" s="1"/>
  <c r="M129" i="7" s="1"/>
  <c r="H92" i="7"/>
  <c r="I92" i="7" s="1"/>
  <c r="J92" i="7" s="1"/>
  <c r="M92" i="7" s="1"/>
  <c r="H24" i="7"/>
  <c r="I24" i="7" s="1"/>
  <c r="J24" i="7" s="1"/>
  <c r="M24" i="7" s="1"/>
  <c r="H46" i="7"/>
  <c r="I46" i="7" s="1"/>
  <c r="J46" i="7" s="1"/>
  <c r="M46" i="7" s="1"/>
  <c r="H137" i="7"/>
  <c r="I137" i="7" s="1"/>
  <c r="J137" i="7" s="1"/>
  <c r="M137" i="7" s="1"/>
  <c r="H122" i="7"/>
  <c r="I122" i="7" s="1"/>
  <c r="J122" i="7" s="1"/>
  <c r="M122" i="7" s="1"/>
  <c r="H9" i="7"/>
  <c r="I9" i="7" s="1"/>
  <c r="J9" i="7" s="1"/>
  <c r="M9" i="7" s="1"/>
  <c r="H25" i="7"/>
  <c r="I25" i="7" s="1"/>
  <c r="J25" i="7" s="1"/>
  <c r="M25" i="7" s="1"/>
  <c r="H130" i="7"/>
  <c r="I130" i="7" s="1"/>
  <c r="J130" i="7" s="1"/>
  <c r="M130" i="7" s="1"/>
  <c r="H23" i="7"/>
  <c r="I23" i="7" s="1"/>
  <c r="J23" i="7" s="1"/>
  <c r="M23" i="7" s="1"/>
  <c r="H48" i="7"/>
  <c r="I48" i="7" s="1"/>
  <c r="J48" i="7" s="1"/>
  <c r="M48" i="7" s="1"/>
  <c r="H87" i="7"/>
  <c r="I87" i="7" s="1"/>
  <c r="J87" i="7" s="1"/>
  <c r="M87" i="7" s="1"/>
  <c r="H11" i="7"/>
  <c r="I11" i="7" s="1"/>
  <c r="J11" i="7" s="1"/>
  <c r="M11" i="7" s="1"/>
  <c r="H108" i="7"/>
  <c r="I108" i="7" s="1"/>
  <c r="J108" i="7" s="1"/>
  <c r="M108" i="7" s="1"/>
  <c r="H60" i="7"/>
  <c r="I60" i="7" s="1"/>
  <c r="J60" i="7" s="1"/>
  <c r="M60" i="7" s="1"/>
  <c r="H29" i="7"/>
  <c r="I29" i="7" s="1"/>
  <c r="J29" i="7" s="1"/>
  <c r="M29" i="7" s="1"/>
  <c r="H93" i="7"/>
  <c r="I93" i="7" s="1"/>
  <c r="J93" i="7" s="1"/>
  <c r="M93" i="7" s="1"/>
  <c r="H47" i="7"/>
  <c r="I47" i="7" s="1"/>
  <c r="J47" i="7" s="1"/>
  <c r="M47" i="7" s="1"/>
  <c r="H120" i="7"/>
  <c r="I120" i="7" s="1"/>
  <c r="J120" i="7" s="1"/>
  <c r="M120" i="7" s="1"/>
  <c r="J7" i="7"/>
  <c r="S65" i="7" l="1"/>
  <c r="S51" i="7"/>
  <c r="E61" i="22"/>
  <c r="I61" i="22"/>
  <c r="E76" i="22"/>
  <c r="I76" i="22"/>
  <c r="E44" i="22"/>
  <c r="I44" i="22"/>
  <c r="S45" i="7"/>
  <c r="E58" i="22"/>
  <c r="I58" i="22"/>
  <c r="E115" i="22"/>
  <c r="I115" i="22"/>
  <c r="O13" i="7"/>
  <c r="J12" i="22" s="1"/>
  <c r="Q12" i="22" s="1"/>
  <c r="E12" i="22"/>
  <c r="I12" i="22"/>
  <c r="S101" i="7"/>
  <c r="E50" i="22"/>
  <c r="I50" i="22"/>
  <c r="N17" i="7"/>
  <c r="I8" i="22"/>
  <c r="E8" i="22"/>
  <c r="S43" i="7"/>
  <c r="T43" i="7" s="1"/>
  <c r="E57" i="22"/>
  <c r="I57" i="22"/>
  <c r="S143" i="7"/>
  <c r="I88" i="22"/>
  <c r="E88" i="22"/>
  <c r="E109" i="22"/>
  <c r="I109" i="22"/>
  <c r="I84" i="22"/>
  <c r="E84" i="22"/>
  <c r="S113" i="7"/>
  <c r="I113" i="22"/>
  <c r="E113" i="22"/>
  <c r="S44" i="7"/>
  <c r="I59" i="22"/>
  <c r="E59" i="22"/>
  <c r="J31" i="22"/>
  <c r="Q31" i="22" s="1"/>
  <c r="E99" i="22"/>
  <c r="I99" i="22"/>
  <c r="J96" i="22"/>
  <c r="Q96" i="22" s="1"/>
  <c r="I11" i="22"/>
  <c r="E11" i="22"/>
  <c r="I56" i="22"/>
  <c r="E56" i="22"/>
  <c r="E91" i="22"/>
  <c r="I91" i="22"/>
  <c r="S141" i="7"/>
  <c r="I86" i="22"/>
  <c r="E86" i="22"/>
  <c r="E123" i="22"/>
  <c r="I123" i="22"/>
  <c r="E83" i="22"/>
  <c r="I83" i="22"/>
  <c r="E69" i="22"/>
  <c r="I69" i="22"/>
  <c r="E20" i="22"/>
  <c r="I20" i="22"/>
  <c r="F31" i="22"/>
  <c r="P31" i="22" s="1"/>
  <c r="Q26" i="7"/>
  <c r="R26" i="7" s="1"/>
  <c r="S111" i="7"/>
  <c r="E111" i="22"/>
  <c r="I111" i="22"/>
  <c r="F96" i="22"/>
  <c r="P96" i="22" s="1"/>
  <c r="Q65" i="7"/>
  <c r="R65" i="7" s="1"/>
  <c r="E54" i="22"/>
  <c r="I54" i="22"/>
  <c r="I55" i="22"/>
  <c r="E55" i="22"/>
  <c r="I40" i="22"/>
  <c r="E40" i="22"/>
  <c r="E49" i="22"/>
  <c r="I49" i="22"/>
  <c r="E10" i="22"/>
  <c r="I10" i="22"/>
  <c r="S97" i="7"/>
  <c r="I32" i="22"/>
  <c r="E32" i="22"/>
  <c r="O10" i="7"/>
  <c r="J7" i="22" s="1"/>
  <c r="Q7" i="22" s="1"/>
  <c r="E7" i="22"/>
  <c r="I7" i="22"/>
  <c r="S34" i="7"/>
  <c r="E37" i="22"/>
  <c r="I37" i="22"/>
  <c r="S128" i="7"/>
  <c r="E53" i="22"/>
  <c r="I53" i="22"/>
  <c r="S52" i="7"/>
  <c r="I63" i="22"/>
  <c r="E63" i="22"/>
  <c r="I31" i="22"/>
  <c r="E31" i="22"/>
  <c r="N19" i="7"/>
  <c r="E18" i="22"/>
  <c r="I18" i="22"/>
  <c r="I120" i="22"/>
  <c r="E120" i="22"/>
  <c r="I24" i="22"/>
  <c r="E24" i="22"/>
  <c r="I27" i="22"/>
  <c r="E27" i="22"/>
  <c r="E90" i="22"/>
  <c r="I90" i="22"/>
  <c r="E34" i="22"/>
  <c r="I34" i="22"/>
  <c r="E78" i="22"/>
  <c r="I78" i="22"/>
  <c r="E70" i="22"/>
  <c r="I70" i="22"/>
  <c r="S35" i="7"/>
  <c r="E42" i="22"/>
  <c r="I42" i="22"/>
  <c r="S100" i="7"/>
  <c r="E46" i="22"/>
  <c r="I46" i="22"/>
  <c r="E107" i="22"/>
  <c r="I107" i="22"/>
  <c r="E2" i="22"/>
  <c r="I2" i="22"/>
  <c r="E110" i="22"/>
  <c r="I110" i="22"/>
  <c r="I62" i="22"/>
  <c r="E62" i="22"/>
  <c r="E33" i="22"/>
  <c r="I33" i="22"/>
  <c r="O116" i="7"/>
  <c r="I116" i="22"/>
  <c r="E116" i="22"/>
  <c r="S17" i="7"/>
  <c r="I103" i="22"/>
  <c r="E103" i="22"/>
  <c r="I75" i="22"/>
  <c r="E75" i="22"/>
  <c r="I67" i="22"/>
  <c r="E67" i="22"/>
  <c r="I112" i="22"/>
  <c r="E112" i="22"/>
  <c r="I102" i="22"/>
  <c r="E102" i="22"/>
  <c r="N9" i="7"/>
  <c r="I6" i="22"/>
  <c r="E6" i="22"/>
  <c r="I19" i="22"/>
  <c r="E19" i="22"/>
  <c r="I118" i="22"/>
  <c r="E118" i="22"/>
  <c r="S98" i="7"/>
  <c r="E38" i="22"/>
  <c r="I38" i="22"/>
  <c r="I124" i="22"/>
  <c r="E124" i="22"/>
  <c r="I100" i="22"/>
  <c r="E100" i="22"/>
  <c r="I80" i="22"/>
  <c r="E80" i="22"/>
  <c r="S142" i="7"/>
  <c r="I87" i="22"/>
  <c r="E87" i="22"/>
  <c r="S13" i="7"/>
  <c r="S18" i="7"/>
  <c r="I47" i="22"/>
  <c r="E47" i="22"/>
  <c r="E85" i="22"/>
  <c r="I85" i="22"/>
  <c r="S117" i="7"/>
  <c r="E117" i="22"/>
  <c r="I117" i="22"/>
  <c r="I43" i="22"/>
  <c r="E43" i="22"/>
  <c r="E68" i="22"/>
  <c r="I68" i="22"/>
  <c r="I39" i="22"/>
  <c r="E39" i="22"/>
  <c r="E26" i="22"/>
  <c r="I26" i="22"/>
  <c r="E93" i="22"/>
  <c r="I93" i="22"/>
  <c r="I41" i="22"/>
  <c r="E41" i="22"/>
  <c r="I89" i="22"/>
  <c r="E89" i="22"/>
  <c r="O8" i="7"/>
  <c r="J4" i="22" s="1"/>
  <c r="Q4" i="22" s="1"/>
  <c r="I4" i="22"/>
  <c r="E4" i="22"/>
  <c r="I108" i="22"/>
  <c r="E108" i="22"/>
  <c r="I97" i="22"/>
  <c r="E97" i="22"/>
  <c r="I79" i="22"/>
  <c r="E79" i="22"/>
  <c r="S136" i="7"/>
  <c r="I81" i="22"/>
  <c r="E81" i="22"/>
  <c r="I105" i="22"/>
  <c r="E105" i="22"/>
  <c r="E73" i="22"/>
  <c r="I73" i="22"/>
  <c r="S49" i="7"/>
  <c r="E60" i="22"/>
  <c r="I60" i="22"/>
  <c r="I71" i="22"/>
  <c r="E71" i="22"/>
  <c r="I121" i="22"/>
  <c r="E121" i="22"/>
  <c r="I72" i="22"/>
  <c r="E72" i="22"/>
  <c r="S148" i="7"/>
  <c r="I95" i="22"/>
  <c r="E95" i="22"/>
  <c r="E45" i="22"/>
  <c r="I45" i="22"/>
  <c r="S104" i="7"/>
  <c r="E106" i="22"/>
  <c r="I106" i="22"/>
  <c r="S12" i="7"/>
  <c r="S19" i="7"/>
  <c r="E74" i="22"/>
  <c r="I74" i="22"/>
  <c r="I25" i="22"/>
  <c r="E25" i="22"/>
  <c r="I23" i="22"/>
  <c r="E23" i="22"/>
  <c r="I48" i="22"/>
  <c r="E48" i="22"/>
  <c r="E65" i="22"/>
  <c r="I65" i="22"/>
  <c r="O18" i="7"/>
  <c r="J11" i="22" s="1"/>
  <c r="I35" i="22"/>
  <c r="E35" i="22"/>
  <c r="I28" i="22"/>
  <c r="E28" i="22"/>
  <c r="E77" i="22"/>
  <c r="I77" i="22"/>
  <c r="E125" i="22"/>
  <c r="I125" i="22"/>
  <c r="E94" i="22"/>
  <c r="I94" i="22"/>
  <c r="E5" i="22"/>
  <c r="I5" i="22"/>
  <c r="E122" i="22"/>
  <c r="I122" i="22"/>
  <c r="S105" i="7"/>
  <c r="N11" i="7"/>
  <c r="E9" i="22"/>
  <c r="I9" i="22"/>
  <c r="E82" i="22"/>
  <c r="I82" i="22"/>
  <c r="I119" i="22"/>
  <c r="E119" i="22"/>
  <c r="E30" i="22"/>
  <c r="I30" i="22"/>
  <c r="E98" i="22"/>
  <c r="I98" i="22"/>
  <c r="E36" i="22"/>
  <c r="I36" i="22"/>
  <c r="E13" i="22"/>
  <c r="I13" i="22"/>
  <c r="E66" i="22"/>
  <c r="I66" i="22"/>
  <c r="S26" i="7"/>
  <c r="S115" i="7"/>
  <c r="I104" i="22"/>
  <c r="E104" i="22"/>
  <c r="E29" i="22"/>
  <c r="I29" i="22"/>
  <c r="S53" i="7"/>
  <c r="I64" i="22"/>
  <c r="E64" i="22"/>
  <c r="S146" i="7"/>
  <c r="I92" i="22"/>
  <c r="E92" i="22"/>
  <c r="S151" i="7"/>
  <c r="E101" i="22"/>
  <c r="I101" i="22"/>
  <c r="S114" i="7"/>
  <c r="E114" i="22"/>
  <c r="I114" i="22"/>
  <c r="S11" i="7"/>
  <c r="I96" i="22"/>
  <c r="E96" i="22"/>
  <c r="I17" i="22"/>
  <c r="E17" i="22"/>
  <c r="I16" i="22"/>
  <c r="E16" i="22"/>
  <c r="E15" i="22"/>
  <c r="I15" i="22"/>
  <c r="S116" i="7"/>
  <c r="N116" i="7"/>
  <c r="O92" i="7"/>
  <c r="J24" i="22" s="1"/>
  <c r="N92" i="7"/>
  <c r="N55" i="7"/>
  <c r="O55" i="7"/>
  <c r="J67" i="22" s="1"/>
  <c r="Q67" i="22" s="1"/>
  <c r="O150" i="7"/>
  <c r="N150" i="7"/>
  <c r="O112" i="7"/>
  <c r="J112" i="22" s="1"/>
  <c r="Q112" i="22" s="1"/>
  <c r="N112" i="7"/>
  <c r="O123" i="7"/>
  <c r="N123" i="7"/>
  <c r="S132" i="7"/>
  <c r="O132" i="7"/>
  <c r="N132" i="7"/>
  <c r="O29" i="7"/>
  <c r="J35" i="22" s="1"/>
  <c r="Q35" i="22" s="1"/>
  <c r="N29" i="7"/>
  <c r="O25" i="7"/>
  <c r="J26" i="22" s="1"/>
  <c r="Q26" i="22" s="1"/>
  <c r="N25" i="7"/>
  <c r="N28" i="7"/>
  <c r="O28" i="7"/>
  <c r="J34" i="22" s="1"/>
  <c r="O94" i="7"/>
  <c r="J28" i="22" s="1"/>
  <c r="Q28" i="22" s="1"/>
  <c r="N94" i="7"/>
  <c r="N147" i="7"/>
  <c r="O147" i="7"/>
  <c r="J93" i="22" s="1"/>
  <c r="N61" i="7"/>
  <c r="O61" i="7"/>
  <c r="J78" i="22" s="1"/>
  <c r="Q78" i="22" s="1"/>
  <c r="O145" i="7"/>
  <c r="N145" i="7"/>
  <c r="O54" i="7"/>
  <c r="N54" i="7"/>
  <c r="N12" i="7"/>
  <c r="O12" i="7"/>
  <c r="J10" i="22" s="1"/>
  <c r="N36" i="7"/>
  <c r="O36" i="7"/>
  <c r="N53" i="7"/>
  <c r="O53" i="7"/>
  <c r="N146" i="7"/>
  <c r="O146" i="7"/>
  <c r="O151" i="7"/>
  <c r="N151" i="7"/>
  <c r="O27" i="7"/>
  <c r="N27" i="7"/>
  <c r="S90" i="7"/>
  <c r="N90" i="7"/>
  <c r="O90" i="7"/>
  <c r="J19" i="22" s="1"/>
  <c r="Q19" i="22" s="1"/>
  <c r="O23" i="7"/>
  <c r="J23" i="22" s="1"/>
  <c r="N23" i="7"/>
  <c r="N32" i="7"/>
  <c r="O32" i="7"/>
  <c r="J40" i="22" s="1"/>
  <c r="O37" i="7"/>
  <c r="J43" i="22" s="1"/>
  <c r="Q43" i="22" s="1"/>
  <c r="N37" i="7"/>
  <c r="O102" i="7"/>
  <c r="N102" i="7"/>
  <c r="N16" i="7"/>
  <c r="O16" i="7"/>
  <c r="J5" i="22" s="1"/>
  <c r="Q5" i="22" s="1"/>
  <c r="S118" i="7"/>
  <c r="O118" i="7"/>
  <c r="N118" i="7"/>
  <c r="O109" i="7"/>
  <c r="N109" i="7"/>
  <c r="O121" i="7"/>
  <c r="N121" i="7"/>
  <c r="O62" i="7"/>
  <c r="N62" i="7"/>
  <c r="O130" i="7"/>
  <c r="J68" i="22" s="1"/>
  <c r="Q68" i="22" s="1"/>
  <c r="N130" i="7"/>
  <c r="S58" i="7"/>
  <c r="O58" i="7"/>
  <c r="N58" i="7"/>
  <c r="O148" i="7"/>
  <c r="N148" i="7"/>
  <c r="S121" i="7"/>
  <c r="O60" i="7"/>
  <c r="J77" i="22" s="1"/>
  <c r="N60" i="7"/>
  <c r="O31" i="7"/>
  <c r="J41" i="22" s="1"/>
  <c r="N31" i="7"/>
  <c r="O125" i="7"/>
  <c r="J125" i="22" s="1"/>
  <c r="Q125" i="22" s="1"/>
  <c r="N125" i="7"/>
  <c r="O144" i="7"/>
  <c r="J89" i="22" s="1"/>
  <c r="Q89" i="22" s="1"/>
  <c r="N144" i="7"/>
  <c r="O64" i="7"/>
  <c r="J94" i="22" s="1"/>
  <c r="Q94" i="22" s="1"/>
  <c r="N64" i="7"/>
  <c r="S62" i="7"/>
  <c r="N40" i="7"/>
  <c r="O40" i="7"/>
  <c r="S40" i="7"/>
  <c r="N51" i="7"/>
  <c r="O51" i="7"/>
  <c r="N18" i="7"/>
  <c r="S54" i="7"/>
  <c r="N105" i="7"/>
  <c r="O105" i="7"/>
  <c r="S139" i="7"/>
  <c r="O139" i="7"/>
  <c r="N139" i="7"/>
  <c r="N45" i="7"/>
  <c r="O45" i="7"/>
  <c r="O115" i="7"/>
  <c r="N115" i="7"/>
  <c r="N13" i="7"/>
  <c r="S102" i="7"/>
  <c r="O47" i="7"/>
  <c r="J56" i="22" s="1"/>
  <c r="N47" i="7"/>
  <c r="O93" i="7"/>
  <c r="J27" i="22" s="1"/>
  <c r="Q27" i="22" s="1"/>
  <c r="N93" i="7"/>
  <c r="N63" i="7"/>
  <c r="O63" i="7"/>
  <c r="J90" i="22" s="1"/>
  <c r="Q90" i="22" s="1"/>
  <c r="N43" i="7"/>
  <c r="O43" i="7"/>
  <c r="N49" i="7"/>
  <c r="O49" i="7"/>
  <c r="S107" i="7"/>
  <c r="N107" i="7"/>
  <c r="O107" i="7"/>
  <c r="N95" i="7"/>
  <c r="O95" i="7"/>
  <c r="S95" i="7"/>
  <c r="O108" i="7"/>
  <c r="J108" i="22" s="1"/>
  <c r="N108" i="7"/>
  <c r="O122" i="7"/>
  <c r="J122" i="22" s="1"/>
  <c r="Q122" i="22" s="1"/>
  <c r="N122" i="7"/>
  <c r="O149" i="7"/>
  <c r="J97" i="22" s="1"/>
  <c r="Q97" i="22" s="1"/>
  <c r="N149" i="7"/>
  <c r="O135" i="7"/>
  <c r="J79" i="22" s="1"/>
  <c r="Q79" i="22" s="1"/>
  <c r="N135" i="7"/>
  <c r="S123" i="7"/>
  <c r="S131" i="7"/>
  <c r="O131" i="7"/>
  <c r="N131" i="7"/>
  <c r="O117" i="7"/>
  <c r="N117" i="7"/>
  <c r="O143" i="7"/>
  <c r="N143" i="7"/>
  <c r="S145" i="7"/>
  <c r="O98" i="7"/>
  <c r="N98" i="7"/>
  <c r="S138" i="7"/>
  <c r="N138" i="7"/>
  <c r="O138" i="7"/>
  <c r="N113" i="7"/>
  <c r="O113" i="7"/>
  <c r="O44" i="7"/>
  <c r="N44" i="7"/>
  <c r="S67" i="7"/>
  <c r="N67" i="7"/>
  <c r="O67" i="7"/>
  <c r="O142" i="7"/>
  <c r="N142" i="7"/>
  <c r="O129" i="7"/>
  <c r="J65" i="22" s="1"/>
  <c r="Q65" i="22" s="1"/>
  <c r="N129" i="7"/>
  <c r="S103" i="7"/>
  <c r="O103" i="7"/>
  <c r="N103" i="7"/>
  <c r="N38" i="7"/>
  <c r="O38" i="7"/>
  <c r="I126" i="7"/>
  <c r="O137" i="7"/>
  <c r="J82" i="22" s="1"/>
  <c r="Q82" i="22" s="1"/>
  <c r="N137" i="7"/>
  <c r="N119" i="7"/>
  <c r="O119" i="7"/>
  <c r="J119" i="22" s="1"/>
  <c r="Q119" i="22" s="1"/>
  <c r="O96" i="7"/>
  <c r="J30" i="22" s="1"/>
  <c r="Q30" i="22" s="1"/>
  <c r="N96" i="7"/>
  <c r="O66" i="7"/>
  <c r="J98" i="22" s="1"/>
  <c r="Q98" i="22" s="1"/>
  <c r="N66" i="7"/>
  <c r="O33" i="7"/>
  <c r="J36" i="22" s="1"/>
  <c r="Q36" i="22" s="1"/>
  <c r="N33" i="7"/>
  <c r="S109" i="7"/>
  <c r="S8" i="7"/>
  <c r="N8" i="7"/>
  <c r="S39" i="7"/>
  <c r="O39" i="7"/>
  <c r="N39" i="7"/>
  <c r="O141" i="7"/>
  <c r="N141" i="7"/>
  <c r="S57" i="7"/>
  <c r="N57" i="7"/>
  <c r="O57" i="7"/>
  <c r="O97" i="7"/>
  <c r="N97" i="7"/>
  <c r="S56" i="7"/>
  <c r="O56" i="7"/>
  <c r="N56" i="7"/>
  <c r="S91" i="7"/>
  <c r="N91" i="7"/>
  <c r="O91" i="7"/>
  <c r="O111" i="7"/>
  <c r="N111" i="7"/>
  <c r="O104" i="7"/>
  <c r="N104" i="7"/>
  <c r="O87" i="7"/>
  <c r="J16" i="22" s="1"/>
  <c r="Q16" i="22" s="1"/>
  <c r="N87" i="7"/>
  <c r="O46" i="7"/>
  <c r="J54" i="22" s="1"/>
  <c r="N46" i="7"/>
  <c r="O133" i="7"/>
  <c r="J74" i="22" s="1"/>
  <c r="Q74" i="22" s="1"/>
  <c r="N133" i="7"/>
  <c r="O99" i="7"/>
  <c r="J47" i="22" s="1"/>
  <c r="N99" i="7"/>
  <c r="S150" i="7"/>
  <c r="N136" i="7"/>
  <c r="O136" i="7"/>
  <c r="J81" i="22" s="1"/>
  <c r="Q81" i="22" s="1"/>
  <c r="S30" i="7"/>
  <c r="O30" i="7"/>
  <c r="N30" i="7"/>
  <c r="S106" i="7"/>
  <c r="O106" i="7"/>
  <c r="N106" i="7"/>
  <c r="O15" i="7"/>
  <c r="J2" i="22" s="1"/>
  <c r="Q2" i="22" s="1"/>
  <c r="N15" i="7"/>
  <c r="N10" i="7"/>
  <c r="N34" i="7"/>
  <c r="O34" i="7"/>
  <c r="O128" i="7"/>
  <c r="N128" i="7"/>
  <c r="O52" i="7"/>
  <c r="N52" i="7"/>
  <c r="N114" i="7"/>
  <c r="O114" i="7"/>
  <c r="N120" i="7"/>
  <c r="O120" i="7"/>
  <c r="J120" i="22" s="1"/>
  <c r="Q120" i="22" s="1"/>
  <c r="O48" i="7"/>
  <c r="J55" i="22" s="1"/>
  <c r="N48" i="7"/>
  <c r="N24" i="7"/>
  <c r="O24" i="7"/>
  <c r="J25" i="22" s="1"/>
  <c r="Q25" i="22" s="1"/>
  <c r="O140" i="7"/>
  <c r="J85" i="22" s="1"/>
  <c r="Q85" i="22" s="1"/>
  <c r="N140" i="7"/>
  <c r="N59" i="7"/>
  <c r="O59" i="7"/>
  <c r="J75" i="22" s="1"/>
  <c r="Q75" i="22" s="1"/>
  <c r="N88" i="7"/>
  <c r="O88" i="7"/>
  <c r="J17" i="22" s="1"/>
  <c r="Q17" i="22" s="1"/>
  <c r="O86" i="7"/>
  <c r="J15" i="22" s="1"/>
  <c r="Q15" i="22" s="1"/>
  <c r="N86" i="7"/>
  <c r="N14" i="7"/>
  <c r="O14" i="7"/>
  <c r="J13" i="22" s="1"/>
  <c r="Q13" i="22" s="1"/>
  <c r="S38" i="7"/>
  <c r="O35" i="7"/>
  <c r="N35" i="7"/>
  <c r="N100" i="7"/>
  <c r="O100" i="7"/>
  <c r="S134" i="7"/>
  <c r="O134" i="7"/>
  <c r="N134" i="7"/>
  <c r="S124" i="7"/>
  <c r="O124" i="7"/>
  <c r="N124" i="7"/>
  <c r="O110" i="7"/>
  <c r="N110" i="7"/>
  <c r="O50" i="7"/>
  <c r="N50" i="7"/>
  <c r="S50" i="7"/>
  <c r="S27" i="7"/>
  <c r="N101" i="7"/>
  <c r="O101" i="7"/>
  <c r="S87" i="7"/>
  <c r="S46" i="7"/>
  <c r="O19" i="7"/>
  <c r="J18" i="22" s="1"/>
  <c r="Q18" i="22" s="1"/>
  <c r="O17" i="7"/>
  <c r="J8" i="22" s="1"/>
  <c r="S133" i="7"/>
  <c r="S99" i="7"/>
  <c r="S120" i="7"/>
  <c r="S48" i="7"/>
  <c r="S24" i="7"/>
  <c r="S140" i="7"/>
  <c r="S59" i="7"/>
  <c r="S88" i="7"/>
  <c r="S86" i="7"/>
  <c r="S47" i="7"/>
  <c r="S23" i="7"/>
  <c r="S92" i="7"/>
  <c r="S32" i="7"/>
  <c r="H89" i="7"/>
  <c r="I85" i="7"/>
  <c r="S37" i="7"/>
  <c r="S55" i="7"/>
  <c r="H20" i="7"/>
  <c r="S93" i="7"/>
  <c r="S130" i="7"/>
  <c r="S129" i="7"/>
  <c r="S112" i="7"/>
  <c r="H152" i="7"/>
  <c r="I127" i="7"/>
  <c r="S63" i="7"/>
  <c r="H126" i="7"/>
  <c r="S29" i="7"/>
  <c r="S25" i="7"/>
  <c r="S28" i="7"/>
  <c r="S94" i="7"/>
  <c r="S147" i="7"/>
  <c r="S61" i="7"/>
  <c r="S60" i="7"/>
  <c r="S9" i="7"/>
  <c r="O9" i="7"/>
  <c r="J6" i="22" s="1"/>
  <c r="Q6" i="22" s="1"/>
  <c r="S31" i="7"/>
  <c r="S125" i="7"/>
  <c r="S144" i="7"/>
  <c r="S64" i="7"/>
  <c r="I20" i="7"/>
  <c r="S108" i="7"/>
  <c r="S122" i="7"/>
  <c r="I22" i="7"/>
  <c r="H41" i="7"/>
  <c r="I42" i="7"/>
  <c r="H68" i="7"/>
  <c r="S149" i="7"/>
  <c r="S135" i="7"/>
  <c r="O11" i="7"/>
  <c r="J9" i="22" s="1"/>
  <c r="Q9" i="22" s="1"/>
  <c r="S137" i="7"/>
  <c r="S119" i="7"/>
  <c r="S96" i="7"/>
  <c r="S66" i="7"/>
  <c r="S33" i="7"/>
  <c r="M21" i="7"/>
  <c r="M7" i="7"/>
  <c r="J20" i="7"/>
  <c r="J126" i="7"/>
  <c r="K77" i="22" l="1"/>
  <c r="Q77" i="22"/>
  <c r="K93" i="22"/>
  <c r="Q93" i="22"/>
  <c r="K108" i="22"/>
  <c r="Q108" i="22"/>
  <c r="K56" i="22"/>
  <c r="Q56" i="22"/>
  <c r="K23" i="22"/>
  <c r="Q23" i="22"/>
  <c r="K10" i="22"/>
  <c r="Q10" i="22"/>
  <c r="K47" i="22"/>
  <c r="Q47" i="22"/>
  <c r="K11" i="22"/>
  <c r="Q11" i="22"/>
  <c r="K54" i="22"/>
  <c r="Q54" i="22"/>
  <c r="K55" i="22"/>
  <c r="Q55" i="22"/>
  <c r="K34" i="22"/>
  <c r="Q34" i="22"/>
  <c r="K41" i="22"/>
  <c r="Q41" i="22"/>
  <c r="K40" i="22"/>
  <c r="Q40" i="22"/>
  <c r="K8" i="22"/>
  <c r="Q8" i="22"/>
  <c r="K24" i="22"/>
  <c r="Q24" i="22"/>
  <c r="K75" i="22"/>
  <c r="K85" i="22"/>
  <c r="K27" i="22"/>
  <c r="K9" i="22"/>
  <c r="K94" i="22"/>
  <c r="K89" i="22"/>
  <c r="K25" i="22"/>
  <c r="K16" i="22"/>
  <c r="K30" i="22"/>
  <c r="K68" i="22"/>
  <c r="K125" i="22"/>
  <c r="K97" i="22"/>
  <c r="K78" i="22"/>
  <c r="K35" i="22"/>
  <c r="K65" i="22"/>
  <c r="K74" i="22"/>
  <c r="K81" i="22"/>
  <c r="K112" i="22"/>
  <c r="K6" i="22"/>
  <c r="K120" i="22"/>
  <c r="K26" i="22"/>
  <c r="G96" i="22"/>
  <c r="K2" i="22"/>
  <c r="K4" i="22"/>
  <c r="K12" i="22"/>
  <c r="K82" i="22"/>
  <c r="K19" i="22"/>
  <c r="K28" i="22"/>
  <c r="K67" i="22"/>
  <c r="K36" i="22"/>
  <c r="K79" i="22"/>
  <c r="G31" i="22"/>
  <c r="K5" i="22"/>
  <c r="K90" i="22"/>
  <c r="K18" i="22"/>
  <c r="K98" i="22"/>
  <c r="K43" i="22"/>
  <c r="J104" i="22"/>
  <c r="F90" i="22"/>
  <c r="P90" i="22" s="1"/>
  <c r="Q63" i="7"/>
  <c r="J115" i="22"/>
  <c r="F94" i="22"/>
  <c r="P94" i="22" s="1"/>
  <c r="Q64" i="7"/>
  <c r="R64" i="7" s="1"/>
  <c r="F77" i="22"/>
  <c r="P77" i="22" s="1"/>
  <c r="Q60" i="7"/>
  <c r="R60" i="7" s="1"/>
  <c r="Q130" i="7"/>
  <c r="R130" i="7" s="1"/>
  <c r="F68" i="22"/>
  <c r="P68" i="22" s="1"/>
  <c r="Q118" i="7"/>
  <c r="R118" i="7" s="1"/>
  <c r="F118" i="22"/>
  <c r="F33" i="22"/>
  <c r="P33" i="22" s="1"/>
  <c r="Q27" i="7"/>
  <c r="R27" i="7" s="1"/>
  <c r="J114" i="22"/>
  <c r="J20" i="22"/>
  <c r="J118" i="22"/>
  <c r="F78" i="22"/>
  <c r="P78" i="22" s="1"/>
  <c r="Q61" i="7"/>
  <c r="F63" i="22"/>
  <c r="Q52" i="7"/>
  <c r="R52" i="7" s="1"/>
  <c r="Q119" i="7"/>
  <c r="R119" i="7" s="1"/>
  <c r="F119" i="22"/>
  <c r="P119" i="22" s="1"/>
  <c r="J38" i="22"/>
  <c r="Q108" i="7"/>
  <c r="R108" i="7" s="1"/>
  <c r="F108" i="22"/>
  <c r="P108" i="22" s="1"/>
  <c r="F56" i="22"/>
  <c r="P56" i="22" s="1"/>
  <c r="Q47" i="7"/>
  <c r="R47" i="7" s="1"/>
  <c r="Q139" i="7"/>
  <c r="R139" i="7" s="1"/>
  <c r="F84" i="22"/>
  <c r="F61" i="22"/>
  <c r="P61" i="22" s="1"/>
  <c r="Q51" i="7"/>
  <c r="R51" i="7" s="1"/>
  <c r="Q110" i="7"/>
  <c r="R110" i="7" s="1"/>
  <c r="F110" i="22"/>
  <c r="J46" i="22"/>
  <c r="Q24" i="7"/>
  <c r="R24" i="7" s="1"/>
  <c r="F25" i="22"/>
  <c r="P25" i="22" s="1"/>
  <c r="J63" i="22"/>
  <c r="Q106" i="7"/>
  <c r="R106" i="7" s="1"/>
  <c r="F102" i="22"/>
  <c r="Q56" i="7"/>
  <c r="R56" i="7" s="1"/>
  <c r="F69" i="22"/>
  <c r="Q141" i="7"/>
  <c r="R141" i="7" s="1"/>
  <c r="F86" i="22"/>
  <c r="F36" i="22"/>
  <c r="Q33" i="7"/>
  <c r="R33" i="7" s="1"/>
  <c r="Q129" i="7"/>
  <c r="R129" i="7" s="1"/>
  <c r="F65" i="22"/>
  <c r="J59" i="22"/>
  <c r="F60" i="22"/>
  <c r="P60" i="22" s="1"/>
  <c r="Q49" i="7"/>
  <c r="R49" i="7" s="1"/>
  <c r="J84" i="22"/>
  <c r="Q125" i="7"/>
  <c r="R125" i="7" s="1"/>
  <c r="F125" i="22"/>
  <c r="J95" i="22"/>
  <c r="Q121" i="7"/>
  <c r="R121" i="7" s="1"/>
  <c r="F121" i="22"/>
  <c r="Q16" i="7"/>
  <c r="R16" i="7" s="1"/>
  <c r="F5" i="22"/>
  <c r="J92" i="22"/>
  <c r="F66" i="22"/>
  <c r="Q54" i="7"/>
  <c r="R54" i="7" s="1"/>
  <c r="Q94" i="7"/>
  <c r="R94" i="7" s="1"/>
  <c r="F28" i="22"/>
  <c r="Q132" i="7"/>
  <c r="R132" i="7" s="1"/>
  <c r="F72" i="22"/>
  <c r="J100" i="22"/>
  <c r="F18" i="22"/>
  <c r="P18" i="22" s="1"/>
  <c r="Q19" i="7"/>
  <c r="R19" i="7" s="1"/>
  <c r="J39" i="22"/>
  <c r="Q103" i="7"/>
  <c r="R103" i="7" s="1"/>
  <c r="F105" i="22"/>
  <c r="F99" i="22"/>
  <c r="Q67" i="7"/>
  <c r="R67" i="7" s="1"/>
  <c r="Q131" i="7"/>
  <c r="R131" i="7" s="1"/>
  <c r="F70" i="22"/>
  <c r="Q122" i="7"/>
  <c r="R122" i="7" s="1"/>
  <c r="F122" i="22"/>
  <c r="Q107" i="7"/>
  <c r="R107" i="7" s="1"/>
  <c r="F104" i="22"/>
  <c r="Q93" i="7"/>
  <c r="R93" i="7" s="1"/>
  <c r="F27" i="22"/>
  <c r="P27" i="22" s="1"/>
  <c r="J58" i="22"/>
  <c r="Q18" i="7"/>
  <c r="R18" i="7" s="1"/>
  <c r="F11" i="22"/>
  <c r="K17" i="22"/>
  <c r="F55" i="22"/>
  <c r="P55" i="22" s="1"/>
  <c r="Q48" i="7"/>
  <c r="R48" i="7" s="1"/>
  <c r="J102" i="22"/>
  <c r="Q99" i="7"/>
  <c r="R99" i="7" s="1"/>
  <c r="F47" i="22"/>
  <c r="P47" i="22" s="1"/>
  <c r="Q104" i="7"/>
  <c r="R104" i="7" s="1"/>
  <c r="F106" i="22"/>
  <c r="J69" i="22"/>
  <c r="J86" i="22"/>
  <c r="J113" i="22"/>
  <c r="Q143" i="7"/>
  <c r="R143" i="7" s="1"/>
  <c r="F88" i="22"/>
  <c r="J57" i="22"/>
  <c r="J49" i="22"/>
  <c r="Q58" i="7"/>
  <c r="R58" i="7" s="1"/>
  <c r="F73" i="22"/>
  <c r="J121" i="22"/>
  <c r="Q102" i="7"/>
  <c r="R102" i="7" s="1"/>
  <c r="F103" i="22"/>
  <c r="Q146" i="7"/>
  <c r="R146" i="7" s="1"/>
  <c r="F92" i="22"/>
  <c r="J66" i="22"/>
  <c r="J72" i="22"/>
  <c r="Q9" i="7"/>
  <c r="R9" i="7" s="1"/>
  <c r="F6" i="22"/>
  <c r="K31" i="22"/>
  <c r="J44" i="22"/>
  <c r="Q134" i="7"/>
  <c r="R134" i="7" s="1"/>
  <c r="F76" i="22"/>
  <c r="Q10" i="7"/>
  <c r="R10" i="7" s="1"/>
  <c r="F7" i="22"/>
  <c r="F54" i="22"/>
  <c r="Q46" i="7"/>
  <c r="R46" i="7" s="1"/>
  <c r="Q8" i="7"/>
  <c r="R8" i="7" s="1"/>
  <c r="F4" i="22"/>
  <c r="Q116" i="7"/>
  <c r="R116" i="7" s="1"/>
  <c r="F116" i="22"/>
  <c r="P116" i="22" s="1"/>
  <c r="J110" i="22"/>
  <c r="Q100" i="7"/>
  <c r="R100" i="7" s="1"/>
  <c r="F46" i="22"/>
  <c r="Q128" i="7"/>
  <c r="R128" i="7" s="1"/>
  <c r="F53" i="22"/>
  <c r="J50" i="22"/>
  <c r="Q124" i="7"/>
  <c r="R124" i="7" s="1"/>
  <c r="F124" i="22"/>
  <c r="F42" i="22"/>
  <c r="Q35" i="7"/>
  <c r="R35" i="7" s="1"/>
  <c r="J53" i="22"/>
  <c r="J106" i="22"/>
  <c r="F48" i="22"/>
  <c r="Q39" i="7"/>
  <c r="R39" i="7" s="1"/>
  <c r="F98" i="22"/>
  <c r="P98" i="22" s="1"/>
  <c r="Q66" i="7"/>
  <c r="Q142" i="7"/>
  <c r="R142" i="7" s="1"/>
  <c r="F87" i="22"/>
  <c r="Q113" i="7"/>
  <c r="R113" i="7" s="1"/>
  <c r="F113" i="22"/>
  <c r="J88" i="22"/>
  <c r="J29" i="22"/>
  <c r="F57" i="22"/>
  <c r="Q43" i="7"/>
  <c r="R43" i="7" s="1"/>
  <c r="Q13" i="7"/>
  <c r="R13" i="7" s="1"/>
  <c r="F12" i="22"/>
  <c r="J107" i="22"/>
  <c r="F49" i="22"/>
  <c r="Q40" i="7"/>
  <c r="R40" i="7" s="1"/>
  <c r="F41" i="22"/>
  <c r="Q31" i="7"/>
  <c r="J73" i="22"/>
  <c r="Q109" i="7"/>
  <c r="R109" i="7" s="1"/>
  <c r="F109" i="22"/>
  <c r="J103" i="22"/>
  <c r="Q90" i="7"/>
  <c r="R90" i="7" s="1"/>
  <c r="F19" i="22"/>
  <c r="P19" i="22" s="1"/>
  <c r="J64" i="22"/>
  <c r="Q145" i="7"/>
  <c r="R145" i="7" s="1"/>
  <c r="F91" i="22"/>
  <c r="F67" i="22"/>
  <c r="Q55" i="7"/>
  <c r="R55" i="7" s="1"/>
  <c r="Q11" i="7"/>
  <c r="R11" i="7" s="1"/>
  <c r="F9" i="22"/>
  <c r="Q59" i="7"/>
  <c r="F75" i="22"/>
  <c r="P75" i="22" s="1"/>
  <c r="Q120" i="7"/>
  <c r="R120" i="7" s="1"/>
  <c r="F120" i="22"/>
  <c r="F37" i="22"/>
  <c r="Q34" i="7"/>
  <c r="R34" i="7" s="1"/>
  <c r="J111" i="22"/>
  <c r="J99" i="22"/>
  <c r="Q101" i="7"/>
  <c r="R101" i="7" s="1"/>
  <c r="F50" i="22"/>
  <c r="J124" i="22"/>
  <c r="J42" i="22"/>
  <c r="J37" i="22"/>
  <c r="F39" i="22"/>
  <c r="Q30" i="7"/>
  <c r="R30" i="7" s="1"/>
  <c r="Q133" i="7"/>
  <c r="R133" i="7" s="1"/>
  <c r="F74" i="22"/>
  <c r="Q111" i="7"/>
  <c r="R111" i="7" s="1"/>
  <c r="F111" i="22"/>
  <c r="Q97" i="7"/>
  <c r="R97" i="7" s="1"/>
  <c r="F32" i="22"/>
  <c r="J48" i="22"/>
  <c r="J45" i="22"/>
  <c r="J87" i="22"/>
  <c r="J83" i="22"/>
  <c r="Q117" i="7"/>
  <c r="R117" i="7" s="1"/>
  <c r="F117" i="22"/>
  <c r="Q149" i="7"/>
  <c r="R149" i="7" s="1"/>
  <c r="F97" i="22"/>
  <c r="Q95" i="7"/>
  <c r="R95" i="7" s="1"/>
  <c r="F29" i="22"/>
  <c r="Q115" i="7"/>
  <c r="R115" i="7" s="1"/>
  <c r="F115" i="22"/>
  <c r="Q105" i="7"/>
  <c r="R105" i="7" s="1"/>
  <c r="F107" i="22"/>
  <c r="J109" i="22"/>
  <c r="F43" i="22"/>
  <c r="Q37" i="7"/>
  <c r="R37" i="7" s="1"/>
  <c r="F64" i="22"/>
  <c r="Q53" i="7"/>
  <c r="R53" i="7" s="1"/>
  <c r="J91" i="22"/>
  <c r="F34" i="22"/>
  <c r="Q28" i="7"/>
  <c r="R28" i="7" s="1"/>
  <c r="Q123" i="7"/>
  <c r="R123" i="7" s="1"/>
  <c r="F123" i="22"/>
  <c r="Q92" i="7"/>
  <c r="R92" i="7" s="1"/>
  <c r="F24" i="22"/>
  <c r="J32" i="22"/>
  <c r="Q96" i="7"/>
  <c r="R96" i="7" s="1"/>
  <c r="F30" i="22"/>
  <c r="F45" i="22"/>
  <c r="Q38" i="7"/>
  <c r="R38" i="7" s="1"/>
  <c r="Q138" i="7"/>
  <c r="R138" i="7" s="1"/>
  <c r="F83" i="22"/>
  <c r="J117" i="22"/>
  <c r="K96" i="22"/>
  <c r="F8" i="22"/>
  <c r="Q17" i="7"/>
  <c r="R17" i="7" s="1"/>
  <c r="Q25" i="7"/>
  <c r="R25" i="7" s="1"/>
  <c r="F26" i="22"/>
  <c r="J123" i="22"/>
  <c r="K13" i="22"/>
  <c r="Q140" i="7"/>
  <c r="R140" i="7" s="1"/>
  <c r="F85" i="22"/>
  <c r="J71" i="22"/>
  <c r="J33" i="22"/>
  <c r="F44" i="22"/>
  <c r="Q36" i="7"/>
  <c r="R36" i="7" s="1"/>
  <c r="Q112" i="7"/>
  <c r="R112" i="7" s="1"/>
  <c r="F112" i="22"/>
  <c r="F62" i="22"/>
  <c r="Q50" i="7"/>
  <c r="R50" i="7" s="1"/>
  <c r="J76" i="22"/>
  <c r="Q14" i="7"/>
  <c r="R14" i="7" s="1"/>
  <c r="F13" i="22"/>
  <c r="Q114" i="7"/>
  <c r="R114" i="7" s="1"/>
  <c r="F114" i="22"/>
  <c r="Q15" i="7"/>
  <c r="R15" i="7" s="1"/>
  <c r="F2" i="22"/>
  <c r="Q91" i="7"/>
  <c r="R91" i="7" s="1"/>
  <c r="F20" i="22"/>
  <c r="Q57" i="7"/>
  <c r="R57" i="7" s="1"/>
  <c r="F71" i="22"/>
  <c r="K119" i="22"/>
  <c r="J105" i="22"/>
  <c r="Q98" i="7"/>
  <c r="R98" i="7" s="1"/>
  <c r="F38" i="22"/>
  <c r="J70" i="22"/>
  <c r="K122" i="22"/>
  <c r="F58" i="22"/>
  <c r="Q45" i="7"/>
  <c r="R45" i="7" s="1"/>
  <c r="G61" i="22"/>
  <c r="J61" i="22"/>
  <c r="Q144" i="7"/>
  <c r="R144" i="7" s="1"/>
  <c r="F89" i="22"/>
  <c r="F80" i="22"/>
  <c r="Q62" i="7"/>
  <c r="R62" i="7" s="1"/>
  <c r="F40" i="22"/>
  <c r="Q32" i="7"/>
  <c r="R32" i="7" s="1"/>
  <c r="Q151" i="7"/>
  <c r="R151" i="7" s="1"/>
  <c r="F101" i="22"/>
  <c r="F35" i="22"/>
  <c r="Q29" i="7"/>
  <c r="R29" i="7" s="1"/>
  <c r="K7" i="22"/>
  <c r="I3" i="22"/>
  <c r="E3" i="22"/>
  <c r="E21" i="22"/>
  <c r="I21" i="22"/>
  <c r="J62" i="22"/>
  <c r="F59" i="22"/>
  <c r="Q44" i="7"/>
  <c r="R44" i="7" s="1"/>
  <c r="G60" i="22"/>
  <c r="J60" i="22"/>
  <c r="Q148" i="7"/>
  <c r="R148" i="7" s="1"/>
  <c r="F95" i="22"/>
  <c r="J80" i="22"/>
  <c r="Q23" i="7"/>
  <c r="R23" i="7" s="1"/>
  <c r="F23" i="22"/>
  <c r="J101" i="22"/>
  <c r="Q12" i="7"/>
  <c r="R12" i="7" s="1"/>
  <c r="F10" i="22"/>
  <c r="Q147" i="7"/>
  <c r="R147" i="7" s="1"/>
  <c r="F93" i="22"/>
  <c r="Q150" i="7"/>
  <c r="R150" i="7" s="1"/>
  <c r="F100" i="22"/>
  <c r="J116" i="22"/>
  <c r="K15" i="22"/>
  <c r="Q87" i="7"/>
  <c r="R87" i="7" s="1"/>
  <c r="F16" i="22"/>
  <c r="Q88" i="7"/>
  <c r="R88" i="7" s="1"/>
  <c r="F17" i="22"/>
  <c r="Q86" i="7"/>
  <c r="R86" i="7" s="1"/>
  <c r="F15" i="22"/>
  <c r="Q137" i="7"/>
  <c r="R137" i="7" s="1"/>
  <c r="F82" i="22"/>
  <c r="Q136" i="7"/>
  <c r="R136" i="7" s="1"/>
  <c r="F81" i="22"/>
  <c r="Q135" i="7"/>
  <c r="R135" i="7" s="1"/>
  <c r="F79" i="22"/>
  <c r="O7" i="7"/>
  <c r="J3" i="22" s="1"/>
  <c r="Q3" i="22" s="1"/>
  <c r="N7" i="7"/>
  <c r="S21" i="7"/>
  <c r="O21" i="7"/>
  <c r="J21" i="22" s="1"/>
  <c r="Q21" i="22" s="1"/>
  <c r="N21" i="7"/>
  <c r="R31" i="7"/>
  <c r="G56" i="22"/>
  <c r="R63" i="7"/>
  <c r="G90" i="22"/>
  <c r="I89" i="7"/>
  <c r="J85" i="7"/>
  <c r="M85" i="7" s="1"/>
  <c r="G119" i="22"/>
  <c r="G55" i="22"/>
  <c r="R59" i="7"/>
  <c r="G75" i="22"/>
  <c r="G68" i="22"/>
  <c r="G27" i="22"/>
  <c r="G108" i="22"/>
  <c r="I68" i="7"/>
  <c r="J42" i="7"/>
  <c r="R66" i="7"/>
  <c r="G98" i="22"/>
  <c r="J22" i="7"/>
  <c r="I41" i="7"/>
  <c r="G77" i="22"/>
  <c r="I152" i="7"/>
  <c r="J127" i="7"/>
  <c r="R61" i="7"/>
  <c r="G78" i="22"/>
  <c r="S7" i="7"/>
  <c r="G94" i="22" l="1"/>
  <c r="G25" i="22"/>
  <c r="G33" i="22"/>
  <c r="G18" i="22"/>
  <c r="G93" i="22"/>
  <c r="P93" i="22"/>
  <c r="G26" i="22"/>
  <c r="P26" i="22"/>
  <c r="G82" i="22"/>
  <c r="P82" i="22"/>
  <c r="G23" i="22"/>
  <c r="P23" i="22"/>
  <c r="G112" i="22"/>
  <c r="P112" i="22"/>
  <c r="G64" i="22"/>
  <c r="P64" i="22"/>
  <c r="K111" i="22"/>
  <c r="Q111" i="22"/>
  <c r="K53" i="22"/>
  <c r="Q53" i="22"/>
  <c r="G73" i="22"/>
  <c r="P73" i="22"/>
  <c r="G100" i="22"/>
  <c r="P100" i="22"/>
  <c r="K62" i="22"/>
  <c r="Q62" i="22"/>
  <c r="G101" i="22"/>
  <c r="P101" i="22"/>
  <c r="K61" i="22"/>
  <c r="Q61" i="22"/>
  <c r="K105" i="22"/>
  <c r="Q105" i="22"/>
  <c r="G114" i="22"/>
  <c r="P114" i="22"/>
  <c r="G83" i="22"/>
  <c r="P83" i="22"/>
  <c r="K48" i="22"/>
  <c r="Q48" i="22"/>
  <c r="G39" i="22"/>
  <c r="P39" i="22"/>
  <c r="G109" i="22"/>
  <c r="P109" i="22"/>
  <c r="G12" i="22"/>
  <c r="P12" i="22"/>
  <c r="G87" i="22"/>
  <c r="P87" i="22"/>
  <c r="G7" i="22"/>
  <c r="P7" i="22"/>
  <c r="K72" i="22"/>
  <c r="Q72" i="22"/>
  <c r="G106" i="22"/>
  <c r="P106" i="22"/>
  <c r="G11" i="22"/>
  <c r="P11" i="22"/>
  <c r="G66" i="22"/>
  <c r="P66" i="22"/>
  <c r="G36" i="22"/>
  <c r="P36" i="22"/>
  <c r="G71" i="22"/>
  <c r="P71" i="22"/>
  <c r="G120" i="22"/>
  <c r="P120" i="22"/>
  <c r="G15" i="22"/>
  <c r="P15" i="22"/>
  <c r="G116" i="22"/>
  <c r="G35" i="22"/>
  <c r="P35" i="22"/>
  <c r="G24" i="22"/>
  <c r="P24" i="22"/>
  <c r="K45" i="22"/>
  <c r="Q45" i="22"/>
  <c r="K107" i="22"/>
  <c r="Q107" i="22"/>
  <c r="G54" i="22"/>
  <c r="P54" i="22"/>
  <c r="G79" i="22"/>
  <c r="P79" i="22"/>
  <c r="G17" i="22"/>
  <c r="P17" i="22"/>
  <c r="K80" i="22"/>
  <c r="Q80" i="22"/>
  <c r="K123" i="22"/>
  <c r="Q123" i="22"/>
  <c r="G123" i="22"/>
  <c r="P123" i="22"/>
  <c r="G43" i="22"/>
  <c r="P43" i="22"/>
  <c r="G97" i="22"/>
  <c r="P97" i="22"/>
  <c r="G32" i="22"/>
  <c r="P32" i="22"/>
  <c r="K37" i="22"/>
  <c r="Q37" i="22"/>
  <c r="G37" i="22"/>
  <c r="P37" i="22"/>
  <c r="G67" i="22"/>
  <c r="P67" i="22"/>
  <c r="G42" i="22"/>
  <c r="P42" i="22"/>
  <c r="K110" i="22"/>
  <c r="Q110" i="22"/>
  <c r="K66" i="22"/>
  <c r="Q66" i="22"/>
  <c r="K49" i="22"/>
  <c r="Q49" i="22"/>
  <c r="G70" i="22"/>
  <c r="P70" i="22"/>
  <c r="K92" i="22"/>
  <c r="Q92" i="22"/>
  <c r="K84" i="22"/>
  <c r="Q84" i="22"/>
  <c r="G86" i="22"/>
  <c r="P86" i="22"/>
  <c r="G63" i="22"/>
  <c r="P63" i="22"/>
  <c r="G118" i="22"/>
  <c r="P118" i="22"/>
  <c r="K115" i="22"/>
  <c r="Q115" i="22"/>
  <c r="G13" i="22"/>
  <c r="P13" i="22"/>
  <c r="G91" i="22"/>
  <c r="P91" i="22"/>
  <c r="G124" i="22"/>
  <c r="P124" i="22"/>
  <c r="G76" i="22"/>
  <c r="P76" i="22"/>
  <c r="G92" i="22"/>
  <c r="P92" i="22"/>
  <c r="K100" i="22"/>
  <c r="Q100" i="22"/>
  <c r="G47" i="22"/>
  <c r="G16" i="22"/>
  <c r="P16" i="22"/>
  <c r="G40" i="22"/>
  <c r="P40" i="22"/>
  <c r="G58" i="22"/>
  <c r="P58" i="22"/>
  <c r="K33" i="22"/>
  <c r="Q33" i="22"/>
  <c r="G45" i="22"/>
  <c r="P45" i="22"/>
  <c r="G107" i="22"/>
  <c r="P107" i="22"/>
  <c r="G117" i="22"/>
  <c r="P117" i="22"/>
  <c r="G111" i="22"/>
  <c r="P111" i="22"/>
  <c r="K124" i="22"/>
  <c r="Q124" i="22"/>
  <c r="G57" i="22"/>
  <c r="P57" i="22"/>
  <c r="G88" i="22"/>
  <c r="P88" i="22"/>
  <c r="G72" i="22"/>
  <c r="P72" i="22"/>
  <c r="G69" i="22"/>
  <c r="P69" i="22"/>
  <c r="G110" i="22"/>
  <c r="P110" i="22"/>
  <c r="G95" i="22"/>
  <c r="P95" i="22"/>
  <c r="K109" i="22"/>
  <c r="Q109" i="22"/>
  <c r="K73" i="22"/>
  <c r="Q73" i="22"/>
  <c r="K57" i="22"/>
  <c r="Q57" i="22"/>
  <c r="K58" i="22"/>
  <c r="Q58" i="22"/>
  <c r="G5" i="22"/>
  <c r="P5" i="22"/>
  <c r="K46" i="22"/>
  <c r="Q46" i="22"/>
  <c r="G81" i="22"/>
  <c r="P81" i="22"/>
  <c r="G10" i="22"/>
  <c r="P10" i="22"/>
  <c r="K60" i="22"/>
  <c r="Q60" i="22"/>
  <c r="G20" i="22"/>
  <c r="P20" i="22"/>
  <c r="K76" i="22"/>
  <c r="Q76" i="22"/>
  <c r="G30" i="22"/>
  <c r="P30" i="22"/>
  <c r="G34" i="22"/>
  <c r="P34" i="22"/>
  <c r="G50" i="22"/>
  <c r="P50" i="22"/>
  <c r="K64" i="22"/>
  <c r="Q64" i="22"/>
  <c r="G41" i="22"/>
  <c r="P41" i="22"/>
  <c r="K29" i="22"/>
  <c r="Q29" i="22"/>
  <c r="K50" i="22"/>
  <c r="Q50" i="22"/>
  <c r="G4" i="22"/>
  <c r="P4" i="22"/>
  <c r="K44" i="22"/>
  <c r="Q44" i="22"/>
  <c r="G103" i="22"/>
  <c r="P103" i="22"/>
  <c r="K102" i="22"/>
  <c r="Q102" i="22"/>
  <c r="G99" i="22"/>
  <c r="P99" i="22"/>
  <c r="G121" i="22"/>
  <c r="P121" i="22"/>
  <c r="K59" i="22"/>
  <c r="Q59" i="22"/>
  <c r="K118" i="22"/>
  <c r="Q118" i="22"/>
  <c r="K104" i="22"/>
  <c r="Q104" i="22"/>
  <c r="K91" i="22"/>
  <c r="Q91" i="22"/>
  <c r="G115" i="22"/>
  <c r="P115" i="22"/>
  <c r="K83" i="22"/>
  <c r="Q83" i="22"/>
  <c r="G74" i="22"/>
  <c r="P74" i="22"/>
  <c r="K88" i="22"/>
  <c r="Q88" i="22"/>
  <c r="G48" i="22"/>
  <c r="P48" i="22"/>
  <c r="G53" i="22"/>
  <c r="P53" i="22"/>
  <c r="K113" i="22"/>
  <c r="Q113" i="22"/>
  <c r="G104" i="22"/>
  <c r="P104" i="22"/>
  <c r="G105" i="22"/>
  <c r="P105" i="22"/>
  <c r="G28" i="22"/>
  <c r="P28" i="22"/>
  <c r="G65" i="22"/>
  <c r="P65" i="22"/>
  <c r="G102" i="22"/>
  <c r="P102" i="22"/>
  <c r="K38" i="22"/>
  <c r="Q38" i="22"/>
  <c r="K20" i="22"/>
  <c r="Q20" i="22"/>
  <c r="K42" i="22"/>
  <c r="Q42" i="22"/>
  <c r="G80" i="22"/>
  <c r="P80" i="22"/>
  <c r="K70" i="22"/>
  <c r="Q70" i="22"/>
  <c r="K71" i="22"/>
  <c r="Q71" i="22"/>
  <c r="G8" i="22"/>
  <c r="P8" i="22"/>
  <c r="K116" i="22"/>
  <c r="Q116" i="22"/>
  <c r="K101" i="22"/>
  <c r="Q101" i="22"/>
  <c r="G89" i="22"/>
  <c r="P89" i="22"/>
  <c r="G38" i="22"/>
  <c r="P38" i="22"/>
  <c r="G2" i="22"/>
  <c r="P2" i="22"/>
  <c r="G62" i="22"/>
  <c r="P62" i="22"/>
  <c r="G85" i="22"/>
  <c r="P85" i="22"/>
  <c r="K32" i="22"/>
  <c r="Q32" i="22"/>
  <c r="K87" i="22"/>
  <c r="Q87" i="22"/>
  <c r="K99" i="22"/>
  <c r="Q99" i="22"/>
  <c r="G9" i="22"/>
  <c r="P9" i="22"/>
  <c r="G49" i="22"/>
  <c r="P49" i="22"/>
  <c r="G113" i="22"/>
  <c r="P113" i="22"/>
  <c r="K106" i="22"/>
  <c r="Q106" i="22"/>
  <c r="G6" i="22"/>
  <c r="P6" i="22"/>
  <c r="K121" i="22"/>
  <c r="Q121" i="22"/>
  <c r="K86" i="22"/>
  <c r="Q86" i="22"/>
  <c r="K95" i="22"/>
  <c r="Q95" i="22"/>
  <c r="K114" i="22"/>
  <c r="Q114" i="22"/>
  <c r="G44" i="22"/>
  <c r="P44" i="22"/>
  <c r="G59" i="22"/>
  <c r="P59" i="22"/>
  <c r="K117" i="22"/>
  <c r="Q117" i="22"/>
  <c r="G29" i="22"/>
  <c r="P29" i="22"/>
  <c r="K103" i="22"/>
  <c r="Q103" i="22"/>
  <c r="G46" i="22"/>
  <c r="P46" i="22"/>
  <c r="K69" i="22"/>
  <c r="Q69" i="22"/>
  <c r="G122" i="22"/>
  <c r="P122" i="22"/>
  <c r="K39" i="22"/>
  <c r="Q39" i="22"/>
  <c r="G125" i="22"/>
  <c r="P125" i="22"/>
  <c r="K63" i="22"/>
  <c r="Q63" i="22"/>
  <c r="G84" i="22"/>
  <c r="P84" i="22"/>
  <c r="K21" i="22"/>
  <c r="K3" i="22"/>
  <c r="Q21" i="7"/>
  <c r="F21" i="22"/>
  <c r="Q7" i="7"/>
  <c r="F3" i="22"/>
  <c r="E14" i="22"/>
  <c r="I14" i="22"/>
  <c r="S85" i="7"/>
  <c r="N85" i="7"/>
  <c r="O85" i="7"/>
  <c r="J14" i="22" s="1"/>
  <c r="Q14" i="22" s="1"/>
  <c r="M22" i="7"/>
  <c r="J41" i="7"/>
  <c r="J68" i="7"/>
  <c r="M42" i="7"/>
  <c r="J152" i="7"/>
  <c r="M127" i="7"/>
  <c r="J89" i="7"/>
  <c r="G19" i="22"/>
  <c r="R21" i="7"/>
  <c r="H69" i="7"/>
  <c r="I69" i="7"/>
  <c r="P69" i="7"/>
  <c r="I76" i="7"/>
  <c r="I78" i="7" s="1"/>
  <c r="J69" i="7" l="1"/>
  <c r="G3" i="22"/>
  <c r="P3" i="22"/>
  <c r="G21" i="22"/>
  <c r="P21" i="22"/>
  <c r="I51" i="22"/>
  <c r="E51" i="22"/>
  <c r="E52" i="22"/>
  <c r="I52" i="22"/>
  <c r="I22" i="22"/>
  <c r="E22" i="22"/>
  <c r="K14" i="22"/>
  <c r="Q85" i="7"/>
  <c r="R85" i="7" s="1"/>
  <c r="F14" i="22"/>
  <c r="P14" i="22" s="1"/>
  <c r="O42" i="7"/>
  <c r="J51" i="22" s="1"/>
  <c r="Q51" i="22" s="1"/>
  <c r="N42" i="7"/>
  <c r="N22" i="7"/>
  <c r="O22" i="7"/>
  <c r="J22" i="22" s="1"/>
  <c r="Q22" i="22" s="1"/>
  <c r="N127" i="7"/>
  <c r="O127" i="7"/>
  <c r="J52" i="22" s="1"/>
  <c r="Q52" i="22" s="1"/>
  <c r="S127" i="7"/>
  <c r="S42" i="7"/>
  <c r="S22" i="7"/>
  <c r="R7" i="7"/>
  <c r="R20" i="7" s="1"/>
  <c r="Q20" i="7"/>
  <c r="Q126" i="7"/>
  <c r="R126" i="7"/>
  <c r="S126" i="7" s="1"/>
  <c r="K52" i="22" l="1"/>
  <c r="K22" i="22"/>
  <c r="K51" i="22"/>
  <c r="Q22" i="7"/>
  <c r="F22" i="22"/>
  <c r="F51" i="22"/>
  <c r="Q42" i="7"/>
  <c r="Q127" i="7"/>
  <c r="R127" i="7" s="1"/>
  <c r="F52" i="22"/>
  <c r="S20" i="7"/>
  <c r="G14" i="22"/>
  <c r="L75" i="7"/>
  <c r="M75" i="7" s="1"/>
  <c r="G51" i="22" l="1"/>
  <c r="P51" i="22"/>
  <c r="G22" i="22"/>
  <c r="P22" i="22"/>
  <c r="G52" i="22"/>
  <c r="P52" i="22"/>
  <c r="R22" i="7"/>
  <c r="R41" i="7" s="1"/>
  <c r="Q41" i="7"/>
  <c r="L76" i="7" s="1"/>
  <c r="Q89" i="7"/>
  <c r="R89" i="7"/>
  <c r="S89" i="7" s="1"/>
  <c r="R152" i="7"/>
  <c r="S152" i="7" s="1"/>
  <c r="Q152" i="7"/>
  <c r="Q68" i="7"/>
  <c r="R42" i="7"/>
  <c r="J75" i="7"/>
  <c r="J76" i="7" l="1"/>
  <c r="M76" i="7"/>
  <c r="R68" i="7"/>
  <c r="S68" i="7" s="1"/>
  <c r="S41" i="7"/>
  <c r="L77" i="7"/>
  <c r="M77" i="7" s="1"/>
  <c r="Q69" i="7"/>
  <c r="R69" i="7" l="1"/>
  <c r="S69" i="7" s="1"/>
  <c r="J77" i="7"/>
  <c r="L78" i="7"/>
  <c r="M78" i="7" l="1"/>
  <c r="J78" i="7"/>
  <c r="C72" i="4"/>
  <c r="C73" i="4" s="1"/>
</calcChain>
</file>

<file path=xl/comments1.xml><?xml version="1.0" encoding="utf-8"?>
<comments xmlns="http://schemas.openxmlformats.org/spreadsheetml/2006/main">
  <authors>
    <author>Heather Garland</author>
  </authors>
  <commentList>
    <comment ref="E4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Unique Formula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Unique Formula</t>
        </r>
      </text>
    </comment>
  </commentList>
</comments>
</file>

<file path=xl/sharedStrings.xml><?xml version="1.0" encoding="utf-8"?>
<sst xmlns="http://schemas.openxmlformats.org/spreadsheetml/2006/main" count="2867" uniqueCount="845">
  <si>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</si>
  <si>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</si>
  <si>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</si>
  <si>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</si>
  <si>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</si>
  <si>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</si>
  <si>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</si>
  <si>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</si>
  <si>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</si>
  <si>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</si>
  <si>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</si>
  <si>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</si>
  <si>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</si>
  <si>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</si>
  <si>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</si>
  <si>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</si>
  <si>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</si>
  <si>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</si>
  <si>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</si>
  <si>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</si>
  <si>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</si>
  <si>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</si>
  <si>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</si>
  <si>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</si>
  <si>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</si>
  <si>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</si>
  <si>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</si>
  <si>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</si>
  <si>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</si>
  <si>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</si>
  <si>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</si>
  <si>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</si>
  <si>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</si>
  <si>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</si>
  <si>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</si>
  <si>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</si>
  <si>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</si>
  <si>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</si>
  <si>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</si>
  <si>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</si>
  <si>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</si>
  <si>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</si>
  <si>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</si>
  <si>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</si>
  <si>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</si>
  <si>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</si>
  <si>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</si>
  <si>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</si>
  <si>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</si>
  <si>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</si>
  <si>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</si>
  <si>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</si>
  <si>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</si>
  <si>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</si>
  <si>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</si>
  <si>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</si>
  <si>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</si>
  <si>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</si>
  <si>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</si>
  <si>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</si>
  <si>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</si>
  <si>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</si>
  <si>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</si>
  <si>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</si>
  <si>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</si>
  <si>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</si>
  <si>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</si>
  <si>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</si>
  <si>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</si>
  <si>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</si>
  <si>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</si>
  <si>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</si>
  <si>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</si>
  <si>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</si>
  <si>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</si>
  <si>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</si>
  <si>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</si>
  <si>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</si>
  <si>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</si>
  <si>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</si>
  <si>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</si>
  <si>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</si>
  <si>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Transfer Station</t>
  </si>
  <si>
    <t>1YD CONT 1X WEEKLY</t>
  </si>
  <si>
    <t>1.5YD CONT 1X WEEKLY</t>
  </si>
  <si>
    <t>2YD CONT 1X WEEKLY</t>
  </si>
  <si>
    <t>2YD CONT 2X WEEKLY</t>
  </si>
  <si>
    <t>Murrey's Disposal Co., Inc.  G-9</t>
  </si>
  <si>
    <t>American Disposal Co., Inc. G-87</t>
  </si>
  <si>
    <t>WG-R</t>
  </si>
  <si>
    <t>WG-NR</t>
  </si>
  <si>
    <t>MG</t>
  </si>
  <si>
    <t>Extra Units</t>
  </si>
  <si>
    <t>Each</t>
  </si>
  <si>
    <t>On Call</t>
  </si>
  <si>
    <t>Item 105, pg 27</t>
  </si>
  <si>
    <t>Item 105, pg 28</t>
  </si>
  <si>
    <t>1 yard</t>
  </si>
  <si>
    <t>1.5 yard</t>
  </si>
  <si>
    <t>2 yard</t>
  </si>
  <si>
    <t>4 yard</t>
  </si>
  <si>
    <t>6 yard</t>
  </si>
  <si>
    <t>Minimum</t>
  </si>
  <si>
    <t>Special and Temporary</t>
  </si>
  <si>
    <t>3 yard</t>
  </si>
  <si>
    <t>RESIDENTIAL</t>
  </si>
  <si>
    <t>EXTRA UNITS</t>
  </si>
  <si>
    <t>MF 1YD CONT 1X WKLY</t>
  </si>
  <si>
    <t>MF 1.5YD CONT 1X WKLY</t>
  </si>
  <si>
    <t>MF 1.5YD CONT 2X WKLY</t>
  </si>
  <si>
    <t>MF 1.5YD CONT 3X WKLY</t>
  </si>
  <si>
    <t>MF 2YD CONT 1X WKLY</t>
  </si>
  <si>
    <t>MF 2YD CONT 2X WKLY</t>
  </si>
  <si>
    <t>MF 2YD CONT 3X WKLY</t>
  </si>
  <si>
    <t>MF 4YD CONT 1X WKLY</t>
  </si>
  <si>
    <t>MF 4YD CONT 2X WKLY</t>
  </si>
  <si>
    <t>MF 6YD CONT 1X WKLY</t>
  </si>
  <si>
    <t>MF 6YD CONT 2X WKLY</t>
  </si>
  <si>
    <t>MF 6YD CONT 3X WKLY</t>
  </si>
  <si>
    <t>MF 1YD TEMP CONT</t>
  </si>
  <si>
    <t>MF 1.5YD TEMP CONT</t>
  </si>
  <si>
    <t>MF 2YD TEMP CONT</t>
  </si>
  <si>
    <t>2YD CONT 3X WEEKLY</t>
  </si>
  <si>
    <t>4YD CONT 1X WEEKLY</t>
  </si>
  <si>
    <t>4YD CONT 2X WEEKLY</t>
  </si>
  <si>
    <t>4YD CONT 3X WEEKLY</t>
  </si>
  <si>
    <t>6YD CONT 1X WEEKLY</t>
  </si>
  <si>
    <t>6YD CONT 2X WEEKLY</t>
  </si>
  <si>
    <t>6YD CONT 3X WEEKLY</t>
  </si>
  <si>
    <t>6YD CONT 4X WEEKLY</t>
  </si>
  <si>
    <t>6YD CONT 5X WEEKLY</t>
  </si>
  <si>
    <t>1YD CONT 2xWEEKLY</t>
  </si>
  <si>
    <t>1YD CONT 3xWEEKLY</t>
  </si>
  <si>
    <t>1.5YD CONT 2xWEEKLY</t>
  </si>
  <si>
    <t>2YD CONT 1xWEEKLY</t>
  </si>
  <si>
    <t>2YD CONT 2xWEEKLY</t>
  </si>
  <si>
    <t>2YD CONT 3xWEEKLY</t>
  </si>
  <si>
    <t>2YD CONT 4xWEEKLY</t>
  </si>
  <si>
    <t>2YD CONT 5xWEEKLY</t>
  </si>
  <si>
    <t>1.5YD TEMP CONTAINER</t>
  </si>
  <si>
    <t>2YD TEMP CONTAINER</t>
  </si>
  <si>
    <t>Multi-Family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</si>
  <si>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</si>
  <si>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</si>
  <si>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</si>
  <si>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</si>
  <si>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</si>
  <si>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</si>
  <si>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</si>
  <si>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>Proposed Revenue</t>
  </si>
  <si>
    <t>WG</t>
  </si>
  <si>
    <t>Pass Thru Tons</t>
  </si>
  <si>
    <t xml:space="preserve">* not on meeks - for compactors </t>
  </si>
  <si>
    <t xml:space="preserve">   calculated weight times compaction ratio</t>
  </si>
  <si>
    <t>Item 100, pg 23</t>
  </si>
  <si>
    <t>Item 100, pg 24</t>
  </si>
  <si>
    <t>Item 105, pg 29</t>
  </si>
  <si>
    <t>Item 105, pg 30</t>
  </si>
  <si>
    <t>Item 240, pg 41</t>
  </si>
  <si>
    <t>Item 245, pg 42</t>
  </si>
  <si>
    <t>Item 255, pg 44  2.25:1 compaction</t>
  </si>
  <si>
    <t>Item 255, pg 45  3:1 compaction</t>
  </si>
  <si>
    <t>Item 255, pg 46  4:1 compaction</t>
  </si>
  <si>
    <t>Item 255, pg 47  5:1 compaction</t>
  </si>
  <si>
    <t>Item 255, pg 48  2.25:1 compaction</t>
  </si>
  <si>
    <t>Item 255, pg 49  3:1 compaction</t>
  </si>
  <si>
    <t>Item 255, pg 50  4:1 compaction</t>
  </si>
  <si>
    <t>Item 255, pg 51  5:1 compaction</t>
  </si>
  <si>
    <t>Item 150, pg 34</t>
  </si>
  <si>
    <t>Dump Fee Calc References</t>
  </si>
  <si>
    <t>Dump Fee Calculation</t>
  </si>
  <si>
    <t>20 Gallon Cart</t>
  </si>
  <si>
    <t>35 Gallon Cart</t>
  </si>
  <si>
    <t>65 Gallon Cart</t>
  </si>
  <si>
    <t>95 Gallon Cart</t>
  </si>
  <si>
    <t xml:space="preserve">65 Gallon Cart </t>
  </si>
  <si>
    <t>20 Gallon Cart - On Call</t>
  </si>
  <si>
    <t>65 Gallon Cart - On Call</t>
  </si>
  <si>
    <t>35 Gallon Cart - On Call</t>
  </si>
  <si>
    <t>95 Gallon Cart - On Call</t>
  </si>
  <si>
    <t>20 Gallon Cart Count</t>
  </si>
  <si>
    <t>35 Gallon Cart Count</t>
  </si>
  <si>
    <t>65 Gallon Cart Count</t>
  </si>
  <si>
    <t>95 Gallon Cart Count</t>
  </si>
  <si>
    <t>TG-180953</t>
  </si>
  <si>
    <t>Service Code</t>
  </si>
  <si>
    <t>1-20 GAL CART MONTHLY</t>
  </si>
  <si>
    <t>1-20 GL CART WKLY NON REC</t>
  </si>
  <si>
    <t>1-20 GL CART WKLY W/ RECY</t>
  </si>
  <si>
    <t>1-35 GAL CART MONTHLY</t>
  </si>
  <si>
    <t>1-35 GAL CART WKLY NONREC</t>
  </si>
  <si>
    <t>1-35 GAL CART WKLY W/REC</t>
  </si>
  <si>
    <t>1-65 GAL CART MONTHLY</t>
  </si>
  <si>
    <t>1-65 GAL CART WKLY NONREC</t>
  </si>
  <si>
    <t>1-65 GAL CART WKLY W/REC</t>
  </si>
  <si>
    <t>1-95 GAL CART MONTHLY</t>
  </si>
  <si>
    <t>1-95 GAL CART WKLY NONREC</t>
  </si>
  <si>
    <t>1-95 GAL CART WKLY W/REC</t>
  </si>
  <si>
    <t>OVERSIZE UNIT</t>
  </si>
  <si>
    <t>1-20 GAL CART WKLY</t>
  </si>
  <si>
    <t>1-35 GAL CART WKLY</t>
  </si>
  <si>
    <t>1-65 GAL CART WKLY</t>
  </si>
  <si>
    <t>1-95 GAL CART WKLY</t>
  </si>
  <si>
    <t>1YD CONT 2X WEEKLY</t>
  </si>
  <si>
    <t>1YD CONT EXTRA</t>
  </si>
  <si>
    <t>2YD CONT EXTRA</t>
  </si>
  <si>
    <t>4YD CONT 4X WEEKLY SVC</t>
  </si>
  <si>
    <t>4YD CONT EXTRA PICKUP</t>
  </si>
  <si>
    <t>6YD CONT EXTRA PICKUP</t>
  </si>
  <si>
    <t>8 YD CONT 2X WKLY</t>
  </si>
  <si>
    <t>2 YD 2.25-1 COMP 1X WK</t>
  </si>
  <si>
    <t>4 YD 2.25-1 COMP 1X WK</t>
  </si>
  <si>
    <t>4YD 4-1 COMP 1X WK</t>
  </si>
  <si>
    <t>4 YD 5-1 COMP 1X WK</t>
  </si>
  <si>
    <t>4 YD 5-1 COMP EOW</t>
  </si>
  <si>
    <t>4 YD 5-1 COMP ON CALL</t>
  </si>
  <si>
    <t>6 YD 3-1 COMP 2X WK</t>
  </si>
  <si>
    <t>6 YD 4-1 COMP 2X WK</t>
  </si>
  <si>
    <t>1.5YD CONT 3xWEEKLY</t>
  </si>
  <si>
    <t>1.5YD CONT EOW</t>
  </si>
  <si>
    <t>1.5YD CONTAINER EXTRA</t>
  </si>
  <si>
    <t>1YD CONT EOW</t>
  </si>
  <si>
    <t>1YD CONTAINER EXTRA</t>
  </si>
  <si>
    <t>1YD TEMP CONT</t>
  </si>
  <si>
    <t>2YD CONT EOW</t>
  </si>
  <si>
    <t>2YD CONTAINER EXTRA</t>
  </si>
  <si>
    <t>EXTRA CANS</t>
  </si>
  <si>
    <t>CMML EXTRA YARDAGE</t>
  </si>
  <si>
    <t>MF 1-35 GAL CART</t>
  </si>
  <si>
    <t>MF 1-35 GAL CART NONREC</t>
  </si>
  <si>
    <t>MF 1-65 GAL CART</t>
  </si>
  <si>
    <t>MF 1-65 GAL CART NONREC</t>
  </si>
  <si>
    <t>MF 1-95 GAL CART</t>
  </si>
  <si>
    <t>MF 1-95 GAL CART NONREC</t>
  </si>
  <si>
    <t>MF 1.5YD CONT EXTRA</t>
  </si>
  <si>
    <t>MF 1YD CONT 2X WKLY</t>
  </si>
  <si>
    <t>MF 1YD CONT EXTRA</t>
  </si>
  <si>
    <t>MF 2YD CONT EXTRA</t>
  </si>
  <si>
    <t>MF 4YD CONT EXTRA</t>
  </si>
  <si>
    <t>MF 6YD CONT EXTRA</t>
  </si>
  <si>
    <t>MF 1-35 GL CART COUNT</t>
  </si>
  <si>
    <t>MF 1-65 GL CART COUNT</t>
  </si>
  <si>
    <t xml:space="preserve">MF 1-95 GL CART COUNT </t>
  </si>
  <si>
    <t>EXTRA CANS - MF</t>
  </si>
  <si>
    <t>MF 4YD TEMP CONT</t>
  </si>
  <si>
    <t>MF 6YD TEMP CONT</t>
  </si>
  <si>
    <t>MF 1-20 GL CART COUNT</t>
  </si>
  <si>
    <t>MULTI FAMILY</t>
  </si>
  <si>
    <t>6 YD 2.25-1 COMP 1X WK</t>
  </si>
  <si>
    <t>6 YD 4-1 COMP 1X WK</t>
  </si>
  <si>
    <t>3 YD 4-1 COMP 1X WK</t>
  </si>
  <si>
    <t>6 YD 3-1 COMP 1X WK</t>
  </si>
  <si>
    <t>4YD TEMP CONTAINER</t>
  </si>
  <si>
    <t>6YD TEMP CONTAINER</t>
  </si>
  <si>
    <t>MF 1-20 GAL CART</t>
  </si>
  <si>
    <t>MF 1-20 GAL CART NONREC</t>
  </si>
  <si>
    <t>Resi</t>
  </si>
  <si>
    <t>2 YD 3-1 COMP 1X WK</t>
  </si>
  <si>
    <t>3 YD 3-1 COMP 1X WK</t>
  </si>
  <si>
    <t>4 YD 3-1 COMP 1X WK</t>
  </si>
  <si>
    <t>6 YD 5-1 COMP 1X WK</t>
  </si>
  <si>
    <t>Item/Page</t>
  </si>
  <si>
    <t>LOB</t>
  </si>
  <si>
    <t>SERVICE CODE</t>
  </si>
  <si>
    <t>SERVICE</t>
  </si>
  <si>
    <t>DETAILS</t>
  </si>
  <si>
    <t>FREQUENCY</t>
  </si>
  <si>
    <t>MEEKS WEIGHT</t>
  </si>
  <si>
    <t>Regular</t>
  </si>
  <si>
    <t>Extra</t>
  </si>
  <si>
    <t>SIZE</t>
  </si>
  <si>
    <t>20 Gal</t>
  </si>
  <si>
    <t>35 Gal</t>
  </si>
  <si>
    <t>65 Gal</t>
  </si>
  <si>
    <t>95 Gal</t>
  </si>
  <si>
    <t>1 YD</t>
  </si>
  <si>
    <t xml:space="preserve">1.5 YD </t>
  </si>
  <si>
    <t xml:space="preserve">2 YD </t>
  </si>
  <si>
    <t>4 YD</t>
  </si>
  <si>
    <t>6 YD</t>
  </si>
  <si>
    <t>3 YD</t>
  </si>
  <si>
    <t>2 YD</t>
  </si>
  <si>
    <t>1-35 Gal Cart On Call</t>
  </si>
  <si>
    <t>1-20 Gal Cart On Call</t>
  </si>
  <si>
    <t>1-65 Gal Cart On Call</t>
  </si>
  <si>
    <t>1-95 Gal Cart On Call</t>
  </si>
  <si>
    <t>4 YD 4-1 COMP ON CALL</t>
  </si>
  <si>
    <t>4 YD 3-1 COMP ON CALL</t>
  </si>
  <si>
    <t>4 YD 2.25-1 COMP ON CALL</t>
  </si>
  <si>
    <t>6 YD 2.25-1 COMP ON CALL</t>
  </si>
  <si>
    <t>2 YD 2.25-1 COMP ON CALL</t>
  </si>
  <si>
    <t>2 YD 3-1 COMP ON CALL</t>
  </si>
  <si>
    <t>3 YD 3-1 COMP ON CALL</t>
  </si>
  <si>
    <t>6 YD 3-1 COMP ON CALL</t>
  </si>
  <si>
    <t>3 YD 4-1 COMP ON CALL</t>
  </si>
  <si>
    <t>6 YD 4-1 COMP ON CALL</t>
  </si>
  <si>
    <t>6 YD 5-1 COMP ON CALL</t>
  </si>
  <si>
    <t>4 YD 4-1 COMP 1X WK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</si>
  <si>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</si>
  <si>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</si>
  <si>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</si>
  <si>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</si>
  <si>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</si>
  <si>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</si>
  <si>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Murrey's Disposal Co., Inc. G-9</t>
  </si>
  <si>
    <t>American</t>
  </si>
  <si>
    <t>Revenue Price Out by Service Level and Line of Business</t>
  </si>
  <si>
    <t>Oct. 1, 2017 - Sept. 30, 2018</t>
  </si>
  <si>
    <t>Number of Months</t>
  </si>
  <si>
    <t>Murreys</t>
  </si>
  <si>
    <t>Revenue</t>
  </si>
  <si>
    <t>Customer Count</t>
  </si>
  <si>
    <t>Service Code Description</t>
  </si>
  <si>
    <t>Tariff Rate 3/1/2017-2/28/2018</t>
  </si>
  <si>
    <t>Tariff Rate 3/1/2018 - Present</t>
  </si>
  <si>
    <t>Total Revenue</t>
  </si>
  <si>
    <t>RESIDENTIAL SERVICES</t>
  </si>
  <si>
    <t>RESIDENTIAL GARBAGE</t>
  </si>
  <si>
    <t>10RW1N</t>
  </si>
  <si>
    <t>1-10 GAL CART WKLY NON REC</t>
  </si>
  <si>
    <t>10RW1R</t>
  </si>
  <si>
    <t>1-10 GAL CART WKLY W/ REC</t>
  </si>
  <si>
    <t>20RM1</t>
  </si>
  <si>
    <t>20RW1N</t>
  </si>
  <si>
    <t>20RW1R</t>
  </si>
  <si>
    <t>24RW1N</t>
  </si>
  <si>
    <t>1-24 GL CART WKLY NON REC</t>
  </si>
  <si>
    <t>24RW1R</t>
  </si>
  <si>
    <t>1-24 GL CART WKLY W/ RECY</t>
  </si>
  <si>
    <t>32RW1N</t>
  </si>
  <si>
    <t>1-32 GL CART WKLY NON REC</t>
  </si>
  <si>
    <t>32RW1R</t>
  </si>
  <si>
    <t>1-32 GL CART WKLY W/ RECY</t>
  </si>
  <si>
    <t>32RW2R</t>
  </si>
  <si>
    <t>2-32 GL CART WKLY W/ RECY</t>
  </si>
  <si>
    <t>35RM1</t>
  </si>
  <si>
    <t>35RW1N</t>
  </si>
  <si>
    <t>35RW1R</t>
  </si>
  <si>
    <t>64RW1N</t>
  </si>
  <si>
    <t>1-64 GAL CART WKLY NONREC</t>
  </si>
  <si>
    <t>64RW1R</t>
  </si>
  <si>
    <t>1-64 GAL CART WKLY W/REC</t>
  </si>
  <si>
    <t>65RM1</t>
  </si>
  <si>
    <t>65RW1N</t>
  </si>
  <si>
    <t>65RW1R</t>
  </si>
  <si>
    <t>95RM1</t>
  </si>
  <si>
    <t>95RW1N</t>
  </si>
  <si>
    <t>95RW1R</t>
  </si>
  <si>
    <t>96RW1N</t>
  </si>
  <si>
    <t>1-96 GAL CART WKLY NONREC</t>
  </si>
  <si>
    <t>96RW1R</t>
  </si>
  <si>
    <t>1-96 GAL CART WKLY W/REC</t>
  </si>
  <si>
    <t>ADJRES</t>
  </si>
  <si>
    <t>SERVICE ADJ-RESIDENTIAL</t>
  </si>
  <si>
    <t>CARRY-RES</t>
  </si>
  <si>
    <t>CARRY OUT -RES</t>
  </si>
  <si>
    <t>DELTOT</t>
  </si>
  <si>
    <t>GARB CART REDELIVERY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</si>
  <si>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</si>
  <si>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</si>
  <si>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</si>
  <si>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</si>
  <si>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</si>
  <si>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</si>
  <si>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</si>
  <si>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</si>
  <si>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</si>
  <si>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</si>
  <si>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OBSR</t>
  </si>
  <si>
    <t>OBSTRUCTION</t>
  </si>
  <si>
    <t>OS</t>
  </si>
  <si>
    <t>OSOW</t>
  </si>
  <si>
    <t>OVERSIZE/OVERWEIGHT</t>
  </si>
  <si>
    <t>OW</t>
  </si>
  <si>
    <t>OVERWEIGHT UNIT</t>
  </si>
  <si>
    <t>PACKLC</t>
  </si>
  <si>
    <t>CARRY-OUT LONG DISTANCE</t>
  </si>
  <si>
    <t>PACKR</t>
  </si>
  <si>
    <t>CARRY-OUT RESIDENTIAL</t>
  </si>
  <si>
    <t>PACKSNR</t>
  </si>
  <si>
    <t>CARRY-OUT SENIOR SERVICE</t>
  </si>
  <si>
    <t>RESTART FEE</t>
  </si>
  <si>
    <t>REXTRA</t>
  </si>
  <si>
    <t>SUNKENR</t>
  </si>
  <si>
    <t>SUNKEN CAN CHARGE - RESI</t>
  </si>
  <si>
    <t>TRIPRCANS</t>
  </si>
  <si>
    <t>RETURN TRIP CHARGE - CANS</t>
  </si>
  <si>
    <t>TRIPRCARTS</t>
  </si>
  <si>
    <t>RESI TRIP CHARGE - CARTS</t>
  </si>
  <si>
    <t>TOTAL RESIDENTIAL GARBAGE</t>
  </si>
  <si>
    <t>RESIDENTIAL RECYCLING</t>
  </si>
  <si>
    <t>RECYONLY</t>
  </si>
  <si>
    <t>RECYCLE SERVICE ONLY</t>
  </si>
  <si>
    <t>RECYR</t>
  </si>
  <si>
    <t>RECYCLE PROGRAM</t>
  </si>
  <si>
    <t>RECYRNB</t>
  </si>
  <si>
    <t>RECY PROGRAM-NO CART</t>
  </si>
  <si>
    <t>DRVNR-RECYCLE</t>
  </si>
  <si>
    <t>DRIVE IN RECYCLE</t>
  </si>
  <si>
    <t>PACKR-RECYCLE</t>
  </si>
  <si>
    <t>RECY ROLLOUT RESI &lt;25'</t>
  </si>
  <si>
    <t>TOTERDEL</t>
  </si>
  <si>
    <t>RECYCLE TOTER REDELIVERY</t>
  </si>
  <si>
    <t>RECYDEL</t>
  </si>
  <si>
    <t>TOTAL RESIDENTIAL RECYCLING</t>
  </si>
  <si>
    <t>RESIDENTIAL YARD WASTE</t>
  </si>
  <si>
    <t>YDW90</t>
  </si>
  <si>
    <t>90 GAL YARDWASTE</t>
  </si>
  <si>
    <t>YDW90SNR</t>
  </si>
  <si>
    <t>SENIOR YARD WASTE</t>
  </si>
  <si>
    <t>YDWDEL</t>
  </si>
  <si>
    <t>YARDWASTE REDELIVERY</t>
  </si>
  <si>
    <t>YDWEX</t>
  </si>
  <si>
    <t>EXTRA YARD WASTE</t>
  </si>
  <si>
    <t>DRVNR-YARDWASTE</t>
  </si>
  <si>
    <t>DRIVE IN YARDWASTE</t>
  </si>
  <si>
    <t>PACKR-YARDWASTE</t>
  </si>
  <si>
    <t>YRDWSTE ROLLOUT RES &lt;25'</t>
  </si>
  <si>
    <t>TRIPYCARTS</t>
  </si>
  <si>
    <t>YDW TRIP CHARGE - RESI</t>
  </si>
  <si>
    <t>MYDW90</t>
  </si>
  <si>
    <t>MF YARDWASTE</t>
  </si>
  <si>
    <t>TOTAL RESIDENTIAL YARD WASTE</t>
  </si>
  <si>
    <t>SUBTOTAL RESIDENTIAL</t>
  </si>
  <si>
    <t>COMMERCIAL SERVICES</t>
  </si>
  <si>
    <t>COMMERCIAL GARBAGE</t>
  </si>
  <si>
    <t>20CW1</t>
  </si>
  <si>
    <t>35CW1</t>
  </si>
  <si>
    <t>65CW1</t>
  </si>
  <si>
    <t>95CW1</t>
  </si>
  <si>
    <t>F1.5YD1W</t>
  </si>
  <si>
    <t>F1YD1W</t>
  </si>
  <si>
    <t>F1YD2W</t>
  </si>
  <si>
    <t>F1YDEX</t>
  </si>
  <si>
    <t>F2YD1W</t>
  </si>
  <si>
    <t>F2YD2W</t>
  </si>
  <si>
    <t>F2YD3W</t>
  </si>
  <si>
    <t>F2YDEX</t>
  </si>
  <si>
    <t>F4YD1W</t>
  </si>
  <si>
    <t>F4YD2W</t>
  </si>
  <si>
    <t>F4YD3W</t>
  </si>
  <si>
    <t>F4YD4W</t>
  </si>
  <si>
    <t>F4YDEX</t>
  </si>
  <si>
    <t>F6YD1W</t>
  </si>
  <si>
    <t>F6YD2W</t>
  </si>
  <si>
    <t>F6YD3W</t>
  </si>
  <si>
    <t>F6YD4W</t>
  </si>
  <si>
    <t>F6YD5W</t>
  </si>
  <si>
    <t>F6YDEX</t>
  </si>
  <si>
    <t>F8YD2W</t>
  </si>
  <si>
    <t>FCP2YD1W2.25-1</t>
  </si>
  <si>
    <t>FCP2YD1W4-1</t>
  </si>
  <si>
    <t>2 YD 4-1 COMP 1X WK</t>
  </si>
  <si>
    <t>FCP2YD2W</t>
  </si>
  <si>
    <t>2 YD COMPACTOR 2X WKLY</t>
  </si>
  <si>
    <t>FCP4YD1W2.25-1</t>
  </si>
  <si>
    <t>FCP4YD1W4-1</t>
  </si>
  <si>
    <t>FCP4YD1W5-1</t>
  </si>
  <si>
    <t>FCP4YDEOW5-1</t>
  </si>
  <si>
    <t>FCP4YDOC5-1</t>
  </si>
  <si>
    <t>FCP6YD2W</t>
  </si>
  <si>
    <t>6YD COMPACTOR 2X WKLY</t>
  </si>
  <si>
    <t>FCP6YD2W3-1</t>
  </si>
  <si>
    <t>FCP6YD2W4-1</t>
  </si>
  <si>
    <t>PACKC</t>
  </si>
  <si>
    <t>CARRY-OUT COMMERCIAL</t>
  </si>
  <si>
    <t>R1.5YD1W</t>
  </si>
  <si>
    <t>1.5YD CONT 1xWEEKLY</t>
  </si>
  <si>
    <t>R1.5YD2W</t>
  </si>
  <si>
    <t>R1.5YD3W</t>
  </si>
  <si>
    <t>R1.5YDEOW</t>
  </si>
  <si>
    <t>R1.5YDEX</t>
  </si>
  <si>
    <t>R1.5YDTPU</t>
  </si>
  <si>
    <t>R1YD1W</t>
  </si>
  <si>
    <t>1YD CONT 1xWEEKLY</t>
  </si>
  <si>
    <t>R1YD2W</t>
  </si>
  <si>
    <t>R1YD3W</t>
  </si>
  <si>
    <t>R1YDEOW</t>
  </si>
  <si>
    <t>R1YDEX</t>
  </si>
  <si>
    <t>R1YDTPU</t>
  </si>
  <si>
    <t>R2YD1W</t>
  </si>
  <si>
    <t>R2YD2W</t>
  </si>
  <si>
    <t>R2YD3W</t>
  </si>
  <si>
    <t>R2YD4W</t>
  </si>
  <si>
    <t>R2YD5W</t>
  </si>
  <si>
    <t>R2YDEOW</t>
  </si>
  <si>
    <t>R2YDEX</t>
  </si>
  <si>
    <t>R2YDTPU</t>
  </si>
  <si>
    <t>ADJCOM</t>
  </si>
  <si>
    <t>SERVICE ADJ-COMMERCIAL</t>
  </si>
  <si>
    <t>CCONNECT</t>
  </si>
  <si>
    <t>CMML CONNECT/RECONNECT</t>
  </si>
  <si>
    <t>CDEL</t>
  </si>
  <si>
    <t>CONTAINER DELIVERY CHARGE</t>
  </si>
  <si>
    <t>CEX</t>
  </si>
  <si>
    <t>CEXYD</t>
  </si>
  <si>
    <t>CLOCK</t>
  </si>
  <si>
    <t>LOCK CHARGE-CONTAINER</t>
  </si>
  <si>
    <t>CROLL</t>
  </si>
  <si>
    <t>ROLLOUT CHARGE - CMML</t>
  </si>
  <si>
    <t>CTDEL</t>
  </si>
  <si>
    <t>TEMP CONTAINER DELIVERY</t>
  </si>
  <si>
    <t>CTRIP</t>
  </si>
  <si>
    <t>RETURN TRIP CHARGE - CONT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</si>
  <si>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</si>
  <si>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</si>
  <si>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</si>
  <si>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</si>
  <si>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</si>
  <si>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</si>
  <si>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DRVNC</t>
  </si>
  <si>
    <t>DRIVE IN - CMML</t>
  </si>
  <si>
    <t>TIMEC</t>
  </si>
  <si>
    <t>CMML TIME CHARGE</t>
  </si>
  <si>
    <t>TOTAL COMMERCIAL GARBAGE</t>
  </si>
  <si>
    <t>MULTI-FAMILY</t>
  </si>
  <si>
    <t>MULTI-FAMILY GARBAGE</t>
  </si>
  <si>
    <t>35MW1</t>
  </si>
  <si>
    <t>35MW1N</t>
  </si>
  <si>
    <t>65MW1</t>
  </si>
  <si>
    <t>65MW1N</t>
  </si>
  <si>
    <t>95MW1</t>
  </si>
  <si>
    <t>95MW1N</t>
  </si>
  <si>
    <t>M1.5YD1W</t>
  </si>
  <si>
    <t>M1.5YD2W</t>
  </si>
  <si>
    <t>M1.5YD3W</t>
  </si>
  <si>
    <t>M1.5YDEX</t>
  </si>
  <si>
    <t>M1YD1W</t>
  </si>
  <si>
    <t>M1YD2W</t>
  </si>
  <si>
    <t>M1YDEX</t>
  </si>
  <si>
    <t>M1YDTPU</t>
  </si>
  <si>
    <t>M2YD1W</t>
  </si>
  <si>
    <t>M2YD2W</t>
  </si>
  <si>
    <t>M2YD3W</t>
  </si>
  <si>
    <t>M2YDEX</t>
  </si>
  <si>
    <t>M2YDTPU</t>
  </si>
  <si>
    <t>M4YD1W</t>
  </si>
  <si>
    <t>M4YD2W</t>
  </si>
  <si>
    <t>M4YDEX</t>
  </si>
  <si>
    <t>M6YD1W</t>
  </si>
  <si>
    <t>M6YD2W</t>
  </si>
  <si>
    <t>M6YD3W</t>
  </si>
  <si>
    <t>M6YDEX</t>
  </si>
  <si>
    <t>MCCWR35</t>
  </si>
  <si>
    <t>MCCWR65</t>
  </si>
  <si>
    <t>MCCWR95</t>
  </si>
  <si>
    <t>MCONNECT</t>
  </si>
  <si>
    <t>MF CONNECT/RECONNECT</t>
  </si>
  <si>
    <t>MRENT90</t>
  </si>
  <si>
    <t>MF 90GAL TOTER RENT</t>
  </si>
  <si>
    <t>MROLL</t>
  </si>
  <si>
    <t>ROLLOUT CHARGE - MF</t>
  </si>
  <si>
    <t>PACKM</t>
  </si>
  <si>
    <t>CARRY-OUT MULTI FAMILY</t>
  </si>
  <si>
    <t>ADJMF</t>
  </si>
  <si>
    <t>SERVICE ADJ MULTI FAMILY</t>
  </si>
  <si>
    <t>DRVNM</t>
  </si>
  <si>
    <t>DRIVE IN - MULTIFAMILY</t>
  </si>
  <si>
    <t>EXTRA-MF</t>
  </si>
  <si>
    <t>TOTAL MULTI-FAMILY GARBAGE</t>
  </si>
  <si>
    <t>MULTI-FAMILY RECYCLING</t>
  </si>
  <si>
    <t>M2YDRECY</t>
  </si>
  <si>
    <t>MF 2YD RECYCLING</t>
  </si>
  <si>
    <t>M6YDRECY</t>
  </si>
  <si>
    <t>MF 6YD RECYCLING</t>
  </si>
  <si>
    <t>MCCRECYR</t>
  </si>
  <si>
    <t>MF CAN COUNT RECYCLE PROG</t>
  </si>
  <si>
    <t>MRECYIN</t>
  </si>
  <si>
    <t>MF RECYCLING INCENTIVE</t>
  </si>
  <si>
    <t>MRECYONLY</t>
  </si>
  <si>
    <t>MF RECYCLE ONLY</t>
  </si>
  <si>
    <t>MRECYR</t>
  </si>
  <si>
    <t>RECYCLE PROGRAM W/ BINS</t>
  </si>
  <si>
    <t>MRENT2YDRECY</t>
  </si>
  <si>
    <t>MF 2YD RECYCLE RENT</t>
  </si>
  <si>
    <t>MRENT6YDRECY</t>
  </si>
  <si>
    <t>MF 6YD RECYCLE RENT</t>
  </si>
  <si>
    <t>MSRTOT</t>
  </si>
  <si>
    <t>MF TOTER SERVICE</t>
  </si>
  <si>
    <t>TOTAL MULTI-FAMILY RECYCLING</t>
  </si>
  <si>
    <t>SUBTOTAL COMMERCIAL</t>
  </si>
  <si>
    <t>DROP BOX SERVICES</t>
  </si>
  <si>
    <t>ROLLOFF</t>
  </si>
  <si>
    <t>DROP BOX HAULS/RENTAL</t>
  </si>
  <si>
    <t>ROHAUL20</t>
  </si>
  <si>
    <t>20YD ROLL OFF-HAUL</t>
  </si>
  <si>
    <t>ROHAUL20A</t>
  </si>
  <si>
    <t>ADDTL 20YD ROLL OFF HAUL</t>
  </si>
  <si>
    <t>ROHAUL20CO</t>
  </si>
  <si>
    <t>20YD CUST OWNED R/O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</si>
  <si>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</si>
  <si>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</si>
  <si>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</si>
  <si>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</si>
  <si>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</si>
  <si>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</si>
  <si>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</si>
  <si>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</si>
  <si>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</si>
  <si>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</si>
  <si>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</si>
  <si>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</si>
  <si>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ROHAUL30T</t>
  </si>
  <si>
    <t>30YD ROLL OFF TEMP HAUL</t>
  </si>
  <si>
    <t>ROHAUL40</t>
  </si>
  <si>
    <t>40YD ROLL OFF-HAUL</t>
  </si>
  <si>
    <t>ROHAUL40A</t>
  </si>
  <si>
    <t>ADDTL 40YD ROLL OFF HAUL</t>
  </si>
  <si>
    <t>ROHAUL40T</t>
  </si>
  <si>
    <t>40YD ROLL OFF TEMP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</si>
  <si>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</si>
  <si>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</si>
  <si>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</si>
  <si>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</si>
  <si>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</si>
  <si>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</si>
  <si>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</si>
  <si>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</si>
  <si>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</si>
  <si>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</si>
  <si>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</si>
  <si>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</si>
  <si>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CPHAUL40</t>
  </si>
  <si>
    <t>40YD COMPACTOR - HAUL</t>
  </si>
  <si>
    <t>RORENT20D</t>
  </si>
  <si>
    <t>20YD ROLL OFF-DAILY RENT</t>
  </si>
  <si>
    <t>RORENT20P</t>
  </si>
  <si>
    <t>20YD ROLL OFF-PERM RENT</t>
  </si>
  <si>
    <t>RORENT20T</t>
  </si>
  <si>
    <t>20YD ROLL OFF-TEMP RENT</t>
  </si>
  <si>
    <t>RORENT25D</t>
  </si>
  <si>
    <t>25YD ROLL OFF -DAILY RENT</t>
  </si>
  <si>
    <t>RORENT25P</t>
  </si>
  <si>
    <t>25YD ROLL OFF-PERM RENT</t>
  </si>
  <si>
    <t>RORENT25T</t>
  </si>
  <si>
    <t>25YD ROLL OFF-TEMP RENT</t>
  </si>
  <si>
    <t>RORENT30D</t>
  </si>
  <si>
    <t>30YD ROLL OFF-DAILY RENT</t>
  </si>
  <si>
    <t>RORENT30P</t>
  </si>
  <si>
    <t>30YD ROLL OFF-PERM RENT</t>
  </si>
  <si>
    <t>RORENT30T</t>
  </si>
  <si>
    <t>30YD ROLL OFF-TEMP RENT</t>
  </si>
  <si>
    <t>RORENT40P</t>
  </si>
  <si>
    <t>40YD ROLL OFF-PERM RENT</t>
  </si>
  <si>
    <t>RORENT40T</t>
  </si>
  <si>
    <t>40YD ROLL OFF-TEMP RENT</t>
  </si>
  <si>
    <t>RECYHAUL10</t>
  </si>
  <si>
    <t>RECYCLE 10 YD HAUL</t>
  </si>
  <si>
    <t>RECYHAUL12</t>
  </si>
  <si>
    <t>RECYCLE 12 YD HAUL</t>
  </si>
  <si>
    <t>RECYHAUL15</t>
  </si>
  <si>
    <t>RECYCLE 15 YD HAUL</t>
  </si>
  <si>
    <t>RECYHAUL20</t>
  </si>
  <si>
    <t>RECYCLE 20YD HAUL</t>
  </si>
  <si>
    <t>RECYHAUL25</t>
  </si>
  <si>
    <t>RECYCLE 25YD HAUL</t>
  </si>
  <si>
    <t>RECYHAUL30</t>
  </si>
  <si>
    <t>RECYCLE 30YD HAUL</t>
  </si>
  <si>
    <t>RECYHAUL40</t>
  </si>
  <si>
    <t>RECYCLE 40YD HAUL</t>
  </si>
  <si>
    <t>RECYHAUL50</t>
  </si>
  <si>
    <t>RECYCLE 50YD HAUL</t>
  </si>
  <si>
    <t>RECYHAULCOMP</t>
  </si>
  <si>
    <t>RECYCLE COMPACTOR HAUL</t>
  </si>
  <si>
    <t>RECYRENT12</t>
  </si>
  <si>
    <t>RECYCLE 12 YD BOX RENT</t>
  </si>
  <si>
    <t>RECYRENT15</t>
  </si>
  <si>
    <t>RECYCLE 15 YD BOX RENT</t>
  </si>
  <si>
    <t>RECYRENT20</t>
  </si>
  <si>
    <t>RECYCLE 20YD BOX RENT</t>
  </si>
  <si>
    <t>RECYRENT25</t>
  </si>
  <si>
    <t>RECYCLE 25YD BOX RENT</t>
  </si>
  <si>
    <t>RECYRENT30</t>
  </si>
  <si>
    <t>RECYCLE 30YD BOX RENT</t>
  </si>
  <si>
    <t>RECYRENT40</t>
  </si>
  <si>
    <t>RECYCLE 40YD BOX RENT</t>
  </si>
  <si>
    <t>RECYRENT50</t>
  </si>
  <si>
    <t>RECYCLE 50YD BOX RENT</t>
  </si>
  <si>
    <t>RECYWPROC100</t>
  </si>
  <si>
    <t>RECY 100YD HAUL &amp; PROC</t>
  </si>
  <si>
    <t>RECYWPROC100N</t>
  </si>
  <si>
    <t>RECYWPROC100D</t>
  </si>
  <si>
    <t>RECYWPROC20</t>
  </si>
  <si>
    <t>RECY 20YD HAUL &amp; PROC</t>
  </si>
  <si>
    <t>RECYWPROC25</t>
  </si>
  <si>
    <t>RECY 25YD HAUL &amp; PROC</t>
  </si>
  <si>
    <t>RECYWPROC30</t>
  </si>
  <si>
    <t>RECY 30YD HAUL &amp; PROC</t>
  </si>
  <si>
    <t>RECYWPROC40</t>
  </si>
  <si>
    <t>RECY 40YD HAUL &amp; PROC</t>
  </si>
  <si>
    <t>RECYWPROC50</t>
  </si>
  <si>
    <t>RECY 50YD HAUL &amp; PROC</t>
  </si>
  <si>
    <t>RECYWPROCASB</t>
  </si>
  <si>
    <t>ASBESTOS HAUL &amp; PROC</t>
  </si>
  <si>
    <t>RECYWPROCSD</t>
  </si>
  <si>
    <t>RECY SIDE DUMP HAUL&amp;PROC</t>
  </si>
  <si>
    <t>RORHAULHR12</t>
  </si>
  <si>
    <t>RECYCLE 12 YD HRLY HAUL</t>
  </si>
  <si>
    <t>RORHAULHR15</t>
  </si>
  <si>
    <t>RECYCLE 15 YD HRLY HAUL</t>
  </si>
  <si>
    <t>RORHAULHR20</t>
  </si>
  <si>
    <t>RECYCLE 20YD HRLY HAUL</t>
  </si>
  <si>
    <t>RORHAULHR25</t>
  </si>
  <si>
    <t>RECYCLE 25YD HRLY HAUL</t>
  </si>
  <si>
    <t>RORHAULHR30</t>
  </si>
  <si>
    <t>RECYCLE 30YD HRLY HAUL</t>
  </si>
  <si>
    <t>RORHAULHR40</t>
  </si>
  <si>
    <t>RECYCLE 40YD HRLY HAUL</t>
  </si>
  <si>
    <t>RORHAULHR50</t>
  </si>
  <si>
    <t>RECYCLE 50YD HRLY HAUL</t>
  </si>
  <si>
    <t>RORHAULHRTL</t>
  </si>
  <si>
    <t>RECYCLE TRAILER HRLY HAUL</t>
  </si>
  <si>
    <t>ROSPC</t>
  </si>
  <si>
    <t>SPECIAL CHARGES</t>
  </si>
  <si>
    <t>ROTA</t>
  </si>
  <si>
    <t>TANDEM AXLE</t>
  </si>
  <si>
    <t>ROWAIT</t>
  </si>
  <si>
    <t>STANDBY CHARGE</t>
  </si>
  <si>
    <t>RTRIP-RO</t>
  </si>
  <si>
    <t>RETURN TRIP - RO</t>
  </si>
  <si>
    <t>THOUR</t>
  </si>
  <si>
    <t>LONG HAUL</t>
  </si>
  <si>
    <t>ADJRO</t>
  </si>
  <si>
    <t>SERVICE ADJ-ROLL OFF</t>
  </si>
  <si>
    <t>CPCONNECT</t>
  </si>
  <si>
    <t>COMP CONNECT/RECONNECT</t>
  </si>
  <si>
    <t>DELREC-RO</t>
  </si>
  <si>
    <t>ROLL OFF RECYCLE DELIVERY</t>
  </si>
  <si>
    <t>FERRY</t>
  </si>
  <si>
    <t>FERRY FEE</t>
  </si>
  <si>
    <t>RECYWPROCTRL</t>
  </si>
  <si>
    <t>CONT HAUL &amp; PROCESSING</t>
  </si>
  <si>
    <t>ROCLEAN</t>
  </si>
  <si>
    <t>ROLLOFF CLEANING</t>
  </si>
  <si>
    <t>RODEL</t>
  </si>
  <si>
    <t>ROLL OFF-DELIVERY</t>
  </si>
  <si>
    <t>ROMILE</t>
  </si>
  <si>
    <t>MILEAGE</t>
  </si>
  <si>
    <t>RORELOCATE</t>
  </si>
  <si>
    <t>ROLLOFF RELOCATE</t>
  </si>
  <si>
    <t>TOTAL DROP BOX HAULS/RENTAL</t>
  </si>
  <si>
    <t>PASSTHROUGH DISPOSAL</t>
  </si>
  <si>
    <t>DISP</t>
  </si>
  <si>
    <t>DISPOSAL FEE PER TON</t>
  </si>
  <si>
    <t>DISP-ASB</t>
  </si>
  <si>
    <t xml:space="preserve">ASBESTOS DISPOSAL </t>
  </si>
  <si>
    <t>DISP-MAN</t>
  </si>
  <si>
    <t>MANURE DISPOSAL</t>
  </si>
  <si>
    <t>DISP-RECY</t>
  </si>
  <si>
    <t>RECYCLABLES PROCESSING</t>
  </si>
  <si>
    <t>DISP-WD</t>
  </si>
  <si>
    <t>WOOD PROCESSING</t>
  </si>
  <si>
    <t>TOTAL PASSTHROUGH DISPOSAL</t>
  </si>
  <si>
    <t>SUBTOTAL DROP BOX</t>
  </si>
  <si>
    <t>MEDICAL WASTE</t>
  </si>
  <si>
    <t>MD10</t>
  </si>
  <si>
    <t>10 GALLON</t>
  </si>
  <si>
    <t>MD20</t>
  </si>
  <si>
    <t>20 GALLON</t>
  </si>
  <si>
    <t>MD35</t>
  </si>
  <si>
    <t>35 GALLON</t>
  </si>
  <si>
    <t>TOTAL MEDICAL WASTE</t>
  </si>
  <si>
    <t>SUBTOTAL MEDICAL WASTE</t>
  </si>
  <si>
    <t>ACCOUNTING</t>
  </si>
  <si>
    <t>SERVICE CHARGES</t>
  </si>
  <si>
    <t>ADJ-SB</t>
  </si>
  <si>
    <t>SERVICE ADJ-SMALL BALANCE</t>
  </si>
  <si>
    <t>ADJTAX</t>
  </si>
  <si>
    <t>TAX ADJUSTMENT</t>
  </si>
  <si>
    <t>EMPLOYEE</t>
  </si>
  <si>
    <t>EMPLOYEE SERVICE</t>
  </si>
  <si>
    <t>FINCHG</t>
  </si>
  <si>
    <t>LATE FEE</t>
  </si>
  <si>
    <t>LEGAL-COM</t>
  </si>
  <si>
    <t>LEGAL/LIEN FEES</t>
  </si>
  <si>
    <t>NSF FEES</t>
  </si>
  <si>
    <t>RETURNED CHECK FEE</t>
  </si>
  <si>
    <t>PO</t>
  </si>
  <si>
    <t>PO NUMBER</t>
  </si>
  <si>
    <t>SHOPSERVICE</t>
  </si>
  <si>
    <t>MAINTENANCE SERVICES</t>
  </si>
  <si>
    <t>TOTAL SERVICE CHARGES</t>
  </si>
  <si>
    <t>SUBTOTAL SERVICE CHARGES</t>
  </si>
  <si>
    <t>GRAND TOTAL DISTRICT OPERATIONS</t>
  </si>
  <si>
    <t>STORAGE</t>
  </si>
  <si>
    <t>SURC</t>
  </si>
  <si>
    <t>Check</t>
  </si>
  <si>
    <t>COMMODITY CREDIT</t>
  </si>
  <si>
    <t>RECYCLECR</t>
  </si>
  <si>
    <t>VALUE OF RECYCLABLES</t>
  </si>
  <si>
    <t>MRECYCRCANS</t>
  </si>
  <si>
    <t>MRECYCRCONT</t>
  </si>
  <si>
    <t>TOTAL COMMODITY CREDIT</t>
  </si>
  <si>
    <t>Residential</t>
  </si>
  <si>
    <t>Rolloff</t>
  </si>
  <si>
    <t>Accounting</t>
  </si>
  <si>
    <t>Annual Customer Count</t>
  </si>
  <si>
    <t>TAKEN FROM MOST RECENT FILING - TG-180953</t>
  </si>
  <si>
    <t>Summary</t>
  </si>
  <si>
    <t>Current Revenue</t>
  </si>
  <si>
    <t>MF</t>
  </si>
  <si>
    <t>Comm</t>
  </si>
  <si>
    <t>LINK</t>
  </si>
  <si>
    <t>INPUT CELLS</t>
  </si>
  <si>
    <t>Immaterial</t>
  </si>
  <si>
    <t>Annual Customers:</t>
  </si>
  <si>
    <t>Pass</t>
  </si>
  <si>
    <t>Drum</t>
  </si>
  <si>
    <t>Drum Special Pickup</t>
  </si>
  <si>
    <t>Pass Thru Increase</t>
  </si>
  <si>
    <t>Customers</t>
  </si>
  <si>
    <t>Monthly</t>
  </si>
  <si>
    <t>1-20 GAL CART WKLY - PU</t>
  </si>
  <si>
    <t>1-35 GAL CART WKLY - PU</t>
  </si>
  <si>
    <t>1-65 GAL CART WKLY - PU</t>
  </si>
  <si>
    <t>1-95 GAL CART WKLY - PU</t>
  </si>
  <si>
    <t>Multi Family</t>
  </si>
  <si>
    <t>Commericial</t>
  </si>
  <si>
    <t>NEW RATES</t>
  </si>
  <si>
    <t>SERVICE CODES WITH NO CURRENT CUSTOMERS LISTED BELOW</t>
  </si>
  <si>
    <t>4.33 Factor Used</t>
  </si>
  <si>
    <t>Temp</t>
  </si>
  <si>
    <t>As Shown In Tariff</t>
  </si>
  <si>
    <t>Extra Yardage</t>
  </si>
  <si>
    <t>Special</t>
  </si>
  <si>
    <t>Can</t>
  </si>
  <si>
    <t xml:space="preserve">20 Gallon Cart </t>
  </si>
  <si>
    <t>per PU</t>
  </si>
  <si>
    <t>Company Current Tariff  with COVID Recovery</t>
  </si>
  <si>
    <t>Company Current Tariff - Post COVID Recovery</t>
  </si>
  <si>
    <t xml:space="preserve"> Calculated Rate - with COVID Recovery</t>
  </si>
  <si>
    <t>Calcualted Rate - Post COVID Recovery</t>
  </si>
  <si>
    <t>Current COVID Rate</t>
  </si>
  <si>
    <t>Proposed COVID Rate</t>
  </si>
  <si>
    <t>Check COVID Change</t>
  </si>
  <si>
    <t>Check Normal Change</t>
  </si>
  <si>
    <t>Effective 3/1/2022</t>
  </si>
  <si>
    <t>Current Non-COVID Rate</t>
  </si>
  <si>
    <t>Proposed Non-COVID Rate</t>
  </si>
  <si>
    <t>Per Price Out</t>
  </si>
  <si>
    <t>Annual PU's Per Mapping</t>
  </si>
  <si>
    <t>No Cust Counts</t>
  </si>
  <si>
    <t>Diff</t>
  </si>
  <si>
    <t>Annual PU's per Calc</t>
  </si>
  <si>
    <t>1.5 yard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</si>
</sst>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0.000%"/>
    <numFmt numFmtId="180" formatCode="_(* #,##0.0_);_(* \(#,##0.0\);_(* &quot;-&quot;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374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102" fillId="0" borderId="0" applyNumberFormat="0" applyFill="0" applyBorder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</cellStyleXfs>
  <cellXfs count="361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/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44" fontId="0" fillId="0" borderId="0" xfId="2" applyFont="1" applyFill="1" applyBorder="1"/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3" fillId="0" borderId="19" xfId="0" applyFont="1" applyBorder="1"/>
    <xf numFmtId="0" fontId="0" fillId="0" borderId="20" xfId="0" applyFont="1" applyBorder="1"/>
    <xf numFmtId="0" fontId="11" fillId="0" borderId="0" xfId="296" applyFont="1" applyBorder="1"/>
    <xf numFmtId="166" fontId="11" fillId="0" borderId="0" xfId="1" applyNumberFormat="1" applyFont="1" applyFill="1" applyBorder="1"/>
    <xf numFmtId="3" fontId="0" fillId="0" borderId="0" xfId="0" applyNumberFormat="1" applyFont="1" applyBorder="1"/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167" fontId="0" fillId="0" borderId="0" xfId="0" applyNumberFormat="1" applyFont="1"/>
    <xf numFmtId="169" fontId="0" fillId="0" borderId="0" xfId="0" applyNumberFormat="1" applyFont="1"/>
    <xf numFmtId="0" fontId="11" fillId="0" borderId="0" xfId="0" applyFont="1" applyFill="1"/>
    <xf numFmtId="10" fontId="0" fillId="0" borderId="0" xfId="0" applyNumberFormat="1" applyFon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11" fillId="38" borderId="0" xfId="0" applyFont="1" applyFill="1" applyAlignment="1">
      <alignment horizontal="right"/>
    </xf>
    <xf numFmtId="0" fontId="0" fillId="6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Font="1" applyBorder="1"/>
    <xf numFmtId="0" fontId="3" fillId="0" borderId="0" xfId="0" applyFont="1" applyFill="1" applyBorder="1"/>
    <xf numFmtId="42" fontId="0" fillId="0" borderId="0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3" xfId="0" applyFont="1" applyBorder="1"/>
    <xf numFmtId="0" fontId="0" fillId="6" borderId="32" xfId="0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ont="1" applyFill="1" applyBorder="1"/>
    <xf numFmtId="0" fontId="3" fillId="0" borderId="0" xfId="0" applyFont="1" applyBorder="1"/>
    <xf numFmtId="4" fontId="0" fillId="0" borderId="0" xfId="2" applyNumberFormat="1" applyFont="1" applyFill="1" applyBorder="1"/>
    <xf numFmtId="166" fontId="3" fillId="0" borderId="0" xfId="1" applyNumberFormat="1" applyFont="1" applyFill="1" applyBorder="1"/>
    <xf numFmtId="0" fontId="97" fillId="0" borderId="0" xfId="0" applyFont="1" applyBorder="1"/>
    <xf numFmtId="0" fontId="97" fillId="0" borderId="0" xfId="0" applyFont="1" applyBorder="1" applyAlignment="1">
      <alignment horizontal="right"/>
    </xf>
    <xf numFmtId="43" fontId="0" fillId="0" borderId="0" xfId="0" applyNumberFormat="1" applyFont="1" applyFill="1"/>
    <xf numFmtId="43" fontId="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/>
    <xf numFmtId="166" fontId="0" fillId="0" borderId="0" xfId="1" applyNumberFormat="1" applyFont="1" applyFill="1" applyBorder="1"/>
    <xf numFmtId="0" fontId="0" fillId="6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43" fontId="0" fillId="0" borderId="0" xfId="0" applyNumberFormat="1" applyFont="1" applyFill="1" applyBorder="1"/>
    <xf numFmtId="0" fontId="0" fillId="6" borderId="366" xfId="0" applyFont="1" applyFill="1" applyBorder="1" applyAlignment="1">
      <alignment horizontal="center" vertical="center"/>
    </xf>
    <xf numFmtId="166" fontId="0" fillId="0" borderId="0" xfId="1" applyNumberFormat="1" applyFont="1" applyFill="1"/>
    <xf numFmtId="43" fontId="3" fillId="0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Font="1" applyFill="1"/>
    <xf numFmtId="0" fontId="96" fillId="0" borderId="0" xfId="6089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0" fontId="11" fillId="0" borderId="0" xfId="296" applyFont="1" applyFill="1" applyBorder="1"/>
    <xf numFmtId="164" fontId="0" fillId="0" borderId="0" xfId="2" applyNumberFormat="1" applyFont="1" applyFill="1" applyBorder="1"/>
    <xf numFmtId="0" fontId="3" fillId="6" borderId="367" xfId="0" applyFont="1" applyFill="1" applyBorder="1" applyAlignment="1">
      <alignment horizontal="center" vertical="center" wrapText="1"/>
    </xf>
    <xf numFmtId="166" fontId="3" fillId="6" borderId="367" xfId="1" applyNumberFormat="1" applyFont="1" applyFill="1" applyBorder="1" applyAlignment="1">
      <alignment horizontal="center" vertical="center" wrapText="1"/>
    </xf>
    <xf numFmtId="3" fontId="3" fillId="6" borderId="367" xfId="0" applyNumberFormat="1" applyFont="1" applyFill="1" applyBorder="1" applyAlignment="1">
      <alignment horizontal="center" vertical="center" wrapText="1"/>
    </xf>
    <xf numFmtId="0" fontId="3" fillId="2" borderId="36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43" fontId="3" fillId="2" borderId="36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366" applyFont="1"/>
    <xf numFmtId="0" fontId="96" fillId="0" borderId="0" xfId="6089" applyFont="1"/>
    <xf numFmtId="0" fontId="98" fillId="0" borderId="0" xfId="6089" applyFont="1" applyFill="1"/>
    <xf numFmtId="0" fontId="96" fillId="0" borderId="0" xfId="6089" applyFont="1" applyFill="1"/>
    <xf numFmtId="166" fontId="96" fillId="0" borderId="0" xfId="6089" applyNumberFormat="1" applyFont="1"/>
    <xf numFmtId="44" fontId="96" fillId="0" borderId="0" xfId="6089" applyNumberFormat="1" applyFont="1" applyFill="1"/>
    <xf numFmtId="0" fontId="9" fillId="0" borderId="0" xfId="6089" applyFont="1" applyAlignment="1">
      <alignment horizontal="right"/>
    </xf>
    <xf numFmtId="0" fontId="96" fillId="38" borderId="0" xfId="6089" applyFont="1" applyFill="1" applyAlignment="1">
      <alignment horizontal="center"/>
    </xf>
    <xf numFmtId="0" fontId="98" fillId="0" borderId="0" xfId="6089" applyFont="1" applyFill="1" applyAlignment="1">
      <alignment horizontal="center" wrapText="1"/>
    </xf>
    <xf numFmtId="0" fontId="96" fillId="0" borderId="0" xfId="6089" applyFont="1" applyFill="1" applyAlignment="1"/>
    <xf numFmtId="0" fontId="1" fillId="2" borderId="0" xfId="6089" applyFont="1" applyFill="1"/>
    <xf numFmtId="0" fontId="98" fillId="0" borderId="0" xfId="6089" applyFont="1" applyFill="1" applyAlignment="1">
      <alignment horizontal="center"/>
    </xf>
    <xf numFmtId="17" fontId="98" fillId="0" borderId="0" xfId="6089" applyNumberFormat="1" applyFont="1" applyFill="1" applyAlignment="1">
      <alignment horizontal="center" wrapText="1"/>
    </xf>
    <xf numFmtId="17" fontId="98" fillId="2" borderId="367" xfId="6089" applyNumberFormat="1" applyFont="1" applyFill="1" applyBorder="1" applyAlignment="1">
      <alignment horizontal="center" vertical="center" wrapText="1"/>
    </xf>
    <xf numFmtId="0" fontId="98" fillId="2" borderId="367" xfId="6089" applyFont="1" applyFill="1" applyBorder="1" applyAlignment="1">
      <alignment horizontal="center" vertical="center" wrapText="1"/>
    </xf>
    <xf numFmtId="0" fontId="96" fillId="2" borderId="0" xfId="6089" applyFont="1" applyFill="1"/>
    <xf numFmtId="0" fontId="99" fillId="0" borderId="0" xfId="6089" applyFont="1" applyFill="1" applyAlignment="1">
      <alignment horizontal="left"/>
    </xf>
    <xf numFmtId="0" fontId="99" fillId="0" borderId="0" xfId="6089" applyFont="1" applyFill="1" applyAlignment="1">
      <alignment horizontal="center"/>
    </xf>
    <xf numFmtId="0" fontId="100" fillId="0" borderId="0" xfId="6089" applyFont="1" applyFill="1" applyAlignment="1">
      <alignment horizontal="center"/>
    </xf>
    <xf numFmtId="0" fontId="100" fillId="2" borderId="0" xfId="6089" applyFont="1" applyFill="1" applyAlignment="1">
      <alignment horizontal="center"/>
    </xf>
    <xf numFmtId="0" fontId="98" fillId="0" borderId="0" xfId="6089" applyFont="1" applyFill="1" applyAlignment="1">
      <alignment horizontal="left"/>
    </xf>
    <xf numFmtId="43" fontId="96" fillId="0" borderId="0" xfId="1311" applyFont="1" applyFill="1"/>
    <xf numFmtId="166" fontId="96" fillId="0" borderId="0" xfId="1311" applyNumberFormat="1" applyFont="1" applyFill="1"/>
    <xf numFmtId="166" fontId="96" fillId="2" borderId="0" xfId="1311" applyNumberFormat="1" applyFont="1" applyFill="1"/>
    <xf numFmtId="166" fontId="96" fillId="0" borderId="0" xfId="1311" applyNumberFormat="1" applyFont="1"/>
    <xf numFmtId="0" fontId="98" fillId="0" borderId="0" xfId="6089" applyFont="1" applyFill="1" applyBorder="1" applyAlignment="1">
      <alignment horizontal="right"/>
    </xf>
    <xf numFmtId="166" fontId="96" fillId="0" borderId="0" xfId="6089" applyNumberFormat="1" applyFont="1" applyFill="1"/>
    <xf numFmtId="43" fontId="96" fillId="0" borderId="0" xfId="6089" applyNumberFormat="1" applyFont="1"/>
    <xf numFmtId="166" fontId="96" fillId="0" borderId="368" xfId="1311" applyNumberFormat="1" applyFont="1" applyFill="1" applyBorder="1"/>
    <xf numFmtId="166" fontId="96" fillId="2" borderId="368" xfId="1311" applyNumberFormat="1" applyFont="1" applyFill="1" applyBorder="1"/>
    <xf numFmtId="0" fontId="98" fillId="0" borderId="0" xfId="6089" applyFont="1" applyFill="1" applyBorder="1"/>
    <xf numFmtId="166" fontId="96" fillId="0" borderId="0" xfId="1311" applyNumberFormat="1" applyFont="1" applyFill="1" applyBorder="1"/>
    <xf numFmtId="166" fontId="96" fillId="2" borderId="0" xfId="1311" applyNumberFormat="1" applyFont="1" applyFill="1" applyBorder="1"/>
    <xf numFmtId="166" fontId="98" fillId="0" borderId="0" xfId="1311" applyNumberFormat="1" applyFont="1" applyFill="1"/>
    <xf numFmtId="166" fontId="98" fillId="2" borderId="0" xfId="1311" applyNumberFormat="1" applyFont="1" applyFill="1"/>
    <xf numFmtId="0" fontId="1" fillId="0" borderId="0" xfId="6089" applyFont="1" applyFill="1" applyAlignment="1">
      <alignment horizontal="left" indent="1"/>
    </xf>
    <xf numFmtId="0" fontId="96" fillId="75" borderId="0" xfId="6089" applyFont="1" applyFill="1" applyBorder="1"/>
    <xf numFmtId="166" fontId="96" fillId="2" borderId="0" xfId="6089" applyNumberFormat="1" applyFont="1" applyFill="1"/>
    <xf numFmtId="0" fontId="98" fillId="0" borderId="0" xfId="6089" applyFont="1"/>
    <xf numFmtId="166" fontId="98" fillId="0" borderId="0" xfId="1311" applyNumberFormat="1" applyFont="1"/>
    <xf numFmtId="166" fontId="98" fillId="0" borderId="0" xfId="6089" applyNumberFormat="1" applyFont="1" applyFill="1" applyAlignment="1">
      <alignment horizontal="right"/>
    </xf>
    <xf numFmtId="166" fontId="86" fillId="0" borderId="0" xfId="6089" applyNumberFormat="1" applyFill="1"/>
    <xf numFmtId="166" fontId="86" fillId="2" borderId="0" xfId="6089" applyNumberFormat="1" applyFill="1"/>
    <xf numFmtId="166" fontId="86" fillId="0" borderId="0" xfId="6089" applyNumberFormat="1"/>
    <xf numFmtId="166" fontId="98" fillId="0" borderId="370" xfId="6089" applyNumberFormat="1" applyFont="1" applyFill="1" applyBorder="1"/>
    <xf numFmtId="166" fontId="98" fillId="2" borderId="370" xfId="6089" applyNumberFormat="1" applyFont="1" applyFill="1" applyBorder="1"/>
    <xf numFmtId="0" fontId="96" fillId="0" borderId="0" xfId="1311" applyNumberFormat="1" applyFont="1" applyFill="1" applyAlignment="1">
      <alignment horizontal="right"/>
    </xf>
    <xf numFmtId="166" fontId="96" fillId="0" borderId="0" xfId="6089" applyNumberFormat="1" applyFont="1" applyFill="1" applyAlignment="1">
      <alignment horizontal="right"/>
    </xf>
    <xf numFmtId="166" fontId="96" fillId="2" borderId="0" xfId="6089" applyNumberFormat="1" applyFont="1" applyFill="1" applyAlignment="1">
      <alignment horizontal="right"/>
    </xf>
    <xf numFmtId="0" fontId="96" fillId="0" borderId="0" xfId="6089" applyFont="1" applyFill="1" applyAlignment="1">
      <alignment horizontal="right"/>
    </xf>
    <xf numFmtId="166" fontId="96" fillId="0" borderId="1" xfId="6089" applyNumberFormat="1" applyFont="1" applyFill="1" applyBorder="1" applyAlignment="1">
      <alignment horizontal="right"/>
    </xf>
    <xf numFmtId="166" fontId="96" fillId="2" borderId="1" xfId="6089" applyNumberFormat="1" applyFont="1" applyFill="1" applyBorder="1" applyAlignment="1">
      <alignment horizontal="right"/>
    </xf>
    <xf numFmtId="166" fontId="96" fillId="0" borderId="369" xfId="6089" applyNumberFormat="1" applyFont="1" applyFill="1" applyBorder="1" applyAlignment="1">
      <alignment horizontal="right"/>
    </xf>
    <xf numFmtId="166" fontId="96" fillId="2" borderId="369" xfId="6089" applyNumberFormat="1" applyFont="1" applyFill="1" applyBorder="1" applyAlignment="1">
      <alignment horizontal="right"/>
    </xf>
    <xf numFmtId="0" fontId="97" fillId="0" borderId="0" xfId="6089" applyFont="1" applyFill="1"/>
    <xf numFmtId="0" fontId="97" fillId="0" borderId="0" xfId="6089" applyFont="1" applyFill="1" applyAlignment="1">
      <alignment horizontal="center"/>
    </xf>
    <xf numFmtId="0" fontId="96" fillId="76" borderId="0" xfId="6089" applyFont="1" applyFill="1"/>
    <xf numFmtId="0" fontId="98" fillId="76" borderId="0" xfId="6089" applyFont="1" applyFill="1" applyBorder="1"/>
    <xf numFmtId="0" fontId="98" fillId="76" borderId="0" xfId="6089" applyFont="1" applyFill="1" applyBorder="1" applyAlignment="1">
      <alignment horizontal="right"/>
    </xf>
    <xf numFmtId="43" fontId="96" fillId="76" borderId="0" xfId="1311" applyFont="1" applyFill="1"/>
    <xf numFmtId="166" fontId="96" fillId="76" borderId="0" xfId="1311" applyNumberFormat="1" applyFont="1" applyFill="1"/>
    <xf numFmtId="0" fontId="0" fillId="77" borderId="0" xfId="0" applyFill="1" applyAlignment="1">
      <alignment horizontal="left"/>
    </xf>
    <xf numFmtId="43" fontId="0" fillId="77" borderId="0" xfId="1" applyFont="1" applyFill="1" applyAlignment="1">
      <alignment horizontal="right"/>
    </xf>
    <xf numFmtId="0" fontId="0" fillId="77" borderId="0" xfId="0" applyFill="1" applyAlignment="1">
      <alignment horizontal="right"/>
    </xf>
    <xf numFmtId="43" fontId="0" fillId="77" borderId="0" xfId="0" applyNumberFormat="1" applyFill="1" applyAlignment="1">
      <alignment horizontal="right"/>
    </xf>
    <xf numFmtId="166" fontId="0" fillId="77" borderId="0" xfId="1" applyNumberFormat="1" applyFont="1" applyFill="1" applyAlignment="1">
      <alignment horizontal="right"/>
    </xf>
    <xf numFmtId="0" fontId="0" fillId="77" borderId="0" xfId="0" applyFont="1" applyFill="1" applyAlignment="1">
      <alignment horizontal="left"/>
    </xf>
    <xf numFmtId="0" fontId="96" fillId="77" borderId="0" xfId="6089" applyFont="1" applyFill="1" applyBorder="1" applyAlignment="1">
      <alignment horizontal="left"/>
    </xf>
    <xf numFmtId="0" fontId="0" fillId="78" borderId="0" xfId="0" applyFill="1" applyAlignment="1">
      <alignment horizontal="left"/>
    </xf>
    <xf numFmtId="43" fontId="0" fillId="78" borderId="0" xfId="1" applyFont="1" applyFill="1" applyAlignment="1">
      <alignment horizontal="right"/>
    </xf>
    <xf numFmtId="0" fontId="0" fillId="78" borderId="0" xfId="0" applyFill="1" applyAlignment="1">
      <alignment horizontal="right"/>
    </xf>
    <xf numFmtId="43" fontId="0" fillId="78" borderId="0" xfId="0" applyNumberFormat="1" applyFill="1" applyAlignment="1">
      <alignment horizontal="right"/>
    </xf>
    <xf numFmtId="166" fontId="0" fillId="78" borderId="0" xfId="1" applyNumberFormat="1" applyFont="1" applyFill="1" applyAlignment="1">
      <alignment horizontal="right"/>
    </xf>
    <xf numFmtId="0" fontId="0" fillId="79" borderId="0" xfId="0" applyFill="1" applyAlignment="1">
      <alignment horizontal="left"/>
    </xf>
    <xf numFmtId="43" fontId="0" fillId="79" borderId="0" xfId="1" applyFont="1" applyFill="1" applyAlignment="1">
      <alignment horizontal="right"/>
    </xf>
    <xf numFmtId="0" fontId="0" fillId="79" borderId="0" xfId="0" applyFill="1" applyAlignment="1">
      <alignment horizontal="right"/>
    </xf>
    <xf numFmtId="43" fontId="0" fillId="79" borderId="0" xfId="0" applyNumberFormat="1" applyFill="1" applyAlignment="1">
      <alignment horizontal="right"/>
    </xf>
    <xf numFmtId="166" fontId="0" fillId="79" borderId="0" xfId="1" applyNumberFormat="1" applyFont="1" applyFill="1" applyAlignment="1">
      <alignment horizontal="right"/>
    </xf>
    <xf numFmtId="166" fontId="3" fillId="6" borderId="32" xfId="1" applyNumberFormat="1" applyFont="1" applyFill="1" applyBorder="1" applyAlignment="1">
      <alignment horizontal="right"/>
    </xf>
    <xf numFmtId="166" fontId="3" fillId="6" borderId="1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9" xfId="1" applyNumberFormat="1" applyFont="1" applyFill="1" applyBorder="1"/>
    <xf numFmtId="44" fontId="102" fillId="0" borderId="0" xfId="37398" applyNumberFormat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103" fillId="0" borderId="0" xfId="0" applyFont="1"/>
    <xf numFmtId="0" fontId="3" fillId="7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166" fontId="3" fillId="70" borderId="0" xfId="1" applyNumberFormat="1" applyFont="1" applyFill="1" applyAlignment="1">
      <alignment horizontal="center" vertical="center" wrapText="1"/>
    </xf>
    <xf numFmtId="179" fontId="3" fillId="0" borderId="0" xfId="3" applyNumberFormat="1" applyFont="1" applyFill="1" applyAlignment="1">
      <alignment horizontal="center" vertical="center" wrapText="1"/>
    </xf>
    <xf numFmtId="3" fontId="3" fillId="6" borderId="33" xfId="0" applyNumberFormat="1" applyFont="1" applyFill="1" applyBorder="1" applyAlignment="1">
      <alignment horizontal="right"/>
    </xf>
    <xf numFmtId="0" fontId="0" fillId="6" borderId="368" xfId="0" applyFont="1" applyFill="1" applyBorder="1" applyAlignment="1">
      <alignment horizontal="center"/>
    </xf>
    <xf numFmtId="0" fontId="12" fillId="6" borderId="368" xfId="4" applyFont="1" applyFill="1" applyBorder="1" applyAlignment="1">
      <alignment horizontal="left"/>
    </xf>
    <xf numFmtId="3" fontId="3" fillId="6" borderId="368" xfId="0" applyNumberFormat="1" applyFont="1" applyFill="1" applyBorder="1" applyAlignment="1">
      <alignment horizontal="right"/>
    </xf>
    <xf numFmtId="43" fontId="0" fillId="6" borderId="368" xfId="0" applyNumberFormat="1" applyFont="1" applyFill="1" applyBorder="1"/>
    <xf numFmtId="166" fontId="3" fillId="6" borderId="368" xfId="1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3" fontId="0" fillId="0" borderId="0" xfId="1" applyFont="1" applyFill="1" applyBorder="1"/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0" fontId="11" fillId="0" borderId="0" xfId="296" applyFont="1" applyBorder="1"/>
    <xf numFmtId="3" fontId="3" fillId="6" borderId="368" xfId="0" applyNumberFormat="1" applyFont="1" applyFill="1" applyBorder="1" applyAlignment="1">
      <alignment horizontal="right"/>
    </xf>
    <xf numFmtId="44" fontId="0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81" borderId="0" xfId="0" applyFill="1" applyAlignment="1">
      <alignment horizontal="left"/>
    </xf>
    <xf numFmtId="43" fontId="0" fillId="81" borderId="0" xfId="1" applyFont="1" applyFill="1" applyAlignment="1">
      <alignment horizontal="right"/>
    </xf>
    <xf numFmtId="0" fontId="0" fillId="81" borderId="0" xfId="0" applyFill="1" applyAlignment="1">
      <alignment horizontal="right"/>
    </xf>
    <xf numFmtId="43" fontId="0" fillId="81" borderId="0" xfId="0" applyNumberFormat="1" applyFill="1" applyAlignment="1">
      <alignment horizontal="right"/>
    </xf>
    <xf numFmtId="166" fontId="0" fillId="81" borderId="0" xfId="1" applyNumberFormat="1" applyFont="1" applyFill="1" applyAlignment="1">
      <alignment horizontal="right"/>
    </xf>
    <xf numFmtId="43" fontId="0" fillId="0" borderId="0" xfId="1" applyNumberFormat="1" applyFont="1" applyFill="1" applyBorder="1" applyAlignment="1">
      <alignment horizontal="left"/>
    </xf>
    <xf numFmtId="0" fontId="3" fillId="6" borderId="371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6" borderId="373" xfId="0" applyFont="1" applyFill="1" applyBorder="1" applyAlignment="1">
      <alignment vertical="center" textRotation="90"/>
    </xf>
    <xf numFmtId="0" fontId="3" fillId="79" borderId="0" xfId="0" applyFont="1" applyFill="1" applyAlignment="1">
      <alignment horizontal="right"/>
    </xf>
    <xf numFmtId="0" fontId="3" fillId="78" borderId="0" xfId="0" applyFont="1" applyFill="1" applyAlignment="1">
      <alignment horizontal="right"/>
    </xf>
    <xf numFmtId="0" fontId="3" fillId="77" borderId="0" xfId="0" applyFont="1" applyFill="1" applyAlignment="1">
      <alignment horizontal="right"/>
    </xf>
    <xf numFmtId="0" fontId="3" fillId="81" borderId="0" xfId="0" applyFont="1" applyFill="1" applyAlignment="1">
      <alignment horizontal="center"/>
    </xf>
    <xf numFmtId="0" fontId="3" fillId="80" borderId="0" xfId="0" applyFont="1" applyFill="1" applyAlignment="1">
      <alignment horizontal="center"/>
    </xf>
    <xf numFmtId="0" fontId="3" fillId="83" borderId="0" xfId="0" applyFont="1" applyFill="1" applyAlignment="1">
      <alignment horizontal="center"/>
    </xf>
    <xf numFmtId="44" fontId="0" fillId="82" borderId="0" xfId="2" applyFont="1" applyFill="1" applyBorder="1"/>
    <xf numFmtId="0" fontId="3" fillId="84" borderId="367" xfId="0" applyFont="1" applyFill="1" applyBorder="1" applyAlignment="1">
      <alignment horizontal="center" vertical="center" wrapText="1"/>
    </xf>
    <xf numFmtId="0" fontId="3" fillId="85" borderId="36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 applyAlignment="1">
      <alignment horizontal="center" vertical="center" wrapText="1"/>
    </xf>
    <xf numFmtId="0" fontId="101" fillId="2" borderId="367" xfId="0" applyFont="1" applyFill="1" applyBorder="1" applyAlignment="1">
      <alignment horizontal="center" vertical="center" wrapText="1"/>
    </xf>
    <xf numFmtId="43" fontId="101" fillId="2" borderId="367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 applyFill="1" applyBorder="1"/>
    <xf numFmtId="3" fontId="105" fillId="6" borderId="367" xfId="0" applyNumberFormat="1" applyFont="1" applyFill="1" applyBorder="1" applyAlignment="1">
      <alignment horizontal="center" vertical="center" wrapText="1"/>
    </xf>
    <xf numFmtId="0" fontId="3" fillId="82" borderId="0" xfId="0" applyFont="1" applyFill="1" applyBorder="1" applyAlignment="1">
      <alignment horizontal="center"/>
    </xf>
    <xf numFmtId="0" fontId="0" fillId="80" borderId="0" xfId="0" applyFont="1" applyFill="1" applyBorder="1" applyAlignment="1">
      <alignment horizontal="center" vertical="center"/>
    </xf>
    <xf numFmtId="0" fontId="0" fillId="80" borderId="0" xfId="0" applyFont="1" applyFill="1" applyBorder="1" applyAlignment="1">
      <alignment horizontal="left" vertical="center"/>
    </xf>
    <xf numFmtId="0" fontId="0" fillId="81" borderId="0" xfId="0" applyFont="1" applyFill="1" applyBorder="1" applyAlignment="1">
      <alignment horizontal="center" vertical="center"/>
    </xf>
    <xf numFmtId="0" fontId="0" fillId="81" borderId="0" xfId="0" applyFont="1" applyFill="1" applyBorder="1" applyAlignment="1">
      <alignment horizontal="left" vertical="center"/>
    </xf>
    <xf numFmtId="0" fontId="0" fillId="82" borderId="0" xfId="0" applyFont="1" applyFill="1" applyBorder="1" applyAlignment="1">
      <alignment horizontal="center" vertical="center"/>
    </xf>
    <xf numFmtId="0" fontId="0" fillId="83" borderId="0" xfId="0" applyFont="1" applyFill="1" applyBorder="1" applyAlignment="1">
      <alignment horizontal="center" vertical="center"/>
    </xf>
    <xf numFmtId="0" fontId="11" fillId="83" borderId="0" xfId="296" applyFont="1" applyFill="1" applyBorder="1"/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82" borderId="0" xfId="0" applyFont="1" applyFill="1" applyBorder="1" applyAlignment="1">
      <alignment horizontal="left" vertical="center"/>
    </xf>
    <xf numFmtId="0" fontId="0" fillId="83" borderId="0" xfId="0" applyFont="1" applyFill="1" applyBorder="1" applyAlignment="1">
      <alignment horizontal="left" vertical="center"/>
    </xf>
    <xf numFmtId="0" fontId="0" fillId="70" borderId="0" xfId="0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left" vertical="center"/>
    </xf>
    <xf numFmtId="43" fontId="0" fillId="70" borderId="0" xfId="1" applyNumberFormat="1" applyFont="1" applyFill="1" applyBorder="1" applyAlignment="1">
      <alignment horizontal="left"/>
    </xf>
    <xf numFmtId="43" fontId="0" fillId="80" borderId="0" xfId="1" applyNumberFormat="1" applyFont="1" applyFill="1" applyBorder="1" applyAlignment="1">
      <alignment horizontal="left"/>
    </xf>
    <xf numFmtId="43" fontId="0" fillId="82" borderId="0" xfId="1" applyNumberFormat="1" applyFont="1" applyFill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center" vertical="center"/>
    </xf>
    <xf numFmtId="0" fontId="11" fillId="5" borderId="0" xfId="296" applyFont="1" applyFill="1" applyBorder="1"/>
    <xf numFmtId="10" fontId="0" fillId="0" borderId="0" xfId="3" applyNumberFormat="1" applyFont="1" applyBorder="1"/>
    <xf numFmtId="43" fontId="0" fillId="0" borderId="0" xfId="1" applyNumberFormat="1" applyFont="1" applyBorder="1"/>
    <xf numFmtId="10" fontId="107" fillId="0" borderId="0" xfId="3" applyNumberFormat="1" applyFont="1" applyFill="1" applyBorder="1"/>
    <xf numFmtId="43" fontId="0" fillId="79" borderId="0" xfId="1" applyFont="1" applyFill="1" applyAlignment="1">
      <alignment horizontal="left"/>
    </xf>
    <xf numFmtId="43" fontId="0" fillId="81" borderId="0" xfId="1" applyFont="1" applyFill="1"/>
    <xf numFmtId="43" fontId="0" fillId="80" borderId="0" xfId="1" applyFont="1" applyFill="1"/>
    <xf numFmtId="43" fontId="0" fillId="82" borderId="0" xfId="1" applyFont="1" applyFill="1"/>
    <xf numFmtId="43" fontId="0" fillId="83" borderId="0" xfId="1" applyFont="1" applyFill="1"/>
    <xf numFmtId="43" fontId="0" fillId="70" borderId="0" xfId="1" applyFont="1" applyFill="1"/>
    <xf numFmtId="43" fontId="0" fillId="5" borderId="0" xfId="1" applyFont="1" applyFill="1"/>
    <xf numFmtId="0" fontId="108" fillId="0" borderId="0" xfId="296" applyFont="1" applyFill="1" applyBorder="1"/>
    <xf numFmtId="3" fontId="97" fillId="6" borderId="32" xfId="0" applyNumberFormat="1" applyFont="1" applyFill="1" applyBorder="1" applyAlignment="1">
      <alignment horizontal="right"/>
    </xf>
    <xf numFmtId="43" fontId="0" fillId="0" borderId="0" xfId="0" applyNumberFormat="1"/>
    <xf numFmtId="166" fontId="0" fillId="0" borderId="0" xfId="0" applyNumberFormat="1" applyFont="1" applyBorder="1"/>
    <xf numFmtId="44" fontId="0" fillId="85" borderId="0" xfId="2" applyFont="1" applyFill="1" applyBorder="1"/>
    <xf numFmtId="44" fontId="11" fillId="85" borderId="0" xfId="2" applyFont="1" applyFill="1" applyBorder="1"/>
    <xf numFmtId="44" fontId="0" fillId="85" borderId="1" xfId="2" applyFont="1" applyFill="1" applyBorder="1"/>
    <xf numFmtId="180" fontId="0" fillId="81" borderId="0" xfId="1" applyNumberFormat="1" applyFont="1" applyFill="1" applyAlignment="1">
      <alignment horizontal="center"/>
    </xf>
    <xf numFmtId="43" fontId="0" fillId="81" borderId="0" xfId="1" applyNumberFormat="1" applyFont="1" applyFill="1" applyAlignment="1">
      <alignment horizontal="center"/>
    </xf>
    <xf numFmtId="43" fontId="0" fillId="80" borderId="0" xfId="1" applyNumberFormat="1" applyFont="1" applyFill="1" applyAlignment="1">
      <alignment horizontal="center"/>
    </xf>
    <xf numFmtId="43" fontId="0" fillId="82" borderId="0" xfId="1" applyNumberFormat="1" applyFont="1" applyFill="1" applyAlignment="1">
      <alignment horizontal="center"/>
    </xf>
    <xf numFmtId="43" fontId="0" fillId="83" borderId="0" xfId="1" applyNumberFormat="1" applyFont="1" applyFill="1" applyAlignment="1">
      <alignment horizontal="center"/>
    </xf>
    <xf numFmtId="43" fontId="0" fillId="70" borderId="0" xfId="1" applyNumberFormat="1" applyFont="1" applyFill="1" applyAlignment="1">
      <alignment horizontal="center"/>
    </xf>
    <xf numFmtId="43" fontId="0" fillId="5" borderId="0" xfId="1" applyNumberFormat="1" applyFont="1" applyFill="1" applyAlignment="1">
      <alignment horizontal="center"/>
    </xf>
    <xf numFmtId="3" fontId="0" fillId="70" borderId="0" xfId="1" applyNumberFormat="1" applyFont="1" applyFill="1" applyBorder="1" applyAlignment="1">
      <alignment horizontal="right"/>
    </xf>
    <xf numFmtId="43" fontId="0" fillId="70" borderId="0" xfId="0" applyNumberFormat="1" applyFont="1" applyFill="1" applyBorder="1"/>
    <xf numFmtId="166" fontId="0" fillId="0" borderId="0" xfId="0" applyNumberFormat="1" applyFill="1"/>
    <xf numFmtId="43" fontId="0" fillId="0" borderId="0" xfId="0" applyNumberFormat="1" applyFill="1"/>
    <xf numFmtId="0" fontId="3" fillId="0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0" fillId="0" borderId="1" xfId="0" applyNumberFormat="1" applyFill="1" applyBorder="1"/>
    <xf numFmtId="166" fontId="0" fillId="0" borderId="1" xfId="0" applyNumberFormat="1" applyFill="1" applyBorder="1"/>
    <xf numFmtId="166" fontId="0" fillId="5" borderId="0" xfId="1" applyNumberFormat="1" applyFont="1" applyFill="1"/>
    <xf numFmtId="0" fontId="0" fillId="86" borderId="0" xfId="0" applyFill="1" applyAlignment="1">
      <alignment horizontal="left"/>
    </xf>
    <xf numFmtId="0" fontId="0" fillId="86" borderId="0" xfId="0" applyFill="1"/>
    <xf numFmtId="166" fontId="109" fillId="0" borderId="0" xfId="1" applyNumberFormat="1" applyFont="1" applyFill="1" applyAlignment="1">
      <alignment horizontal="right"/>
    </xf>
    <xf numFmtId="166" fontId="9" fillId="0" borderId="0" xfId="1" applyNumberFormat="1" applyFont="1" applyFill="1" applyAlignment="1">
      <alignment horizontal="right"/>
    </xf>
    <xf numFmtId="166" fontId="110" fillId="0" borderId="0" xfId="1" applyNumberFormat="1" applyFont="1" applyFill="1" applyAlignment="1">
      <alignment horizontal="right"/>
    </xf>
    <xf numFmtId="166" fontId="111" fillId="0" borderId="0" xfId="1" applyNumberFormat="1" applyFont="1" applyFill="1" applyAlignment="1">
      <alignment horizontal="right"/>
    </xf>
    <xf numFmtId="43" fontId="0" fillId="86" borderId="0" xfId="1" applyNumberFormat="1" applyFont="1" applyFill="1" applyBorder="1"/>
    <xf numFmtId="166" fontId="108" fillId="0" borderId="0" xfId="1" applyNumberFormat="1" applyFont="1" applyFill="1" applyBorder="1"/>
    <xf numFmtId="43" fontId="0" fillId="78" borderId="0" xfId="1" applyFont="1" applyFill="1"/>
    <xf numFmtId="43" fontId="0" fillId="78" borderId="0" xfId="0" applyNumberFormat="1" applyFill="1"/>
    <xf numFmtId="43" fontId="0" fillId="2" borderId="0" xfId="1" applyFont="1" applyFill="1"/>
    <xf numFmtId="43" fontId="0" fillId="2" borderId="0" xfId="0" applyNumberFormat="1" applyFill="1"/>
    <xf numFmtId="43" fontId="0" fillId="75" borderId="0" xfId="1" applyNumberFormat="1" applyFont="1" applyFill="1"/>
    <xf numFmtId="43" fontId="0" fillId="87" borderId="0" xfId="1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83" borderId="337" xfId="0" applyFont="1" applyFill="1" applyBorder="1" applyAlignment="1">
      <alignment horizontal="center" vertical="center" textRotation="90"/>
    </xf>
    <xf numFmtId="0" fontId="3" fillId="83" borderId="338" xfId="0" applyFont="1" applyFill="1" applyBorder="1" applyAlignment="1">
      <alignment horizontal="center" vertical="center" textRotation="90"/>
    </xf>
    <xf numFmtId="0" fontId="3" fillId="83" borderId="372" xfId="0" applyFont="1" applyFill="1" applyBorder="1" applyAlignment="1">
      <alignment horizontal="center" vertical="center" textRotation="90"/>
    </xf>
    <xf numFmtId="0" fontId="3" fillId="81" borderId="337" xfId="0" applyFont="1" applyFill="1" applyBorder="1" applyAlignment="1">
      <alignment horizontal="center" vertical="center" textRotation="90"/>
    </xf>
    <xf numFmtId="0" fontId="3" fillId="81" borderId="338" xfId="0" applyFont="1" applyFill="1" applyBorder="1" applyAlignment="1">
      <alignment horizontal="center" vertical="center" textRotation="90"/>
    </xf>
    <xf numFmtId="0" fontId="3" fillId="81" borderId="372" xfId="0" applyFont="1" applyFill="1" applyBorder="1" applyAlignment="1">
      <alignment horizontal="center" vertical="center" textRotation="90"/>
    </xf>
    <xf numFmtId="0" fontId="3" fillId="6" borderId="350" xfId="0" applyFont="1" applyFill="1" applyBorder="1" applyAlignment="1">
      <alignment horizontal="center"/>
    </xf>
    <xf numFmtId="0" fontId="3" fillId="6" borderId="368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80" borderId="337" xfId="0" applyFont="1" applyFill="1" applyBorder="1" applyAlignment="1">
      <alignment horizontal="center" vertical="center" textRotation="90"/>
    </xf>
    <xf numFmtId="0" fontId="3" fillId="80" borderId="338" xfId="0" applyFont="1" applyFill="1" applyBorder="1" applyAlignment="1">
      <alignment horizontal="center" vertical="center" textRotation="90"/>
    </xf>
    <xf numFmtId="0" fontId="3" fillId="80" borderId="372" xfId="0" applyFont="1" applyFill="1" applyBorder="1" applyAlignment="1">
      <alignment horizontal="center" vertical="center" textRotation="90"/>
    </xf>
    <xf numFmtId="0" fontId="98" fillId="2" borderId="0" xfId="6089" applyFont="1" applyFill="1" applyAlignment="1">
      <alignment horizontal="center"/>
    </xf>
  </cellXfs>
  <cellStyles count="37405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400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9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" xfId="37398" builtinId="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1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Murrey's Jan-Dec 2012" xfId="296"/>
    <cellStyle name="Normal_Price out" xfId="4"/>
    <cellStyle name="Normal_Sheet1" xfId="366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3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2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4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137583</xdr:colOff>
      <xdr:row>66</xdr:row>
      <xdr:rowOff>63500</xdr:rowOff>
    </xdr:from>
    <xdr:to>
      <xdr:col>9</xdr:col>
      <xdr:colOff>899582</xdr:colOff>
      <xdr:row>85</xdr:row>
      <xdr:rowOff>81654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7083" y="12636500"/>
          <a:ext cx="4476749" cy="3658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Murrey%20%202111\Dump%20Fee%20Filings\DF%202022\Murrey's%20Disposal%20Fee%20Calc%203-1-2022%20-%20AM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To Populate Tariff"/>
      <sheetName val="Questions"/>
      <sheetName val="Mapping"/>
      <sheetName val="Murrey's Price Out"/>
      <sheetName val="American Price Out"/>
    </sheetNames>
    <sheetDataSet>
      <sheetData sheetId="0">
        <row r="11">
          <cell r="C11">
            <v>4.333333333333333</v>
          </cell>
        </row>
        <row r="32">
          <cell r="C32">
            <v>175</v>
          </cell>
        </row>
        <row r="33">
          <cell r="C33">
            <v>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7">
          <cell r="C87" t="str">
            <v>1-20 GAL CART WKLY</v>
          </cell>
          <cell r="D87">
            <v>14.93</v>
          </cell>
          <cell r="E87">
            <v>15.45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C88" t="str">
            <v>1-35 GAL CART WKLY</v>
          </cell>
          <cell r="D88">
            <v>18.55</v>
          </cell>
          <cell r="E88">
            <v>19.260000000000002</v>
          </cell>
          <cell r="F88">
            <v>920.92</v>
          </cell>
          <cell r="G88">
            <v>965.65000000000009</v>
          </cell>
          <cell r="H88">
            <v>946.74</v>
          </cell>
          <cell r="I88">
            <v>946.74</v>
          </cell>
          <cell r="J88">
            <v>913.44</v>
          </cell>
          <cell r="K88">
            <v>924.48</v>
          </cell>
          <cell r="L88">
            <v>924.48</v>
          </cell>
          <cell r="M88">
            <v>919.67</v>
          </cell>
          <cell r="N88">
            <v>924.48</v>
          </cell>
          <cell r="O88">
            <v>885.97</v>
          </cell>
          <cell r="P88">
            <v>890.78</v>
          </cell>
          <cell r="Q88">
            <v>900.41000000000008</v>
          </cell>
          <cell r="R88">
            <v>11063.759999999998</v>
          </cell>
          <cell r="S88">
            <v>49.645283018867921</v>
          </cell>
          <cell r="T88">
            <v>52.056603773584911</v>
          </cell>
          <cell r="U88">
            <v>51.037196765498649</v>
          </cell>
          <cell r="V88">
            <v>51.037196765498649</v>
          </cell>
          <cell r="W88">
            <v>49.242048517520217</v>
          </cell>
          <cell r="X88">
            <v>48</v>
          </cell>
          <cell r="Y88">
            <v>48</v>
          </cell>
          <cell r="Z88">
            <v>47.750259605399783</v>
          </cell>
          <cell r="AA88">
            <v>48</v>
          </cell>
          <cell r="AB88">
            <v>46.000519210799581</v>
          </cell>
          <cell r="AC88">
            <v>46.250259605399791</v>
          </cell>
          <cell r="AD88">
            <v>46.750259605399791</v>
          </cell>
          <cell r="AE88">
            <v>583.76962686796935</v>
          </cell>
        </row>
        <row r="89">
          <cell r="C89" t="str">
            <v>1-65 GAL CART WKLY</v>
          </cell>
          <cell r="D89">
            <v>27.8</v>
          </cell>
          <cell r="E89">
            <v>28.83</v>
          </cell>
          <cell r="F89">
            <v>834</v>
          </cell>
          <cell r="G89">
            <v>875.97</v>
          </cell>
          <cell r="H89">
            <v>883.1</v>
          </cell>
          <cell r="I89">
            <v>892.72</v>
          </cell>
          <cell r="J89">
            <v>885.59</v>
          </cell>
          <cell r="K89">
            <v>864.9</v>
          </cell>
          <cell r="L89">
            <v>908.1400000000001</v>
          </cell>
          <cell r="M89">
            <v>944.18</v>
          </cell>
          <cell r="N89">
            <v>864.9</v>
          </cell>
          <cell r="O89">
            <v>843.27</v>
          </cell>
          <cell r="P89">
            <v>864.90000000000009</v>
          </cell>
          <cell r="Q89">
            <v>897.56999999999994</v>
          </cell>
          <cell r="R89">
            <v>10559.24</v>
          </cell>
          <cell r="S89">
            <v>30</v>
          </cell>
          <cell r="T89">
            <v>31.509712230215829</v>
          </cell>
          <cell r="U89">
            <v>31.766187050359711</v>
          </cell>
          <cell r="V89">
            <v>32.112230215827338</v>
          </cell>
          <cell r="W89">
            <v>31.855755395683452</v>
          </cell>
          <cell r="X89">
            <v>30</v>
          </cell>
          <cell r="Y89">
            <v>31.499826569545618</v>
          </cell>
          <cell r="Z89">
            <v>32.749913284772809</v>
          </cell>
          <cell r="AA89">
            <v>30</v>
          </cell>
          <cell r="AB89">
            <v>29.24973985431842</v>
          </cell>
          <cell r="AC89">
            <v>30.000000000000004</v>
          </cell>
          <cell r="AD89">
            <v>31.133194588969822</v>
          </cell>
          <cell r="AE89">
            <v>371.87655918969301</v>
          </cell>
        </row>
        <row r="90">
          <cell r="C90" t="str">
            <v>1-95 GAL CART WKLY</v>
          </cell>
          <cell r="D90">
            <v>38.89</v>
          </cell>
          <cell r="E90">
            <v>40.35</v>
          </cell>
          <cell r="F90">
            <v>505.57</v>
          </cell>
          <cell r="G90">
            <v>728.59</v>
          </cell>
          <cell r="H90">
            <v>697.9</v>
          </cell>
          <cell r="I90">
            <v>757.72</v>
          </cell>
          <cell r="J90">
            <v>797.6</v>
          </cell>
          <cell r="K90">
            <v>807</v>
          </cell>
          <cell r="L90">
            <v>776.74</v>
          </cell>
          <cell r="M90">
            <v>847.34999999999991</v>
          </cell>
          <cell r="N90">
            <v>1071.5900000000001</v>
          </cell>
          <cell r="O90">
            <v>1044.06</v>
          </cell>
          <cell r="P90">
            <v>1109.6299999999999</v>
          </cell>
          <cell r="Q90">
            <v>1250.8500000000001</v>
          </cell>
          <cell r="R90">
            <v>10394.599999999999</v>
          </cell>
          <cell r="S90">
            <v>13</v>
          </cell>
          <cell r="T90">
            <v>18.734636153252765</v>
          </cell>
          <cell r="U90">
            <v>17.945487271792235</v>
          </cell>
          <cell r="V90">
            <v>19.483671895088712</v>
          </cell>
          <cell r="W90">
            <v>20.509128310619698</v>
          </cell>
          <cell r="X90">
            <v>20</v>
          </cell>
          <cell r="Y90">
            <v>19.250061957868649</v>
          </cell>
          <cell r="Z90">
            <v>20.999999999999996</v>
          </cell>
          <cell r="AA90">
            <v>26.55737298636927</v>
          </cell>
          <cell r="AB90">
            <v>25.875092936802972</v>
          </cell>
          <cell r="AC90">
            <v>27.500123915737294</v>
          </cell>
          <cell r="AD90">
            <v>31.000000000000004</v>
          </cell>
          <cell r="AE90">
            <v>260.85557542753162</v>
          </cell>
        </row>
        <row r="91">
          <cell r="C91" t="str">
            <v>1.5YD CONT 1X WEEKLY</v>
          </cell>
          <cell r="D91">
            <v>126</v>
          </cell>
          <cell r="E91">
            <v>127.74</v>
          </cell>
          <cell r="F91">
            <v>126</v>
          </cell>
          <cell r="G91">
            <v>126</v>
          </cell>
          <cell r="H91">
            <v>126</v>
          </cell>
          <cell r="I91">
            <v>126</v>
          </cell>
          <cell r="J91">
            <v>126</v>
          </cell>
          <cell r="K91">
            <v>127.74</v>
          </cell>
          <cell r="L91">
            <v>127.74</v>
          </cell>
          <cell r="M91">
            <v>127.74</v>
          </cell>
          <cell r="N91">
            <v>127.74</v>
          </cell>
          <cell r="O91">
            <v>127.74</v>
          </cell>
          <cell r="P91">
            <v>127.74</v>
          </cell>
          <cell r="Q91">
            <v>127.74</v>
          </cell>
          <cell r="R91">
            <v>1524.18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12</v>
          </cell>
        </row>
        <row r="92">
          <cell r="C92" t="str">
            <v>1YD CONT 1X WEEKLY</v>
          </cell>
          <cell r="D92">
            <v>91.15000000000002</v>
          </cell>
          <cell r="E92">
            <v>92.36</v>
          </cell>
          <cell r="F92">
            <v>615.27</v>
          </cell>
          <cell r="G92">
            <v>638.04999999999995</v>
          </cell>
          <cell r="H92">
            <v>638.04999999999995</v>
          </cell>
          <cell r="I92">
            <v>683.63</v>
          </cell>
          <cell r="J92">
            <v>729.2</v>
          </cell>
          <cell r="K92">
            <v>738.88</v>
          </cell>
          <cell r="L92">
            <v>646.52</v>
          </cell>
          <cell r="M92">
            <v>738.88</v>
          </cell>
          <cell r="N92">
            <v>554.16</v>
          </cell>
          <cell r="O92">
            <v>484.89</v>
          </cell>
          <cell r="P92">
            <v>461.8</v>
          </cell>
          <cell r="Q92">
            <v>461.8</v>
          </cell>
          <cell r="R92">
            <v>7391.130000000001</v>
          </cell>
          <cell r="S92">
            <v>6.7500822819528237</v>
          </cell>
          <cell r="T92">
            <v>6.9999999999999982</v>
          </cell>
          <cell r="U92">
            <v>6.9999999999999982</v>
          </cell>
          <cell r="V92">
            <v>7.5000548546352146</v>
          </cell>
          <cell r="W92">
            <v>7.9999999999999991</v>
          </cell>
          <cell r="X92">
            <v>8</v>
          </cell>
          <cell r="Y92">
            <v>7</v>
          </cell>
          <cell r="Z92">
            <v>8</v>
          </cell>
          <cell r="AA92">
            <v>6</v>
          </cell>
          <cell r="AB92">
            <v>5.25</v>
          </cell>
          <cell r="AC92">
            <v>5</v>
          </cell>
          <cell r="AD92">
            <v>5</v>
          </cell>
          <cell r="AE92">
            <v>80.500137136588037</v>
          </cell>
        </row>
        <row r="93">
          <cell r="C93" t="str">
            <v>1YD CONT 2X WEEKLY</v>
          </cell>
          <cell r="D93">
            <v>182.29</v>
          </cell>
          <cell r="E93">
            <v>184.72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C94" t="str">
            <v>1YD CONT EXTRA</v>
          </cell>
          <cell r="D94">
            <v>23.06</v>
          </cell>
          <cell r="E94">
            <v>23.34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C95" t="str">
            <v>2YD CONT 1X WEEKLY</v>
          </cell>
          <cell r="D95">
            <v>156.96</v>
          </cell>
          <cell r="E95">
            <v>159.16999999999999</v>
          </cell>
          <cell r="F95">
            <v>4237.92</v>
          </cell>
          <cell r="G95">
            <v>4237.92</v>
          </cell>
          <cell r="H95">
            <v>4237.92</v>
          </cell>
          <cell r="I95">
            <v>4237.92</v>
          </cell>
          <cell r="J95">
            <v>4041.72</v>
          </cell>
          <cell r="K95">
            <v>3979.25</v>
          </cell>
          <cell r="L95">
            <v>3820.08</v>
          </cell>
          <cell r="M95">
            <v>3820.08</v>
          </cell>
          <cell r="N95">
            <v>3820.08</v>
          </cell>
          <cell r="O95">
            <v>3820.08</v>
          </cell>
          <cell r="P95">
            <v>3820.08</v>
          </cell>
          <cell r="Q95">
            <v>3820.08</v>
          </cell>
          <cell r="R95">
            <v>47893.130000000012</v>
          </cell>
          <cell r="S95">
            <v>27</v>
          </cell>
          <cell r="T95">
            <v>27</v>
          </cell>
          <cell r="U95">
            <v>27</v>
          </cell>
          <cell r="V95">
            <v>27</v>
          </cell>
          <cell r="W95">
            <v>25.749999999999996</v>
          </cell>
          <cell r="X95">
            <v>25.000000000000004</v>
          </cell>
          <cell r="Y95">
            <v>24</v>
          </cell>
          <cell r="Z95">
            <v>24</v>
          </cell>
          <cell r="AA95">
            <v>24</v>
          </cell>
          <cell r="AB95">
            <v>24</v>
          </cell>
          <cell r="AC95">
            <v>24</v>
          </cell>
          <cell r="AD95">
            <v>24</v>
          </cell>
          <cell r="AE95">
            <v>302.75</v>
          </cell>
        </row>
        <row r="96">
          <cell r="C96" t="str">
            <v>2YD CONT 2X WEEKLY</v>
          </cell>
          <cell r="D96">
            <v>313.93</v>
          </cell>
          <cell r="E96">
            <v>318.33999999999997</v>
          </cell>
          <cell r="F96">
            <v>627.86</v>
          </cell>
          <cell r="G96">
            <v>824.06999999999994</v>
          </cell>
          <cell r="H96">
            <v>941.79</v>
          </cell>
          <cell r="I96">
            <v>941.79</v>
          </cell>
          <cell r="J96">
            <v>941.79</v>
          </cell>
          <cell r="K96">
            <v>1074.4000000000001</v>
          </cell>
          <cell r="L96">
            <v>1273.3599999999999</v>
          </cell>
          <cell r="M96">
            <v>1273.3599999999999</v>
          </cell>
          <cell r="N96">
            <v>1273.3599999999999</v>
          </cell>
          <cell r="O96">
            <v>1273.3599999999999</v>
          </cell>
          <cell r="P96">
            <v>1273.3599999999999</v>
          </cell>
          <cell r="Q96">
            <v>1273.3599999999999</v>
          </cell>
          <cell r="R96">
            <v>12991.86</v>
          </cell>
          <cell r="S96">
            <v>2</v>
          </cell>
          <cell r="T96">
            <v>2.6250119453381324</v>
          </cell>
          <cell r="U96">
            <v>3</v>
          </cell>
          <cell r="V96">
            <v>3</v>
          </cell>
          <cell r="W96">
            <v>3</v>
          </cell>
          <cell r="X96">
            <v>3.3750078532386762</v>
          </cell>
          <cell r="Y96">
            <v>4</v>
          </cell>
          <cell r="Z96">
            <v>4</v>
          </cell>
          <cell r="AA96">
            <v>4</v>
          </cell>
          <cell r="AB96">
            <v>4</v>
          </cell>
          <cell r="AC96">
            <v>4</v>
          </cell>
          <cell r="AD96">
            <v>4</v>
          </cell>
          <cell r="AE96">
            <v>41.000019798576808</v>
          </cell>
        </row>
        <row r="97">
          <cell r="C97" t="str">
            <v>2YD CONT 3X WEEKLY</v>
          </cell>
          <cell r="D97">
            <v>470.89000000000004</v>
          </cell>
          <cell r="E97">
            <v>477.51</v>
          </cell>
          <cell r="F97">
            <v>941.78</v>
          </cell>
          <cell r="G97">
            <v>941.78</v>
          </cell>
          <cell r="H97">
            <v>941.78</v>
          </cell>
          <cell r="I97">
            <v>941.78</v>
          </cell>
          <cell r="J97">
            <v>941.78</v>
          </cell>
          <cell r="K97">
            <v>955.02</v>
          </cell>
          <cell r="L97">
            <v>955.02</v>
          </cell>
          <cell r="M97">
            <v>955.02</v>
          </cell>
          <cell r="N97">
            <v>955.02</v>
          </cell>
          <cell r="O97">
            <v>955.02</v>
          </cell>
          <cell r="P97">
            <v>955.02</v>
          </cell>
          <cell r="Q97">
            <v>955.02</v>
          </cell>
          <cell r="R97">
            <v>11394.040000000003</v>
          </cell>
          <cell r="S97">
            <v>1.9999999999999998</v>
          </cell>
          <cell r="T97">
            <v>1.9999999999999998</v>
          </cell>
          <cell r="U97">
            <v>1.9999999999999998</v>
          </cell>
          <cell r="V97">
            <v>1.9999999999999998</v>
          </cell>
          <cell r="W97">
            <v>1.9999999999999998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E97">
            <v>24</v>
          </cell>
        </row>
        <row r="98">
          <cell r="C98" t="str">
            <v>2YD CONT EXTRA</v>
          </cell>
          <cell r="D98">
            <v>38.26</v>
          </cell>
          <cell r="E98">
            <v>38.770000000000003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C99" t="str">
            <v>4YD CONT 1X WEEKLY</v>
          </cell>
          <cell r="D99">
            <v>294.79000000000002</v>
          </cell>
          <cell r="E99">
            <v>298.99</v>
          </cell>
          <cell r="F99">
            <v>40828.43</v>
          </cell>
          <cell r="G99">
            <v>40717.880000000005</v>
          </cell>
          <cell r="H99">
            <v>40386.239999999998</v>
          </cell>
          <cell r="I99">
            <v>41860.18</v>
          </cell>
          <cell r="J99">
            <v>40533.620000000003</v>
          </cell>
          <cell r="K99">
            <v>42974.58</v>
          </cell>
          <cell r="L99">
            <v>42905.07</v>
          </cell>
          <cell r="M99">
            <v>42830.32</v>
          </cell>
          <cell r="N99">
            <v>42008.109999999993</v>
          </cell>
          <cell r="O99">
            <v>43577.82</v>
          </cell>
          <cell r="P99">
            <v>43054.57</v>
          </cell>
          <cell r="Q99">
            <v>43689.909999999996</v>
          </cell>
          <cell r="R99">
            <v>505366.73</v>
          </cell>
          <cell r="S99">
            <v>138.5000508836799</v>
          </cell>
          <cell r="T99">
            <v>138.12503816275995</v>
          </cell>
          <cell r="U99">
            <v>137.00003392245327</v>
          </cell>
          <cell r="V99">
            <v>142</v>
          </cell>
          <cell r="W99">
            <v>137.49998303877337</v>
          </cell>
          <cell r="X99">
            <v>143.73249941469615</v>
          </cell>
          <cell r="Y99">
            <v>143.50001672296733</v>
          </cell>
          <cell r="Z99">
            <v>143.25000836148365</v>
          </cell>
          <cell r="AA99">
            <v>140.50005016890194</v>
          </cell>
          <cell r="AB99">
            <v>145.75009197632028</v>
          </cell>
          <cell r="AC99">
            <v>144.00003344593463</v>
          </cell>
          <cell r="AD99">
            <v>146.12498745777449</v>
          </cell>
          <cell r="AE99">
            <v>1699.9827935557448</v>
          </cell>
        </row>
        <row r="100">
          <cell r="C100" t="str">
            <v>4YD CONT 2X WEEKLY</v>
          </cell>
          <cell r="D100">
            <v>589.57000000000005</v>
          </cell>
          <cell r="E100">
            <v>597.97</v>
          </cell>
          <cell r="F100">
            <v>12970.54</v>
          </cell>
          <cell r="G100">
            <v>12528.36</v>
          </cell>
          <cell r="H100">
            <v>12380.970000000001</v>
          </cell>
          <cell r="I100">
            <v>12970.54</v>
          </cell>
          <cell r="J100">
            <v>12970.54</v>
          </cell>
          <cell r="K100">
            <v>13753.31</v>
          </cell>
          <cell r="L100">
            <v>13678.56</v>
          </cell>
          <cell r="M100">
            <v>13753.31</v>
          </cell>
          <cell r="N100">
            <v>14276.54</v>
          </cell>
          <cell r="O100">
            <v>12756.69</v>
          </cell>
          <cell r="P100">
            <v>14151.96</v>
          </cell>
          <cell r="Q100">
            <v>13753.310000000001</v>
          </cell>
          <cell r="R100">
            <v>159944.63</v>
          </cell>
          <cell r="S100">
            <v>22</v>
          </cell>
          <cell r="T100">
            <v>21.249995759621417</v>
          </cell>
          <cell r="U100">
            <v>21</v>
          </cell>
          <cell r="V100">
            <v>22</v>
          </cell>
          <cell r="W100">
            <v>22</v>
          </cell>
          <cell r="X100">
            <v>22.999999999999996</v>
          </cell>
          <cell r="Y100">
            <v>22.874993728782378</v>
          </cell>
          <cell r="Z100">
            <v>22.999999999999996</v>
          </cell>
          <cell r="AA100">
            <v>23.875010452029365</v>
          </cell>
          <cell r="AB100">
            <v>21.333327758917672</v>
          </cell>
          <cell r="AC100">
            <v>23.666672241082328</v>
          </cell>
          <cell r="AD100">
            <v>23</v>
          </cell>
          <cell r="AE100">
            <v>268.99999994043316</v>
          </cell>
        </row>
        <row r="101">
          <cell r="C101" t="str">
            <v>4YD CONT 3X WEEKLY</v>
          </cell>
          <cell r="D101">
            <v>884.36</v>
          </cell>
          <cell r="E101">
            <v>896.96</v>
          </cell>
          <cell r="F101">
            <v>4421.8</v>
          </cell>
          <cell r="G101">
            <v>2653.08</v>
          </cell>
          <cell r="H101">
            <v>3537.44</v>
          </cell>
          <cell r="I101">
            <v>3537.44</v>
          </cell>
          <cell r="J101">
            <v>3537.44</v>
          </cell>
          <cell r="K101">
            <v>3587.84</v>
          </cell>
          <cell r="L101">
            <v>3587.84</v>
          </cell>
          <cell r="M101">
            <v>3587.84</v>
          </cell>
          <cell r="N101">
            <v>4260.5600000000004</v>
          </cell>
          <cell r="O101">
            <v>4484.8</v>
          </cell>
          <cell r="P101">
            <v>4484.8</v>
          </cell>
          <cell r="Q101">
            <v>4484.8</v>
          </cell>
          <cell r="R101">
            <v>46165.680000000008</v>
          </cell>
          <cell r="S101">
            <v>5</v>
          </cell>
          <cell r="T101">
            <v>3</v>
          </cell>
          <cell r="U101">
            <v>4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4</v>
          </cell>
          <cell r="AA101">
            <v>4.75</v>
          </cell>
          <cell r="AB101">
            <v>5</v>
          </cell>
          <cell r="AC101">
            <v>5</v>
          </cell>
          <cell r="AD101">
            <v>5</v>
          </cell>
          <cell r="AE101">
            <v>51.75</v>
          </cell>
        </row>
        <row r="102">
          <cell r="C102" t="str">
            <v>4YD CONT 4X WEEKLY SVC</v>
          </cell>
          <cell r="D102">
            <v>1179.1500000000001</v>
          </cell>
          <cell r="E102">
            <v>1195.95</v>
          </cell>
          <cell r="F102">
            <v>1179.1500000000001</v>
          </cell>
          <cell r="G102">
            <v>1179.1500000000001</v>
          </cell>
          <cell r="H102">
            <v>1179.1500000000001</v>
          </cell>
          <cell r="I102">
            <v>1179.1500000000001</v>
          </cell>
          <cell r="J102">
            <v>1179.1500000000001</v>
          </cell>
          <cell r="K102">
            <v>1195.95</v>
          </cell>
          <cell r="L102">
            <v>1195.95</v>
          </cell>
          <cell r="M102">
            <v>1195.95</v>
          </cell>
          <cell r="N102">
            <v>1195.95</v>
          </cell>
          <cell r="O102">
            <v>1195.95</v>
          </cell>
          <cell r="P102">
            <v>1195.95</v>
          </cell>
          <cell r="Q102">
            <v>1195.95</v>
          </cell>
          <cell r="R102">
            <v>14267.400000000003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>
            <v>1</v>
          </cell>
          <cell r="AD102">
            <v>1</v>
          </cell>
          <cell r="AE102">
            <v>12</v>
          </cell>
        </row>
        <row r="103">
          <cell r="C103" t="str">
            <v>4YD CONT EXTRA PICKUP</v>
          </cell>
          <cell r="D103">
            <v>70.09</v>
          </cell>
          <cell r="E103">
            <v>71.06</v>
          </cell>
          <cell r="F103">
            <v>420.54</v>
          </cell>
          <cell r="G103">
            <v>70.09</v>
          </cell>
          <cell r="H103">
            <v>140.18</v>
          </cell>
          <cell r="I103">
            <v>490.63</v>
          </cell>
          <cell r="J103">
            <v>490.63</v>
          </cell>
          <cell r="K103">
            <v>426.36</v>
          </cell>
          <cell r="L103">
            <v>426.36</v>
          </cell>
          <cell r="M103">
            <v>512.57999999999993</v>
          </cell>
          <cell r="N103">
            <v>507.42</v>
          </cell>
          <cell r="O103">
            <v>781.66000000000008</v>
          </cell>
          <cell r="P103">
            <v>142.12</v>
          </cell>
          <cell r="Q103">
            <v>284.24</v>
          </cell>
          <cell r="R103">
            <v>4692.8100000000004</v>
          </cell>
          <cell r="S103">
            <v>6</v>
          </cell>
          <cell r="T103">
            <v>1</v>
          </cell>
          <cell r="U103">
            <v>2</v>
          </cell>
          <cell r="V103">
            <v>7</v>
          </cell>
          <cell r="W103">
            <v>7</v>
          </cell>
          <cell r="X103">
            <v>6</v>
          </cell>
          <cell r="Y103">
            <v>6</v>
          </cell>
          <cell r="Z103">
            <v>7.2133408387278344</v>
          </cell>
          <cell r="AA103">
            <v>7.1407261469180972</v>
          </cell>
          <cell r="AB103">
            <v>11</v>
          </cell>
          <cell r="AC103">
            <v>2</v>
          </cell>
          <cell r="AD103">
            <v>4</v>
          </cell>
          <cell r="AE103">
            <v>66.354066985645929</v>
          </cell>
        </row>
        <row r="104">
          <cell r="C104" t="str">
            <v>6YD CONT 1X WEEKLY</v>
          </cell>
          <cell r="D104">
            <v>407.5</v>
          </cell>
          <cell r="E104">
            <v>413.26</v>
          </cell>
          <cell r="F104">
            <v>41870.639999999999</v>
          </cell>
          <cell r="G104">
            <v>43398.75</v>
          </cell>
          <cell r="H104">
            <v>43296.890000000007</v>
          </cell>
          <cell r="I104">
            <v>43806.25</v>
          </cell>
          <cell r="J104">
            <v>44060.94</v>
          </cell>
          <cell r="K104">
            <v>44838.720000000001</v>
          </cell>
          <cell r="L104">
            <v>43702.25</v>
          </cell>
          <cell r="M104">
            <v>43598.95</v>
          </cell>
          <cell r="N104">
            <v>42669.100000000006</v>
          </cell>
          <cell r="O104">
            <v>43185.68</v>
          </cell>
          <cell r="P104">
            <v>44012.229999999996</v>
          </cell>
          <cell r="Q104">
            <v>44115.509999999995</v>
          </cell>
          <cell r="R104">
            <v>522555.91</v>
          </cell>
          <cell r="S104">
            <v>102.75003680981595</v>
          </cell>
          <cell r="T104">
            <v>106.5</v>
          </cell>
          <cell r="U104">
            <v>106.25003680981597</v>
          </cell>
          <cell r="V104">
            <v>107.5</v>
          </cell>
          <cell r="W104">
            <v>108.12500613496933</v>
          </cell>
          <cell r="X104">
            <v>108.50002419784155</v>
          </cell>
          <cell r="Y104">
            <v>105.75001209892078</v>
          </cell>
          <cell r="Z104">
            <v>105.50004839568309</v>
          </cell>
          <cell r="AA104">
            <v>103.25001209892079</v>
          </cell>
          <cell r="AB104">
            <v>104.50002419784155</v>
          </cell>
          <cell r="AC104">
            <v>106.5000967913662</v>
          </cell>
          <cell r="AD104">
            <v>106.75001209892076</v>
          </cell>
          <cell r="AE104">
            <v>1271.8753096340959</v>
          </cell>
        </row>
        <row r="105">
          <cell r="C105" t="str">
            <v>6YD CONT 2X WEEKLY</v>
          </cell>
          <cell r="D105">
            <v>814.99000000000012</v>
          </cell>
          <cell r="E105">
            <v>826.51</v>
          </cell>
          <cell r="F105">
            <v>50733.130000000005</v>
          </cell>
          <cell r="G105">
            <v>49714.39</v>
          </cell>
          <cell r="H105">
            <v>49118.68</v>
          </cell>
          <cell r="I105">
            <v>49001.279999999999</v>
          </cell>
          <cell r="J105">
            <v>48899.4</v>
          </cell>
          <cell r="K105">
            <v>47953.33</v>
          </cell>
          <cell r="L105">
            <v>49590.6</v>
          </cell>
          <cell r="M105">
            <v>50313.799999999996</v>
          </cell>
          <cell r="N105">
            <v>50830.369999999995</v>
          </cell>
          <cell r="O105">
            <v>45745.06</v>
          </cell>
          <cell r="P105">
            <v>46594.53</v>
          </cell>
          <cell r="Q105">
            <v>50933.68</v>
          </cell>
          <cell r="R105">
            <v>589428.25</v>
          </cell>
          <cell r="S105">
            <v>62.2500030675223</v>
          </cell>
          <cell r="T105">
            <v>60.999999999999993</v>
          </cell>
          <cell r="U105">
            <v>60.269058516055402</v>
          </cell>
          <cell r="V105">
            <v>60.125007668805743</v>
          </cell>
          <cell r="W105">
            <v>59.999999999999993</v>
          </cell>
          <cell r="X105">
            <v>58.019056030780028</v>
          </cell>
          <cell r="Y105">
            <v>60</v>
          </cell>
          <cell r="Z105">
            <v>60.875004537150183</v>
          </cell>
          <cell r="AA105">
            <v>61.500006049533575</v>
          </cell>
          <cell r="AB105">
            <v>55.347255326614317</v>
          </cell>
          <cell r="AC105">
            <v>56.375034784818091</v>
          </cell>
          <cell r="AD105">
            <v>61.625001512383399</v>
          </cell>
          <cell r="AE105">
            <v>717.38542749366309</v>
          </cell>
        </row>
        <row r="106">
          <cell r="C106" t="str">
            <v>6YD CONT 3X WEEKLY</v>
          </cell>
          <cell r="D106">
            <v>1222.49</v>
          </cell>
          <cell r="E106">
            <v>1239.77</v>
          </cell>
          <cell r="F106">
            <v>18337.349999999999</v>
          </cell>
          <cell r="G106">
            <v>18337.349999999999</v>
          </cell>
          <cell r="H106">
            <v>18031.73</v>
          </cell>
          <cell r="I106">
            <v>17114.86</v>
          </cell>
          <cell r="J106">
            <v>17114.86</v>
          </cell>
          <cell r="K106">
            <v>17356.78</v>
          </cell>
          <cell r="L106">
            <v>17356.78</v>
          </cell>
          <cell r="M106">
            <v>17356.78</v>
          </cell>
          <cell r="N106">
            <v>19733.010000000002</v>
          </cell>
          <cell r="O106">
            <v>19931.690000000002</v>
          </cell>
          <cell r="P106">
            <v>22005.919999999998</v>
          </cell>
          <cell r="Q106">
            <v>22315.86</v>
          </cell>
          <cell r="R106">
            <v>224992.96999999997</v>
          </cell>
          <cell r="S106">
            <v>14.999999999999998</v>
          </cell>
          <cell r="T106">
            <v>14.999999999999998</v>
          </cell>
          <cell r="U106">
            <v>14.750002045006502</v>
          </cell>
          <cell r="V106">
            <v>14</v>
          </cell>
          <cell r="W106">
            <v>14</v>
          </cell>
          <cell r="X106">
            <v>14</v>
          </cell>
          <cell r="Y106">
            <v>14</v>
          </cell>
          <cell r="Z106">
            <v>14</v>
          </cell>
          <cell r="AA106">
            <v>15.916670027505104</v>
          </cell>
          <cell r="AB106">
            <v>16.076925558772999</v>
          </cell>
          <cell r="AC106">
            <v>17.750002016503061</v>
          </cell>
          <cell r="AD106">
            <v>18</v>
          </cell>
          <cell r="AE106">
            <v>182.49359964778768</v>
          </cell>
        </row>
        <row r="107">
          <cell r="C107" t="str">
            <v>6YD CONT 4X WEEKLY</v>
          </cell>
          <cell r="D107">
            <v>1629.99</v>
          </cell>
          <cell r="E107">
            <v>1653.02</v>
          </cell>
          <cell r="F107">
            <v>4889.97</v>
          </cell>
          <cell r="G107">
            <v>4889.97</v>
          </cell>
          <cell r="H107">
            <v>4889.97</v>
          </cell>
          <cell r="I107">
            <v>4889.97</v>
          </cell>
          <cell r="J107">
            <v>4889.97</v>
          </cell>
          <cell r="K107">
            <v>4959.0600000000004</v>
          </cell>
          <cell r="L107">
            <v>4959.0600000000004</v>
          </cell>
          <cell r="M107">
            <v>4959.0600000000004</v>
          </cell>
          <cell r="N107">
            <v>2479.5300000000002</v>
          </cell>
          <cell r="O107">
            <v>3306.04</v>
          </cell>
          <cell r="P107">
            <v>3306.04</v>
          </cell>
          <cell r="Q107">
            <v>3306.04</v>
          </cell>
          <cell r="R107">
            <v>51724.68</v>
          </cell>
          <cell r="S107">
            <v>3</v>
          </cell>
          <cell r="T107">
            <v>3</v>
          </cell>
          <cell r="U107">
            <v>3</v>
          </cell>
          <cell r="V107">
            <v>3</v>
          </cell>
          <cell r="W107">
            <v>3</v>
          </cell>
          <cell r="X107">
            <v>3.0000000000000004</v>
          </cell>
          <cell r="Y107">
            <v>3.0000000000000004</v>
          </cell>
          <cell r="Z107">
            <v>3.0000000000000004</v>
          </cell>
          <cell r="AA107">
            <v>1.5000000000000002</v>
          </cell>
          <cell r="AB107">
            <v>2</v>
          </cell>
          <cell r="AC107">
            <v>2</v>
          </cell>
          <cell r="AD107">
            <v>2</v>
          </cell>
          <cell r="AE107">
            <v>31.5</v>
          </cell>
        </row>
        <row r="108">
          <cell r="C108" t="str">
            <v>6YD CONT 5X WEEKLY</v>
          </cell>
          <cell r="D108">
            <v>2037.4800000000002</v>
          </cell>
          <cell r="E108">
            <v>2066.2800000000002</v>
          </cell>
          <cell r="F108">
            <v>8149.92</v>
          </cell>
          <cell r="G108">
            <v>8149.92</v>
          </cell>
          <cell r="H108">
            <v>8149.92</v>
          </cell>
          <cell r="I108">
            <v>7844.3</v>
          </cell>
          <cell r="J108">
            <v>8149.92</v>
          </cell>
          <cell r="K108">
            <v>8265.1200000000008</v>
          </cell>
          <cell r="L108">
            <v>8265.1200000000008</v>
          </cell>
          <cell r="M108">
            <v>8265.1200000000008</v>
          </cell>
          <cell r="N108">
            <v>8265.1200000000008</v>
          </cell>
          <cell r="O108">
            <v>8265.1200000000008</v>
          </cell>
          <cell r="P108">
            <v>8265.1200000000008</v>
          </cell>
          <cell r="Q108">
            <v>8265.1200000000008</v>
          </cell>
          <cell r="R108">
            <v>98299.819999999992</v>
          </cell>
          <cell r="S108">
            <v>3.9999999999999996</v>
          </cell>
          <cell r="T108">
            <v>3.9999999999999996</v>
          </cell>
          <cell r="U108">
            <v>3.9999999999999996</v>
          </cell>
          <cell r="V108">
            <v>3.8500009816047269</v>
          </cell>
          <cell r="W108">
            <v>3.9999999999999996</v>
          </cell>
          <cell r="X108">
            <v>4</v>
          </cell>
          <cell r="Y108">
            <v>4</v>
          </cell>
          <cell r="Z108">
            <v>4</v>
          </cell>
          <cell r="AA108">
            <v>4</v>
          </cell>
          <cell r="AB108">
            <v>4</v>
          </cell>
          <cell r="AC108">
            <v>4</v>
          </cell>
          <cell r="AD108">
            <v>4</v>
          </cell>
          <cell r="AE108">
            <v>47.850000981604722</v>
          </cell>
        </row>
        <row r="109">
          <cell r="C109" t="str">
            <v>6YD CONT EXTRA PICKUP</v>
          </cell>
          <cell r="D109">
            <v>96.13</v>
          </cell>
          <cell r="E109">
            <v>97.46</v>
          </cell>
          <cell r="F109">
            <v>1153.56</v>
          </cell>
          <cell r="G109">
            <v>576.78</v>
          </cell>
          <cell r="H109">
            <v>672.91</v>
          </cell>
          <cell r="I109">
            <v>672.91</v>
          </cell>
          <cell r="J109">
            <v>288.39</v>
          </cell>
          <cell r="K109">
            <v>1266.98</v>
          </cell>
          <cell r="L109">
            <v>1364.44</v>
          </cell>
          <cell r="M109">
            <v>1409.92</v>
          </cell>
          <cell r="N109">
            <v>1725.04</v>
          </cell>
          <cell r="O109">
            <v>997.34</v>
          </cell>
          <cell r="P109">
            <v>1192.26</v>
          </cell>
          <cell r="Q109">
            <v>607.5</v>
          </cell>
          <cell r="R109">
            <v>11928.03</v>
          </cell>
          <cell r="S109">
            <v>12</v>
          </cell>
          <cell r="T109">
            <v>6</v>
          </cell>
          <cell r="U109">
            <v>7</v>
          </cell>
          <cell r="V109">
            <v>7</v>
          </cell>
          <cell r="W109">
            <v>3</v>
          </cell>
          <cell r="X109">
            <v>13.000000000000002</v>
          </cell>
          <cell r="Y109">
            <v>14.000000000000002</v>
          </cell>
          <cell r="Z109">
            <v>14.466652985840346</v>
          </cell>
          <cell r="AA109">
            <v>17.699979478760518</v>
          </cell>
          <cell r="AB109">
            <v>10.233326492920174</v>
          </cell>
          <cell r="AC109">
            <v>12.233326492920174</v>
          </cell>
          <cell r="AD109">
            <v>6.233326492920173</v>
          </cell>
          <cell r="AE109">
            <v>122.86661194336138</v>
          </cell>
        </row>
        <row r="110">
          <cell r="C110" t="str">
            <v>8 YD CONT 2X WKLY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C111" t="str">
            <v>2 YD 2.25-1 COMP 1X WK</v>
          </cell>
          <cell r="D111">
            <v>334.19</v>
          </cell>
          <cell r="E111">
            <v>339.17</v>
          </cell>
          <cell r="F111">
            <v>334.19</v>
          </cell>
          <cell r="G111">
            <v>334.19</v>
          </cell>
          <cell r="H111">
            <v>334.19</v>
          </cell>
          <cell r="I111">
            <v>334.19</v>
          </cell>
          <cell r="J111">
            <v>334.19</v>
          </cell>
          <cell r="K111">
            <v>339.17</v>
          </cell>
          <cell r="L111">
            <v>339.17</v>
          </cell>
          <cell r="M111">
            <v>339.17</v>
          </cell>
          <cell r="N111">
            <v>339.17</v>
          </cell>
          <cell r="O111">
            <v>339.17</v>
          </cell>
          <cell r="P111">
            <v>339.17</v>
          </cell>
          <cell r="Q111">
            <v>339.17</v>
          </cell>
          <cell r="R111">
            <v>4045.1400000000003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>
            <v>1</v>
          </cell>
          <cell r="AD111">
            <v>1</v>
          </cell>
          <cell r="AE111">
            <v>12</v>
          </cell>
        </row>
        <row r="112">
          <cell r="C112" t="str">
            <v>2 YD 4-1 COMP 1X WK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C113" t="str">
            <v>2 YD COMPACTOR 2X WKLY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C114" t="str">
            <v>4 YD 2.25-1 COMP 1X WK</v>
          </cell>
          <cell r="D114">
            <v>605.94000000000005</v>
          </cell>
          <cell r="E114">
            <v>615.38</v>
          </cell>
          <cell r="F114">
            <v>605.94000000000005</v>
          </cell>
          <cell r="G114">
            <v>605.94000000000005</v>
          </cell>
          <cell r="H114">
            <v>605.94000000000005</v>
          </cell>
          <cell r="I114">
            <v>605.94000000000005</v>
          </cell>
          <cell r="J114">
            <v>605.94000000000005</v>
          </cell>
          <cell r="K114">
            <v>615.38</v>
          </cell>
          <cell r="L114">
            <v>615.38</v>
          </cell>
          <cell r="M114">
            <v>615.38</v>
          </cell>
          <cell r="N114">
            <v>615.38</v>
          </cell>
          <cell r="O114">
            <v>615.38</v>
          </cell>
          <cell r="P114">
            <v>615.38</v>
          </cell>
          <cell r="Q114">
            <v>615.38</v>
          </cell>
          <cell r="R114">
            <v>7337.3600000000006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12</v>
          </cell>
        </row>
        <row r="115">
          <cell r="C115" t="str">
            <v>4YD 4-1 COMP 1X WK</v>
          </cell>
          <cell r="D115">
            <v>966.33</v>
          </cell>
          <cell r="E115">
            <v>983.13</v>
          </cell>
          <cell r="F115">
            <v>966.33</v>
          </cell>
          <cell r="G115">
            <v>966.33</v>
          </cell>
          <cell r="H115">
            <v>966.33</v>
          </cell>
          <cell r="I115">
            <v>966.33</v>
          </cell>
          <cell r="J115">
            <v>966.33</v>
          </cell>
          <cell r="K115">
            <v>983.13</v>
          </cell>
          <cell r="L115">
            <v>983.13</v>
          </cell>
          <cell r="M115">
            <v>983.13</v>
          </cell>
          <cell r="N115">
            <v>983.13</v>
          </cell>
          <cell r="O115">
            <v>983.13</v>
          </cell>
          <cell r="P115">
            <v>983.13</v>
          </cell>
          <cell r="Q115">
            <v>983.13</v>
          </cell>
          <cell r="R115">
            <v>11713.559999999998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12</v>
          </cell>
        </row>
        <row r="116">
          <cell r="C116" t="str">
            <v>4 YD 5-1 COMP 1X WK</v>
          </cell>
          <cell r="D116">
            <v>1086.8699999999999</v>
          </cell>
          <cell r="E116">
            <v>1107.8699999999999</v>
          </cell>
          <cell r="F116">
            <v>1086.8699999999999</v>
          </cell>
          <cell r="G116">
            <v>1086.8699999999999</v>
          </cell>
          <cell r="H116">
            <v>1086.8699999999999</v>
          </cell>
          <cell r="I116">
            <v>1086.8699999999999</v>
          </cell>
          <cell r="J116">
            <v>1086.8699999999999</v>
          </cell>
          <cell r="K116">
            <v>1107.8699999999999</v>
          </cell>
          <cell r="L116">
            <v>1107.8699999999999</v>
          </cell>
          <cell r="M116">
            <v>1107.8699999999999</v>
          </cell>
          <cell r="N116">
            <v>1107.8699999999999</v>
          </cell>
          <cell r="O116">
            <v>1107.8800000000001</v>
          </cell>
          <cell r="P116">
            <v>1107.8699999999999</v>
          </cell>
          <cell r="Q116">
            <v>1107.8699999999999</v>
          </cell>
          <cell r="R116">
            <v>13189.449999999997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1.0000090263298043</v>
          </cell>
          <cell r="AC116">
            <v>1</v>
          </cell>
          <cell r="AD116">
            <v>1</v>
          </cell>
          <cell r="AE116">
            <v>12.000009026329804</v>
          </cell>
        </row>
        <row r="117">
          <cell r="C117" t="str">
            <v>4 YD 5-1 COMP EOW</v>
          </cell>
          <cell r="D117">
            <v>544.69000000000005</v>
          </cell>
          <cell r="E117">
            <v>555.22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C118" t="str">
            <v>4 YD 5-1 COMP ON CALL</v>
          </cell>
          <cell r="D118">
            <v>257.06</v>
          </cell>
          <cell r="E118">
            <v>261.91000000000003</v>
          </cell>
          <cell r="F118">
            <v>257.06</v>
          </cell>
          <cell r="G118">
            <v>514.12</v>
          </cell>
          <cell r="H118">
            <v>257.06</v>
          </cell>
          <cell r="I118">
            <v>514.12</v>
          </cell>
          <cell r="J118">
            <v>257.06</v>
          </cell>
          <cell r="K118">
            <v>261.91000000000003</v>
          </cell>
          <cell r="L118">
            <v>261.91000000000003</v>
          </cell>
          <cell r="M118">
            <v>261.91000000000003</v>
          </cell>
          <cell r="N118">
            <v>261.91000000000003</v>
          </cell>
          <cell r="O118">
            <v>261.91000000000003</v>
          </cell>
          <cell r="P118">
            <v>261.91000000000003</v>
          </cell>
          <cell r="Q118">
            <v>0</v>
          </cell>
          <cell r="R118">
            <v>3370.8799999999992</v>
          </cell>
          <cell r="S118">
            <v>1</v>
          </cell>
          <cell r="T118">
            <v>2</v>
          </cell>
          <cell r="U118">
            <v>1</v>
          </cell>
          <cell r="V118">
            <v>2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0</v>
          </cell>
          <cell r="AE118">
            <v>13</v>
          </cell>
        </row>
        <row r="119">
          <cell r="C119" t="str">
            <v>6YD COMPACTOR 2X WKLY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C120" t="str">
            <v>6 YD 3-1 COMP 2X WK</v>
          </cell>
          <cell r="D120">
            <v>2139.9699999999998</v>
          </cell>
          <cell r="E120">
            <v>2174.5300000000002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C121" t="str">
            <v>6 YD 4-1 COMP 2X WK</v>
          </cell>
          <cell r="D121">
            <v>2755.09</v>
          </cell>
          <cell r="E121">
            <v>2801.16</v>
          </cell>
          <cell r="F121">
            <v>2755.09</v>
          </cell>
          <cell r="G121">
            <v>2755.09</v>
          </cell>
          <cell r="H121">
            <v>2755.09</v>
          </cell>
          <cell r="I121">
            <v>2755.09</v>
          </cell>
          <cell r="J121">
            <v>2755.09</v>
          </cell>
          <cell r="K121">
            <v>2801.16</v>
          </cell>
          <cell r="L121">
            <v>2801.16</v>
          </cell>
          <cell r="M121">
            <v>2801.16</v>
          </cell>
          <cell r="N121">
            <v>2801.16</v>
          </cell>
          <cell r="O121">
            <v>2801.16</v>
          </cell>
          <cell r="P121">
            <v>2801.16</v>
          </cell>
          <cell r="Q121">
            <v>2801.16</v>
          </cell>
          <cell r="R121">
            <v>33383.57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12</v>
          </cell>
        </row>
        <row r="122">
          <cell r="C122" t="str">
            <v>CARRY-OUT COMMERCIAL</v>
          </cell>
          <cell r="D122">
            <v>2.08</v>
          </cell>
          <cell r="E122">
            <v>2.08</v>
          </cell>
          <cell r="F122">
            <v>6.24</v>
          </cell>
          <cell r="G122">
            <v>12.48</v>
          </cell>
          <cell r="H122">
            <v>12.48</v>
          </cell>
          <cell r="I122">
            <v>10.4</v>
          </cell>
          <cell r="J122">
            <v>10.4</v>
          </cell>
          <cell r="K122">
            <v>10.4</v>
          </cell>
          <cell r="L122">
            <v>10.4</v>
          </cell>
          <cell r="M122">
            <v>10.4</v>
          </cell>
          <cell r="N122">
            <v>10.4</v>
          </cell>
          <cell r="O122">
            <v>10.4</v>
          </cell>
          <cell r="P122">
            <v>10.4</v>
          </cell>
          <cell r="Q122">
            <v>10.4</v>
          </cell>
          <cell r="R122">
            <v>124.80000000000003</v>
          </cell>
          <cell r="S122">
            <v>3</v>
          </cell>
          <cell r="T122">
            <v>6</v>
          </cell>
          <cell r="U122">
            <v>6</v>
          </cell>
          <cell r="V122">
            <v>5</v>
          </cell>
          <cell r="W122">
            <v>5</v>
          </cell>
          <cell r="X122">
            <v>5</v>
          </cell>
          <cell r="Y122">
            <v>5</v>
          </cell>
          <cell r="Z122">
            <v>5</v>
          </cell>
          <cell r="AA122">
            <v>5</v>
          </cell>
          <cell r="AB122">
            <v>5</v>
          </cell>
          <cell r="AC122">
            <v>5</v>
          </cell>
          <cell r="AD122">
            <v>5</v>
          </cell>
          <cell r="AE122">
            <v>60</v>
          </cell>
        </row>
        <row r="123">
          <cell r="C123" t="str">
            <v>1.5YD CONT 1xWEEKLY</v>
          </cell>
          <cell r="D123">
            <v>126</v>
          </cell>
          <cell r="E123">
            <v>127.74</v>
          </cell>
          <cell r="F123">
            <v>6048</v>
          </cell>
          <cell r="G123">
            <v>6268.5</v>
          </cell>
          <cell r="H123">
            <v>6268.5</v>
          </cell>
          <cell r="I123">
            <v>6363</v>
          </cell>
          <cell r="J123">
            <v>6273.3099999999995</v>
          </cell>
          <cell r="K123">
            <v>6355.07</v>
          </cell>
          <cell r="L123">
            <v>6323.13</v>
          </cell>
          <cell r="M123">
            <v>6450.87</v>
          </cell>
          <cell r="N123">
            <v>6578.61</v>
          </cell>
          <cell r="O123">
            <v>6514.74</v>
          </cell>
          <cell r="P123">
            <v>6418.9400000000005</v>
          </cell>
          <cell r="Q123">
            <v>6387.01</v>
          </cell>
          <cell r="R123">
            <v>76249.679999999993</v>
          </cell>
          <cell r="S123">
            <v>48</v>
          </cell>
          <cell r="T123">
            <v>49.75</v>
          </cell>
          <cell r="U123">
            <v>49.75</v>
          </cell>
          <cell r="V123">
            <v>50.5</v>
          </cell>
          <cell r="W123">
            <v>49.788174603174596</v>
          </cell>
          <cell r="X123">
            <v>49.750039142007203</v>
          </cell>
          <cell r="Y123">
            <v>49.5</v>
          </cell>
          <cell r="Z123">
            <v>50.5</v>
          </cell>
          <cell r="AA123">
            <v>51.5</v>
          </cell>
          <cell r="AB123">
            <v>51</v>
          </cell>
          <cell r="AC123">
            <v>50.250039142007211</v>
          </cell>
          <cell r="AD123">
            <v>50.000078284014407</v>
          </cell>
          <cell r="AE123">
            <v>600.28833117120337</v>
          </cell>
        </row>
        <row r="124">
          <cell r="C124" t="str">
            <v>1.5YD CONT 2xWEEKLY</v>
          </cell>
          <cell r="D124">
            <v>252.01</v>
          </cell>
          <cell r="E124">
            <v>255.47</v>
          </cell>
          <cell r="F124">
            <v>504.02</v>
          </cell>
          <cell r="G124">
            <v>504.02</v>
          </cell>
          <cell r="H124">
            <v>504.02</v>
          </cell>
          <cell r="I124">
            <v>504.02</v>
          </cell>
          <cell r="J124">
            <v>504.02</v>
          </cell>
          <cell r="K124">
            <v>510.94</v>
          </cell>
          <cell r="L124">
            <v>510.94</v>
          </cell>
          <cell r="M124">
            <v>510.94</v>
          </cell>
          <cell r="N124">
            <v>510.94</v>
          </cell>
          <cell r="O124">
            <v>510.94</v>
          </cell>
          <cell r="P124">
            <v>510.94</v>
          </cell>
          <cell r="Q124">
            <v>510.94</v>
          </cell>
          <cell r="R124">
            <v>6096.6799999999985</v>
          </cell>
          <cell r="S124">
            <v>2</v>
          </cell>
          <cell r="T124">
            <v>2</v>
          </cell>
          <cell r="U124">
            <v>2</v>
          </cell>
          <cell r="V124">
            <v>2</v>
          </cell>
          <cell r="W124">
            <v>2</v>
          </cell>
          <cell r="X124">
            <v>2</v>
          </cell>
          <cell r="Y124">
            <v>2</v>
          </cell>
          <cell r="Z124">
            <v>2</v>
          </cell>
          <cell r="AA124">
            <v>2</v>
          </cell>
          <cell r="AB124">
            <v>2</v>
          </cell>
          <cell r="AC124">
            <v>2</v>
          </cell>
          <cell r="AD124">
            <v>2</v>
          </cell>
          <cell r="AE124">
            <v>24</v>
          </cell>
        </row>
        <row r="125">
          <cell r="C125" t="str">
            <v>1.5YD CONT 3xWEEKLY</v>
          </cell>
          <cell r="D125">
            <v>378.01</v>
          </cell>
          <cell r="E125">
            <v>383.21</v>
          </cell>
          <cell r="F125">
            <v>378.01</v>
          </cell>
          <cell r="G125">
            <v>378.01</v>
          </cell>
          <cell r="H125">
            <v>378.01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1134.03</v>
          </cell>
          <cell r="S125">
            <v>1</v>
          </cell>
          <cell r="T125">
            <v>1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3</v>
          </cell>
        </row>
        <row r="126">
          <cell r="C126" t="str">
            <v>1.5YD CONT EOW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C127" t="str">
            <v>1.5YD CONTAINER EXTRA</v>
          </cell>
          <cell r="D127">
            <v>31.12</v>
          </cell>
          <cell r="E127">
            <v>31.52</v>
          </cell>
          <cell r="F127">
            <v>0</v>
          </cell>
          <cell r="G127">
            <v>0</v>
          </cell>
          <cell r="H127">
            <v>0</v>
          </cell>
          <cell r="I127">
            <v>31.12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31.12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</v>
          </cell>
        </row>
        <row r="128">
          <cell r="C128" t="str">
            <v>1.5YD TEMP CONTAINER</v>
          </cell>
          <cell r="D128">
            <v>124.48</v>
          </cell>
          <cell r="E128">
            <v>126.08</v>
          </cell>
          <cell r="F128">
            <v>124.48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31.52</v>
          </cell>
          <cell r="M128">
            <v>63.04</v>
          </cell>
          <cell r="N128">
            <v>31.52</v>
          </cell>
          <cell r="O128">
            <v>31.52</v>
          </cell>
          <cell r="P128">
            <v>0</v>
          </cell>
          <cell r="Q128">
            <v>0</v>
          </cell>
          <cell r="R128">
            <v>282.08</v>
          </cell>
          <cell r="S128">
            <v>1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0.25</v>
          </cell>
          <cell r="Z128">
            <v>0.5</v>
          </cell>
          <cell r="AA128">
            <v>0.25</v>
          </cell>
          <cell r="AB128">
            <v>0.25</v>
          </cell>
          <cell r="AC128">
            <v>0</v>
          </cell>
          <cell r="AD128">
            <v>0</v>
          </cell>
          <cell r="AE128">
            <v>2.25</v>
          </cell>
        </row>
        <row r="129">
          <cell r="C129" t="str">
            <v>1YD CONT 1xWEEKLY</v>
          </cell>
          <cell r="D129">
            <v>91.15000000000002</v>
          </cell>
          <cell r="E129">
            <v>92.36</v>
          </cell>
          <cell r="F129">
            <v>22833.09</v>
          </cell>
          <cell r="G129">
            <v>22741.93</v>
          </cell>
          <cell r="H129">
            <v>22842.99</v>
          </cell>
          <cell r="I129">
            <v>22289.64</v>
          </cell>
          <cell r="J129">
            <v>22242.350000000002</v>
          </cell>
          <cell r="K129">
            <v>22836.010000000002</v>
          </cell>
          <cell r="L129">
            <v>22859.1</v>
          </cell>
          <cell r="M129">
            <v>22859.1</v>
          </cell>
          <cell r="N129">
            <v>22957.85</v>
          </cell>
          <cell r="O129">
            <v>22653.05</v>
          </cell>
          <cell r="P129">
            <v>22583.78</v>
          </cell>
          <cell r="Q129">
            <v>22812.92</v>
          </cell>
          <cell r="R129">
            <v>272511.81</v>
          </cell>
          <cell r="S129">
            <v>250.5001645639056</v>
          </cell>
          <cell r="T129">
            <v>249.50005485463515</v>
          </cell>
          <cell r="U129">
            <v>250.60877674163464</v>
          </cell>
          <cell r="V129">
            <v>244.53801426220511</v>
          </cell>
          <cell r="W129">
            <v>244.0191991223258</v>
          </cell>
          <cell r="X129">
            <v>247.25000000000003</v>
          </cell>
          <cell r="Y129">
            <v>247.49999999999997</v>
          </cell>
          <cell r="Z129">
            <v>247.49999999999997</v>
          </cell>
          <cell r="AA129">
            <v>248.5691857947163</v>
          </cell>
          <cell r="AB129">
            <v>245.26905586834127</v>
          </cell>
          <cell r="AC129">
            <v>244.51905586834127</v>
          </cell>
          <cell r="AD129">
            <v>246.99999999999997</v>
          </cell>
          <cell r="AE129">
            <v>2966.773507076105</v>
          </cell>
        </row>
        <row r="130">
          <cell r="C130" t="str">
            <v>1YD CONT 2xWEEKLY</v>
          </cell>
          <cell r="D130">
            <v>182.29</v>
          </cell>
          <cell r="E130">
            <v>184.72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45.57</v>
          </cell>
          <cell r="K130">
            <v>184.72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230.29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0.24998628558889682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1.2499862855888968</v>
          </cell>
        </row>
        <row r="131">
          <cell r="C131" t="str">
            <v>1YD CONT 3xWEEKLY</v>
          </cell>
          <cell r="D131">
            <v>273.44</v>
          </cell>
          <cell r="E131">
            <v>277.08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C132" t="str">
            <v>1YD CONT EOW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C133" t="str">
            <v>1YD CONTAINER EXTRA</v>
          </cell>
          <cell r="D133">
            <v>23.06</v>
          </cell>
          <cell r="E133">
            <v>23.34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70.02</v>
          </cell>
          <cell r="L133">
            <v>70.02</v>
          </cell>
          <cell r="M133">
            <v>167.17</v>
          </cell>
          <cell r="N133">
            <v>97.15</v>
          </cell>
          <cell r="O133">
            <v>46.68</v>
          </cell>
          <cell r="P133">
            <v>70.02</v>
          </cell>
          <cell r="Q133">
            <v>0</v>
          </cell>
          <cell r="R133">
            <v>521.06000000000006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</v>
          </cell>
          <cell r="Y133">
            <v>3</v>
          </cell>
          <cell r="Z133">
            <v>7.1623821765209934</v>
          </cell>
          <cell r="AA133">
            <v>4.1623821765209943</v>
          </cell>
          <cell r="AB133">
            <v>2</v>
          </cell>
          <cell r="AC133">
            <v>3</v>
          </cell>
          <cell r="AD133">
            <v>0</v>
          </cell>
          <cell r="AE133">
            <v>22.324764353041985</v>
          </cell>
        </row>
        <row r="134">
          <cell r="C134" t="str">
            <v>1YD TEMP CONT</v>
          </cell>
          <cell r="D134">
            <v>92.24</v>
          </cell>
          <cell r="E134">
            <v>93.36</v>
          </cell>
          <cell r="F134">
            <v>207.54</v>
          </cell>
          <cell r="G134">
            <v>69.180000000000007</v>
          </cell>
          <cell r="H134">
            <v>0</v>
          </cell>
          <cell r="I134">
            <v>138.36000000000001</v>
          </cell>
          <cell r="J134">
            <v>92.24</v>
          </cell>
          <cell r="K134">
            <v>186.72</v>
          </cell>
          <cell r="L134">
            <v>210.06</v>
          </cell>
          <cell r="M134">
            <v>186.72</v>
          </cell>
          <cell r="N134">
            <v>490.14</v>
          </cell>
          <cell r="O134">
            <v>490.14</v>
          </cell>
          <cell r="P134">
            <v>583.5</v>
          </cell>
          <cell r="Q134">
            <v>186.72</v>
          </cell>
          <cell r="R134">
            <v>2841.3199999999997</v>
          </cell>
          <cell r="S134">
            <v>2.25</v>
          </cell>
          <cell r="T134">
            <v>0.75000000000000011</v>
          </cell>
          <cell r="U134">
            <v>0</v>
          </cell>
          <cell r="V134">
            <v>1.5000000000000002</v>
          </cell>
          <cell r="W134">
            <v>1</v>
          </cell>
          <cell r="X134">
            <v>2</v>
          </cell>
          <cell r="Y134">
            <v>2.25</v>
          </cell>
          <cell r="Z134">
            <v>2</v>
          </cell>
          <cell r="AA134">
            <v>5.25</v>
          </cell>
          <cell r="AB134">
            <v>5.25</v>
          </cell>
          <cell r="AC134">
            <v>6.25</v>
          </cell>
          <cell r="AD134">
            <v>2</v>
          </cell>
          <cell r="AE134">
            <v>30.5</v>
          </cell>
        </row>
        <row r="135">
          <cell r="C135" t="str">
            <v>2YD CONT 1xWEEKLY</v>
          </cell>
          <cell r="D135">
            <v>156.96</v>
          </cell>
          <cell r="E135">
            <v>159.16999999999999</v>
          </cell>
          <cell r="F135">
            <v>46152.22</v>
          </cell>
          <cell r="G135">
            <v>42967.8</v>
          </cell>
          <cell r="H135">
            <v>42850.080000000002</v>
          </cell>
          <cell r="I135">
            <v>42379.200000000004</v>
          </cell>
          <cell r="J135">
            <v>43046.28</v>
          </cell>
          <cell r="K135">
            <v>43180.68</v>
          </cell>
          <cell r="L135">
            <v>43296.439999999995</v>
          </cell>
          <cell r="M135">
            <v>45164.579999999994</v>
          </cell>
          <cell r="N135">
            <v>46885.390000000007</v>
          </cell>
          <cell r="O135">
            <v>47432.65</v>
          </cell>
          <cell r="P135">
            <v>47472.45</v>
          </cell>
          <cell r="Q135">
            <v>46636.81</v>
          </cell>
          <cell r="R135">
            <v>537464.58000000007</v>
          </cell>
          <cell r="S135">
            <v>294.03809887869522</v>
          </cell>
          <cell r="T135">
            <v>273.75</v>
          </cell>
          <cell r="U135">
            <v>273</v>
          </cell>
          <cell r="V135">
            <v>270</v>
          </cell>
          <cell r="W135">
            <v>274.25</v>
          </cell>
          <cell r="X135">
            <v>271.28654897279642</v>
          </cell>
          <cell r="Y135">
            <v>272.01382170006912</v>
          </cell>
          <cell r="Z135">
            <v>283.75058113966196</v>
          </cell>
          <cell r="AA135">
            <v>294.56172645599054</v>
          </cell>
          <cell r="AB135">
            <v>297.99993717409063</v>
          </cell>
          <cell r="AC135">
            <v>298.24998429352263</v>
          </cell>
          <cell r="AD135">
            <v>293</v>
          </cell>
          <cell r="AE135">
            <v>3395.9006986148261</v>
          </cell>
        </row>
        <row r="136">
          <cell r="C136" t="str">
            <v>2YD CONT 2xWEEKLY</v>
          </cell>
          <cell r="D136">
            <v>313.93</v>
          </cell>
          <cell r="E136">
            <v>318.33999999999997</v>
          </cell>
          <cell r="F136">
            <v>11026.79</v>
          </cell>
          <cell r="G136">
            <v>11458.45</v>
          </cell>
          <cell r="H136">
            <v>11419.210000000001</v>
          </cell>
          <cell r="I136">
            <v>11262.240000000002</v>
          </cell>
          <cell r="J136">
            <v>11379.970000000001</v>
          </cell>
          <cell r="K136">
            <v>11539.83</v>
          </cell>
          <cell r="L136">
            <v>12017.34</v>
          </cell>
          <cell r="M136">
            <v>12057.130000000001</v>
          </cell>
          <cell r="N136">
            <v>12057.130000000001</v>
          </cell>
          <cell r="O136">
            <v>11977.55</v>
          </cell>
          <cell r="P136">
            <v>11805.11</v>
          </cell>
          <cell r="Q136">
            <v>12096.92</v>
          </cell>
          <cell r="R136">
            <v>140097.67000000001</v>
          </cell>
          <cell r="S136">
            <v>35.124996018220628</v>
          </cell>
          <cell r="T136">
            <v>36.500015927117509</v>
          </cell>
          <cell r="U136">
            <v>36.375019908896888</v>
          </cell>
          <cell r="V136">
            <v>35.875003981779379</v>
          </cell>
          <cell r="W136">
            <v>36.250023890676268</v>
          </cell>
          <cell r="X136">
            <v>36.250015706477356</v>
          </cell>
          <cell r="Y136">
            <v>37.750015706477356</v>
          </cell>
          <cell r="Z136">
            <v>37.875007853238685</v>
          </cell>
          <cell r="AA136">
            <v>37.875007853238685</v>
          </cell>
          <cell r="AB136">
            <v>37.625023559716027</v>
          </cell>
          <cell r="AC136">
            <v>37.083338568825788</v>
          </cell>
          <cell r="AD136">
            <v>38</v>
          </cell>
          <cell r="AE136">
            <v>442.58346897466464</v>
          </cell>
        </row>
        <row r="137">
          <cell r="C137" t="str">
            <v>2YD CONT 3xWEEKLY</v>
          </cell>
          <cell r="D137">
            <v>470.89000000000004</v>
          </cell>
          <cell r="E137">
            <v>477.51</v>
          </cell>
          <cell r="F137">
            <v>4708.8999999999996</v>
          </cell>
          <cell r="G137">
            <v>4708.8999999999996</v>
          </cell>
          <cell r="H137">
            <v>4002.57</v>
          </cell>
          <cell r="I137">
            <v>4787.3799999999992</v>
          </cell>
          <cell r="J137">
            <v>5167.7199999999993</v>
          </cell>
          <cell r="K137">
            <v>5252.6100000000006</v>
          </cell>
          <cell r="L137">
            <v>5252.6100000000006</v>
          </cell>
          <cell r="M137">
            <v>5252.6100000000006</v>
          </cell>
          <cell r="N137">
            <v>5491.3700000000008</v>
          </cell>
          <cell r="O137">
            <v>5730.1200000000008</v>
          </cell>
          <cell r="P137">
            <v>5764.23</v>
          </cell>
          <cell r="Q137">
            <v>6008.67</v>
          </cell>
          <cell r="R137">
            <v>62127.69</v>
          </cell>
          <cell r="S137">
            <v>9.9999999999999982</v>
          </cell>
          <cell r="T137">
            <v>9.9999999999999982</v>
          </cell>
          <cell r="U137">
            <v>8.5000106181910837</v>
          </cell>
          <cell r="V137">
            <v>10.166663127269636</v>
          </cell>
          <cell r="W137">
            <v>10.974367686720887</v>
          </cell>
          <cell r="X137">
            <v>11.000000000000002</v>
          </cell>
          <cell r="Y137">
            <v>11.000000000000002</v>
          </cell>
          <cell r="Z137">
            <v>11.000000000000002</v>
          </cell>
          <cell r="AA137">
            <v>11.500010470984902</v>
          </cell>
          <cell r="AB137">
            <v>12.000000000000002</v>
          </cell>
          <cell r="AC137">
            <v>12.071433058993529</v>
          </cell>
          <cell r="AD137">
            <v>12.583338568825784</v>
          </cell>
          <cell r="AE137">
            <v>130.79582353098584</v>
          </cell>
        </row>
        <row r="138">
          <cell r="C138" t="str">
            <v>2YD CONT 4xWEEKLY</v>
          </cell>
          <cell r="D138">
            <v>627.85</v>
          </cell>
          <cell r="E138">
            <v>636.67999999999995</v>
          </cell>
          <cell r="F138">
            <v>627.85</v>
          </cell>
          <cell r="G138">
            <v>627.85</v>
          </cell>
          <cell r="H138">
            <v>627.85</v>
          </cell>
          <cell r="I138">
            <v>627.85</v>
          </cell>
          <cell r="J138">
            <v>627.85</v>
          </cell>
          <cell r="K138">
            <v>636.67999999999995</v>
          </cell>
          <cell r="L138">
            <v>636.67999999999995</v>
          </cell>
          <cell r="M138">
            <v>636.67999999999995</v>
          </cell>
          <cell r="N138">
            <v>636.67999999999995</v>
          </cell>
          <cell r="O138">
            <v>636.67999999999995</v>
          </cell>
          <cell r="P138">
            <v>636.67999999999995</v>
          </cell>
          <cell r="Q138">
            <v>636.67999999999995</v>
          </cell>
          <cell r="R138">
            <v>7596.0100000000011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12</v>
          </cell>
        </row>
        <row r="139">
          <cell r="C139" t="str">
            <v>2YD CONT 5xWEEKLY</v>
          </cell>
          <cell r="D139">
            <v>784.81</v>
          </cell>
          <cell r="E139">
            <v>795.85</v>
          </cell>
          <cell r="F139">
            <v>3924.0499999999997</v>
          </cell>
          <cell r="G139">
            <v>3924.0499999999997</v>
          </cell>
          <cell r="H139">
            <v>3924.0499999999997</v>
          </cell>
          <cell r="I139">
            <v>3924.0499999999997</v>
          </cell>
          <cell r="J139">
            <v>3924.0499999999997</v>
          </cell>
          <cell r="K139">
            <v>3979.25</v>
          </cell>
          <cell r="L139">
            <v>3979.25</v>
          </cell>
          <cell r="M139">
            <v>3979.25</v>
          </cell>
          <cell r="N139">
            <v>3979.25</v>
          </cell>
          <cell r="O139">
            <v>3979.25</v>
          </cell>
          <cell r="P139">
            <v>3183.4</v>
          </cell>
          <cell r="Q139">
            <v>3183.4</v>
          </cell>
          <cell r="R139">
            <v>45883.3</v>
          </cell>
          <cell r="S139">
            <v>5</v>
          </cell>
          <cell r="T139">
            <v>5</v>
          </cell>
          <cell r="U139">
            <v>5</v>
          </cell>
          <cell r="V139">
            <v>5</v>
          </cell>
          <cell r="W139">
            <v>5</v>
          </cell>
          <cell r="X139">
            <v>5</v>
          </cell>
          <cell r="Y139">
            <v>5</v>
          </cell>
          <cell r="Z139">
            <v>5</v>
          </cell>
          <cell r="AA139">
            <v>5</v>
          </cell>
          <cell r="AB139">
            <v>5</v>
          </cell>
          <cell r="AC139">
            <v>4</v>
          </cell>
          <cell r="AD139">
            <v>4</v>
          </cell>
          <cell r="AE139">
            <v>58</v>
          </cell>
        </row>
        <row r="140">
          <cell r="C140" t="str">
            <v>2YD CONT EOW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C141" t="str">
            <v>2YD CONTAINER EXTRA</v>
          </cell>
          <cell r="D141">
            <v>38.26</v>
          </cell>
          <cell r="E141">
            <v>38.770000000000003</v>
          </cell>
          <cell r="F141">
            <v>38.26</v>
          </cell>
          <cell r="G141">
            <v>229.56</v>
          </cell>
          <cell r="H141">
            <v>76.52</v>
          </cell>
          <cell r="I141">
            <v>191.3</v>
          </cell>
          <cell r="J141">
            <v>229.56</v>
          </cell>
          <cell r="K141">
            <v>116.31</v>
          </cell>
          <cell r="L141">
            <v>38.770000000000003</v>
          </cell>
          <cell r="M141">
            <v>232.62</v>
          </cell>
          <cell r="N141">
            <v>38.770000000000003</v>
          </cell>
          <cell r="O141">
            <v>116.31</v>
          </cell>
          <cell r="P141">
            <v>681.82999999999993</v>
          </cell>
          <cell r="Q141">
            <v>0</v>
          </cell>
          <cell r="R141">
            <v>1989.81</v>
          </cell>
          <cell r="S141">
            <v>1</v>
          </cell>
          <cell r="T141">
            <v>6</v>
          </cell>
          <cell r="U141">
            <v>2</v>
          </cell>
          <cell r="V141">
            <v>5.0000000000000009</v>
          </cell>
          <cell r="W141">
            <v>6</v>
          </cell>
          <cell r="X141">
            <v>3</v>
          </cell>
          <cell r="Y141">
            <v>1</v>
          </cell>
          <cell r="Z141">
            <v>6</v>
          </cell>
          <cell r="AA141">
            <v>1</v>
          </cell>
          <cell r="AB141">
            <v>3</v>
          </cell>
          <cell r="AC141">
            <v>17.586535981428938</v>
          </cell>
          <cell r="AD141">
            <v>0</v>
          </cell>
          <cell r="AE141">
            <v>51.586535981428938</v>
          </cell>
        </row>
        <row r="142">
          <cell r="C142" t="str">
            <v>2YD TEMP CONTAINER</v>
          </cell>
          <cell r="D142">
            <v>153.04</v>
          </cell>
          <cell r="E142">
            <v>155.08000000000001</v>
          </cell>
          <cell r="F142">
            <v>1186.06</v>
          </cell>
          <cell r="G142">
            <v>726.93999999999994</v>
          </cell>
          <cell r="H142">
            <v>918.24</v>
          </cell>
          <cell r="I142">
            <v>1300.8399999999999</v>
          </cell>
          <cell r="J142">
            <v>612.16</v>
          </cell>
          <cell r="K142">
            <v>424.94</v>
          </cell>
          <cell r="L142">
            <v>1473.2600000000002</v>
          </cell>
          <cell r="M142">
            <v>1240.6399999999999</v>
          </cell>
          <cell r="N142">
            <v>1822.19</v>
          </cell>
          <cell r="O142">
            <v>1240.6399999999999</v>
          </cell>
          <cell r="P142">
            <v>1046.79</v>
          </cell>
          <cell r="Q142">
            <v>1822.1899999999998</v>
          </cell>
          <cell r="R142">
            <v>13814.890000000001</v>
          </cell>
          <cell r="S142">
            <v>7.75</v>
          </cell>
          <cell r="T142">
            <v>4.75</v>
          </cell>
          <cell r="U142">
            <v>6</v>
          </cell>
          <cell r="V142">
            <v>8.5</v>
          </cell>
          <cell r="W142">
            <v>4</v>
          </cell>
          <cell r="X142">
            <v>2.74013412432293</v>
          </cell>
          <cell r="Y142">
            <v>9.5</v>
          </cell>
          <cell r="Z142">
            <v>7.9999999999999982</v>
          </cell>
          <cell r="AA142">
            <v>11.75</v>
          </cell>
          <cell r="AB142">
            <v>7.9999999999999982</v>
          </cell>
          <cell r="AC142">
            <v>6.7499999999999991</v>
          </cell>
          <cell r="AD142">
            <v>11.749999999999998</v>
          </cell>
          <cell r="AE142">
            <v>89.490134124322921</v>
          </cell>
        </row>
        <row r="143">
          <cell r="C143" t="str">
            <v>SERVICE ADJ-COMMERCIAL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-1.25</v>
          </cell>
          <cell r="M143">
            <v>0</v>
          </cell>
          <cell r="N143">
            <v>0</v>
          </cell>
          <cell r="O143">
            <v>-20.74</v>
          </cell>
          <cell r="P143">
            <v>0</v>
          </cell>
          <cell r="Q143">
            <v>0</v>
          </cell>
          <cell r="R143">
            <v>-21.99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C144" t="str">
            <v>CMML CONNECT/RECONNECT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C145" t="str">
            <v>CONTAINER DELIVERY CHARGE</v>
          </cell>
          <cell r="D145">
            <v>39.42</v>
          </cell>
          <cell r="E145">
            <v>39.42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C146" t="str">
            <v>EXTRA CANS</v>
          </cell>
          <cell r="D146">
            <v>4.26</v>
          </cell>
          <cell r="E146">
            <v>4.3099999999999996</v>
          </cell>
          <cell r="F146">
            <v>1797.7199999999998</v>
          </cell>
          <cell r="G146">
            <v>417.38</v>
          </cell>
          <cell r="H146">
            <v>719.94</v>
          </cell>
          <cell r="I146">
            <v>677.33999999999992</v>
          </cell>
          <cell r="J146">
            <v>596.4</v>
          </cell>
          <cell r="K146">
            <v>896.13</v>
          </cell>
          <cell r="L146">
            <v>884.54</v>
          </cell>
          <cell r="M146">
            <v>1280.0700000000002</v>
          </cell>
          <cell r="N146">
            <v>668.05</v>
          </cell>
          <cell r="O146">
            <v>913.72</v>
          </cell>
          <cell r="P146">
            <v>1068.8800000000001</v>
          </cell>
          <cell r="Q146">
            <v>702.53</v>
          </cell>
          <cell r="R146">
            <v>10622.700000000003</v>
          </cell>
          <cell r="S146">
            <v>422</v>
          </cell>
          <cell r="T146">
            <v>97.976525821596255</v>
          </cell>
          <cell r="U146">
            <v>169.00000000000003</v>
          </cell>
          <cell r="V146">
            <v>159</v>
          </cell>
          <cell r="W146">
            <v>140</v>
          </cell>
          <cell r="X146">
            <v>207.91879350348029</v>
          </cell>
          <cell r="Y146">
            <v>205.22969837587007</v>
          </cell>
          <cell r="Z146">
            <v>297.00000000000006</v>
          </cell>
          <cell r="AA146">
            <v>155</v>
          </cell>
          <cell r="AB146">
            <v>212.00000000000003</v>
          </cell>
          <cell r="AC146">
            <v>248.00000000000006</v>
          </cell>
          <cell r="AD146">
            <v>163</v>
          </cell>
          <cell r="AE146">
            <v>2476.125017700947</v>
          </cell>
        </row>
        <row r="147">
          <cell r="C147" t="str">
            <v>CMML EXTRA YARDAGE</v>
          </cell>
          <cell r="D147">
            <v>23.100000000000005</v>
          </cell>
          <cell r="E147">
            <v>23.3</v>
          </cell>
          <cell r="F147">
            <v>5751.9</v>
          </cell>
          <cell r="G147">
            <v>2691.1499999999996</v>
          </cell>
          <cell r="H147">
            <v>3326.4</v>
          </cell>
          <cell r="I147">
            <v>2298.4499999999998</v>
          </cell>
          <cell r="J147">
            <v>3429.24</v>
          </cell>
          <cell r="K147">
            <v>5005.8999999999996</v>
          </cell>
          <cell r="L147">
            <v>3658.1000000000004</v>
          </cell>
          <cell r="M147">
            <v>5289.1</v>
          </cell>
          <cell r="N147">
            <v>7059.9000000000005</v>
          </cell>
          <cell r="O147">
            <v>6558.95</v>
          </cell>
          <cell r="P147">
            <v>8556.89</v>
          </cell>
          <cell r="Q147">
            <v>5079.3999999999996</v>
          </cell>
          <cell r="R147">
            <v>58705.38</v>
          </cell>
          <cell r="S147">
            <v>248.99999999999994</v>
          </cell>
          <cell r="T147">
            <v>116.49999999999996</v>
          </cell>
          <cell r="U147">
            <v>143.99999999999997</v>
          </cell>
          <cell r="V147">
            <v>99.499999999999972</v>
          </cell>
          <cell r="W147">
            <v>148.45194805194802</v>
          </cell>
          <cell r="X147">
            <v>214.84549356223172</v>
          </cell>
          <cell r="Y147">
            <v>157</v>
          </cell>
          <cell r="Z147">
            <v>227</v>
          </cell>
          <cell r="AA147">
            <v>303</v>
          </cell>
          <cell r="AB147">
            <v>281.5</v>
          </cell>
          <cell r="AC147">
            <v>367.24849785407724</v>
          </cell>
          <cell r="AD147">
            <v>217.99999999999997</v>
          </cell>
          <cell r="AE147">
            <v>2526.0459394682571</v>
          </cell>
        </row>
        <row r="148">
          <cell r="C148" t="str">
            <v>LOCK CHARGE-CONTAINER</v>
          </cell>
          <cell r="D148">
            <v>4.37</v>
          </cell>
          <cell r="E148">
            <v>4.37</v>
          </cell>
          <cell r="F148">
            <v>48.03</v>
          </cell>
          <cell r="G148">
            <v>48.03</v>
          </cell>
          <cell r="H148">
            <v>48.03</v>
          </cell>
          <cell r="I148">
            <v>49.120000000000005</v>
          </cell>
          <cell r="J148">
            <v>54.59</v>
          </cell>
          <cell r="K148">
            <v>61.18</v>
          </cell>
          <cell r="L148">
            <v>65.55</v>
          </cell>
          <cell r="M148">
            <v>66.64</v>
          </cell>
          <cell r="N148">
            <v>74.289999999999992</v>
          </cell>
          <cell r="O148">
            <v>87.41</v>
          </cell>
          <cell r="P148">
            <v>99.42</v>
          </cell>
          <cell r="Q148">
            <v>104.88</v>
          </cell>
          <cell r="R148">
            <v>807.17</v>
          </cell>
          <cell r="S148">
            <v>10.990846681922196</v>
          </cell>
          <cell r="T148">
            <v>10.990846681922196</v>
          </cell>
          <cell r="U148">
            <v>10.990846681922196</v>
          </cell>
          <cell r="V148">
            <v>11.240274599542335</v>
          </cell>
          <cell r="W148">
            <v>12.491990846681922</v>
          </cell>
          <cell r="X148">
            <v>14</v>
          </cell>
          <cell r="Y148">
            <v>14.999999999999998</v>
          </cell>
          <cell r="Z148">
            <v>15.249427917620137</v>
          </cell>
          <cell r="AA148">
            <v>16.999999999999996</v>
          </cell>
          <cell r="AB148">
            <v>20.002288329519448</v>
          </cell>
          <cell r="AC148">
            <v>22.750572082379861</v>
          </cell>
          <cell r="AD148">
            <v>24</v>
          </cell>
          <cell r="AE148">
            <v>184.70709382151028</v>
          </cell>
        </row>
        <row r="149">
          <cell r="C149" t="str">
            <v>ROLLOUT CHARGE - CMML</v>
          </cell>
          <cell r="D149">
            <v>15.72</v>
          </cell>
          <cell r="E149">
            <v>15.72</v>
          </cell>
          <cell r="F149">
            <v>1007.2900000000001</v>
          </cell>
          <cell r="G149">
            <v>779.61</v>
          </cell>
          <cell r="H149">
            <v>1050.52</v>
          </cell>
          <cell r="I149">
            <v>1066.24</v>
          </cell>
          <cell r="J149">
            <v>1062.94</v>
          </cell>
          <cell r="K149">
            <v>1019.0799999999999</v>
          </cell>
          <cell r="L149">
            <v>1058.3800000000001</v>
          </cell>
          <cell r="M149">
            <v>1015.15</v>
          </cell>
          <cell r="N149">
            <v>1003.36</v>
          </cell>
          <cell r="O149">
            <v>999.43</v>
          </cell>
          <cell r="P149">
            <v>1003.36</v>
          </cell>
          <cell r="Q149">
            <v>1011.22</v>
          </cell>
          <cell r="R149">
            <v>12076.58</v>
          </cell>
          <cell r="S149">
            <v>64.076972010178125</v>
          </cell>
          <cell r="T149">
            <v>49.593511450381676</v>
          </cell>
          <cell r="U149">
            <v>66.82697201017811</v>
          </cell>
          <cell r="V149">
            <v>67.82697201017811</v>
          </cell>
          <cell r="W149">
            <v>67.617048346055981</v>
          </cell>
          <cell r="X149">
            <v>64.82697201017811</v>
          </cell>
          <cell r="Y149">
            <v>67.326972010178125</v>
          </cell>
          <cell r="Z149">
            <v>64.57697201017811</v>
          </cell>
          <cell r="AA149">
            <v>63.826972010178118</v>
          </cell>
          <cell r="AB149">
            <v>63.57697201017811</v>
          </cell>
          <cell r="AC149">
            <v>63.826972010178118</v>
          </cell>
          <cell r="AD149">
            <v>64.32697201017811</v>
          </cell>
          <cell r="AE149">
            <v>768.23027989821878</v>
          </cell>
        </row>
        <row r="150">
          <cell r="C150" t="str">
            <v>TEMP CONTAINER DELIVERY</v>
          </cell>
          <cell r="D150">
            <v>39.42</v>
          </cell>
          <cell r="E150">
            <v>39.42</v>
          </cell>
          <cell r="F150">
            <v>748.98</v>
          </cell>
          <cell r="G150">
            <v>354.78000000000003</v>
          </cell>
          <cell r="H150">
            <v>433.62</v>
          </cell>
          <cell r="I150">
            <v>630.71999999999991</v>
          </cell>
          <cell r="J150">
            <v>236.51999999999998</v>
          </cell>
          <cell r="K150">
            <v>473.04</v>
          </cell>
          <cell r="L150">
            <v>748.98</v>
          </cell>
          <cell r="M150">
            <v>1064.3400000000001</v>
          </cell>
          <cell r="N150">
            <v>670.14</v>
          </cell>
          <cell r="O150">
            <v>906.66</v>
          </cell>
          <cell r="P150">
            <v>788.4</v>
          </cell>
          <cell r="Q150">
            <v>867.24</v>
          </cell>
          <cell r="R150">
            <v>7923.4199999999992</v>
          </cell>
          <cell r="S150">
            <v>19</v>
          </cell>
          <cell r="T150">
            <v>9</v>
          </cell>
          <cell r="U150">
            <v>11</v>
          </cell>
          <cell r="V150">
            <v>15.999999999999996</v>
          </cell>
          <cell r="W150">
            <v>5.9999999999999991</v>
          </cell>
          <cell r="X150">
            <v>12</v>
          </cell>
          <cell r="Y150">
            <v>19</v>
          </cell>
          <cell r="Z150">
            <v>27.000000000000004</v>
          </cell>
          <cell r="AA150">
            <v>17</v>
          </cell>
          <cell r="AB150">
            <v>22.999999999999996</v>
          </cell>
          <cell r="AC150">
            <v>20</v>
          </cell>
          <cell r="AD150">
            <v>22</v>
          </cell>
          <cell r="AE150">
            <v>201</v>
          </cell>
        </row>
        <row r="151">
          <cell r="C151" t="str">
            <v>RETURN TRIP CHARGE - CONT</v>
          </cell>
          <cell r="D151">
            <v>15.53</v>
          </cell>
          <cell r="E151">
            <v>15.53</v>
          </cell>
          <cell r="F151">
            <v>117.03</v>
          </cell>
          <cell r="G151">
            <v>108.71000000000001</v>
          </cell>
          <cell r="H151">
            <v>77.650000000000006</v>
          </cell>
          <cell r="I151">
            <v>108.71000000000001</v>
          </cell>
          <cell r="J151">
            <v>139.76999999999998</v>
          </cell>
          <cell r="K151">
            <v>217.42000000000002</v>
          </cell>
          <cell r="L151">
            <v>108.71000000000001</v>
          </cell>
          <cell r="M151">
            <v>186.36</v>
          </cell>
          <cell r="N151">
            <v>186.36</v>
          </cell>
          <cell r="O151">
            <v>250.33</v>
          </cell>
          <cell r="P151">
            <v>170.88</v>
          </cell>
          <cell r="Q151">
            <v>124.24</v>
          </cell>
          <cell r="R151">
            <v>1796.1700000000003</v>
          </cell>
          <cell r="S151">
            <v>7.5357372826786868</v>
          </cell>
          <cell r="T151">
            <v>7.0000000000000009</v>
          </cell>
          <cell r="U151">
            <v>5.0000000000000009</v>
          </cell>
          <cell r="V151">
            <v>7.0000000000000009</v>
          </cell>
          <cell r="W151">
            <v>9</v>
          </cell>
          <cell r="X151">
            <v>14.000000000000002</v>
          </cell>
          <cell r="Y151">
            <v>7.0000000000000009</v>
          </cell>
          <cell r="Z151">
            <v>12.000000000000002</v>
          </cell>
          <cell r="AA151">
            <v>12.000000000000002</v>
          </cell>
          <cell r="AB151">
            <v>16.119124275595624</v>
          </cell>
          <cell r="AC151">
            <v>11.003219575016098</v>
          </cell>
          <cell r="AD151">
            <v>8</v>
          </cell>
          <cell r="AE151">
            <v>115.65808113329042</v>
          </cell>
        </row>
        <row r="152">
          <cell r="C152" t="str">
            <v>COMM UNLOCK GATE OR CONT</v>
          </cell>
          <cell r="D152">
            <v>4.37</v>
          </cell>
          <cell r="E152">
            <v>4.37</v>
          </cell>
          <cell r="F152">
            <v>8.74</v>
          </cell>
          <cell r="G152">
            <v>12.74</v>
          </cell>
          <cell r="H152">
            <v>12.74</v>
          </cell>
          <cell r="I152">
            <v>12.74</v>
          </cell>
          <cell r="J152">
            <v>12.74</v>
          </cell>
          <cell r="K152">
            <v>8.74</v>
          </cell>
          <cell r="L152">
            <v>8.74</v>
          </cell>
          <cell r="M152">
            <v>10.93</v>
          </cell>
          <cell r="N152">
            <v>13.11</v>
          </cell>
          <cell r="O152">
            <v>14.12</v>
          </cell>
          <cell r="P152">
            <v>13.11</v>
          </cell>
          <cell r="Q152">
            <v>13.11</v>
          </cell>
          <cell r="R152">
            <v>141.56</v>
          </cell>
          <cell r="S152">
            <v>2</v>
          </cell>
          <cell r="T152">
            <v>2.9153318077803205</v>
          </cell>
          <cell r="U152">
            <v>2.9153318077803205</v>
          </cell>
          <cell r="V152">
            <v>2.9153318077803205</v>
          </cell>
          <cell r="W152">
            <v>2.9153318077803205</v>
          </cell>
          <cell r="X152">
            <v>2</v>
          </cell>
          <cell r="Y152">
            <v>2</v>
          </cell>
          <cell r="Z152">
            <v>2.5011441647597255</v>
          </cell>
          <cell r="AA152">
            <v>3</v>
          </cell>
          <cell r="AB152">
            <v>3.2311212814645307</v>
          </cell>
          <cell r="AC152">
            <v>3</v>
          </cell>
          <cell r="AD152">
            <v>3</v>
          </cell>
          <cell r="AE152">
            <v>32.393592677345538</v>
          </cell>
        </row>
        <row r="153">
          <cell r="C153" t="str">
            <v>DRIVE IN DRIVEWAY - COMM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48.2</v>
          </cell>
          <cell r="O153">
            <v>48.2</v>
          </cell>
          <cell r="P153">
            <v>48.2</v>
          </cell>
          <cell r="Q153">
            <v>48.2</v>
          </cell>
          <cell r="R153">
            <v>192.8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C154" t="str">
            <v>DRIVE IN PRIVATE RD - COMM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C155" t="str">
            <v>DRIVE IN - CMML</v>
          </cell>
          <cell r="D155">
            <v>4.68</v>
          </cell>
          <cell r="E155">
            <v>4.68</v>
          </cell>
          <cell r="F155">
            <v>46.8</v>
          </cell>
          <cell r="G155">
            <v>46.8</v>
          </cell>
          <cell r="H155">
            <v>46.8</v>
          </cell>
          <cell r="I155">
            <v>46.8</v>
          </cell>
          <cell r="J155">
            <v>46.8</v>
          </cell>
          <cell r="K155">
            <v>46.8</v>
          </cell>
          <cell r="L155">
            <v>46.8</v>
          </cell>
          <cell r="M155">
            <v>46.8</v>
          </cell>
          <cell r="N155">
            <v>46.8</v>
          </cell>
          <cell r="O155">
            <v>42.12</v>
          </cell>
          <cell r="P155">
            <v>42.12</v>
          </cell>
          <cell r="Q155">
            <v>42.12</v>
          </cell>
          <cell r="R155">
            <v>547.56000000000006</v>
          </cell>
          <cell r="S155">
            <v>10</v>
          </cell>
          <cell r="T155">
            <v>10</v>
          </cell>
          <cell r="U155">
            <v>10</v>
          </cell>
          <cell r="V155">
            <v>10</v>
          </cell>
          <cell r="W155">
            <v>10</v>
          </cell>
          <cell r="X155">
            <v>10</v>
          </cell>
          <cell r="Y155">
            <v>10</v>
          </cell>
          <cell r="Z155">
            <v>10</v>
          </cell>
          <cell r="AA155">
            <v>10</v>
          </cell>
          <cell r="AB155">
            <v>9</v>
          </cell>
          <cell r="AC155">
            <v>9</v>
          </cell>
          <cell r="AD155">
            <v>9</v>
          </cell>
          <cell r="AE155">
            <v>117</v>
          </cell>
        </row>
        <row r="156">
          <cell r="C156" t="str">
            <v>CMML TIME CHARGE</v>
          </cell>
          <cell r="D156">
            <v>0</v>
          </cell>
          <cell r="E156">
            <v>0</v>
          </cell>
          <cell r="F156">
            <v>95.95</v>
          </cell>
          <cell r="G156">
            <v>0</v>
          </cell>
          <cell r="H156">
            <v>3877.31</v>
          </cell>
          <cell r="I156">
            <v>25.63</v>
          </cell>
          <cell r="J156">
            <v>550.99</v>
          </cell>
          <cell r="K156">
            <v>5957.17</v>
          </cell>
          <cell r="L156">
            <v>3471.53</v>
          </cell>
          <cell r="M156">
            <v>5992.8099999999995</v>
          </cell>
          <cell r="N156">
            <v>4198.68</v>
          </cell>
          <cell r="O156">
            <v>1526.18</v>
          </cell>
          <cell r="P156">
            <v>3511.06</v>
          </cell>
          <cell r="Q156">
            <v>3719.32</v>
          </cell>
          <cell r="R156">
            <v>32926.630000000005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</row>
        <row r="157">
          <cell r="R157">
            <v>0</v>
          </cell>
        </row>
      </sheetData>
      <sheetData sheetId="6">
        <row r="87">
          <cell r="C87" t="str">
            <v>1-20 GAL CART WKLY</v>
          </cell>
          <cell r="D87">
            <v>14.93</v>
          </cell>
          <cell r="E87">
            <v>15.45</v>
          </cell>
          <cell r="F87">
            <v>14.93</v>
          </cell>
          <cell r="G87">
            <v>15.31</v>
          </cell>
          <cell r="H87">
            <v>15.31</v>
          </cell>
          <cell r="I87">
            <v>15.31</v>
          </cell>
          <cell r="J87">
            <v>15.31</v>
          </cell>
          <cell r="K87">
            <v>15.45</v>
          </cell>
          <cell r="L87">
            <v>15.45</v>
          </cell>
          <cell r="M87">
            <v>15.45</v>
          </cell>
          <cell r="N87">
            <v>15.45</v>
          </cell>
          <cell r="O87">
            <v>15.45</v>
          </cell>
          <cell r="P87">
            <v>15.45</v>
          </cell>
          <cell r="Q87">
            <v>30.9</v>
          </cell>
          <cell r="R87">
            <v>199.76999999999998</v>
          </cell>
          <cell r="S87">
            <v>1</v>
          </cell>
          <cell r="T87">
            <v>1.0254521098459477</v>
          </cell>
          <cell r="U87">
            <v>1.0254521098459477</v>
          </cell>
          <cell r="V87">
            <v>1.0254521098459477</v>
          </cell>
          <cell r="W87">
            <v>1.0254521098459477</v>
          </cell>
          <cell r="X87">
            <v>1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2</v>
          </cell>
          <cell r="AE87">
            <v>13.101808439383792</v>
          </cell>
        </row>
        <row r="88">
          <cell r="C88" t="str">
            <v>1-35 GAL CART WKLY</v>
          </cell>
          <cell r="D88">
            <v>18.55</v>
          </cell>
          <cell r="E88">
            <v>19.260000000000002</v>
          </cell>
          <cell r="F88">
            <v>955.34</v>
          </cell>
          <cell r="G88">
            <v>970.05</v>
          </cell>
          <cell r="H88">
            <v>946.26</v>
          </cell>
          <cell r="I88">
            <v>913.45</v>
          </cell>
          <cell r="J88">
            <v>922.95</v>
          </cell>
          <cell r="K88">
            <v>943.74</v>
          </cell>
          <cell r="L88">
            <v>924.48</v>
          </cell>
          <cell r="M88">
            <v>895.6</v>
          </cell>
          <cell r="N88">
            <v>885.96</v>
          </cell>
          <cell r="O88">
            <v>876.33</v>
          </cell>
          <cell r="P88">
            <v>876.33</v>
          </cell>
          <cell r="Q88">
            <v>1016.09</v>
          </cell>
          <cell r="R88">
            <v>11126.579999999998</v>
          </cell>
          <cell r="S88">
            <v>51.50080862533693</v>
          </cell>
          <cell r="T88">
            <v>52.293800539083556</v>
          </cell>
          <cell r="U88">
            <v>51.011320754716976</v>
          </cell>
          <cell r="V88">
            <v>49.242587601078171</v>
          </cell>
          <cell r="W88">
            <v>49.754716981132077</v>
          </cell>
          <cell r="X88">
            <v>49</v>
          </cell>
          <cell r="Y88">
            <v>48</v>
          </cell>
          <cell r="Z88">
            <v>46.500519210799581</v>
          </cell>
          <cell r="AA88">
            <v>46</v>
          </cell>
          <cell r="AB88">
            <v>45.5</v>
          </cell>
          <cell r="AC88">
            <v>45.5</v>
          </cell>
          <cell r="AD88">
            <v>52.756490134994806</v>
          </cell>
          <cell r="AE88">
            <v>587.06024384714203</v>
          </cell>
        </row>
        <row r="89">
          <cell r="C89" t="str">
            <v>1-65 GAL CART WKLY</v>
          </cell>
          <cell r="D89">
            <v>27.8</v>
          </cell>
          <cell r="E89">
            <v>28.83</v>
          </cell>
          <cell r="F89">
            <v>778.4</v>
          </cell>
          <cell r="G89">
            <v>762.64</v>
          </cell>
          <cell r="H89">
            <v>819.66</v>
          </cell>
          <cell r="I89">
            <v>855.3</v>
          </cell>
          <cell r="J89">
            <v>826.79</v>
          </cell>
          <cell r="K89">
            <v>836.07</v>
          </cell>
          <cell r="L89">
            <v>893.73</v>
          </cell>
          <cell r="M89">
            <v>922.56</v>
          </cell>
          <cell r="N89">
            <v>951.39</v>
          </cell>
          <cell r="O89">
            <v>987.43</v>
          </cell>
          <cell r="P89">
            <v>1016.27</v>
          </cell>
          <cell r="Q89">
            <v>1095.54</v>
          </cell>
          <cell r="R89">
            <v>10745.779999999999</v>
          </cell>
          <cell r="S89">
            <v>28</v>
          </cell>
          <cell r="T89">
            <v>27.433093525179856</v>
          </cell>
          <cell r="U89">
            <v>29.484172661870502</v>
          </cell>
          <cell r="V89">
            <v>30.766187050359711</v>
          </cell>
          <cell r="W89">
            <v>29.740647482014385</v>
          </cell>
          <cell r="X89">
            <v>29.000000000000004</v>
          </cell>
          <cell r="Y89">
            <v>31.000000000000004</v>
          </cell>
          <cell r="Z89">
            <v>32</v>
          </cell>
          <cell r="AA89">
            <v>33</v>
          </cell>
          <cell r="AB89">
            <v>34.250086715227191</v>
          </cell>
          <cell r="AC89">
            <v>35.250433576135968</v>
          </cell>
          <cell r="AD89">
            <v>38</v>
          </cell>
          <cell r="AE89">
            <v>377.92462101078763</v>
          </cell>
        </row>
        <row r="90">
          <cell r="C90" t="str">
            <v>1-95 GAL CART WKLY</v>
          </cell>
          <cell r="D90">
            <v>38.89</v>
          </cell>
          <cell r="E90">
            <v>40.35</v>
          </cell>
          <cell r="F90">
            <v>583.35</v>
          </cell>
          <cell r="G90">
            <v>637.09</v>
          </cell>
          <cell r="H90">
            <v>676.97</v>
          </cell>
          <cell r="I90">
            <v>677.96</v>
          </cell>
          <cell r="J90">
            <v>677.96</v>
          </cell>
          <cell r="K90">
            <v>685.95</v>
          </cell>
          <cell r="L90">
            <v>605.25</v>
          </cell>
          <cell r="M90">
            <v>766.68</v>
          </cell>
          <cell r="N90">
            <v>655.69</v>
          </cell>
          <cell r="O90">
            <v>675.86</v>
          </cell>
          <cell r="P90">
            <v>726.31</v>
          </cell>
          <cell r="Q90">
            <v>766.65</v>
          </cell>
          <cell r="R90">
            <v>8135.7199999999993</v>
          </cell>
          <cell r="S90">
            <v>15</v>
          </cell>
          <cell r="T90">
            <v>16.381846232964772</v>
          </cell>
          <cell r="U90">
            <v>17.407302648495758</v>
          </cell>
          <cell r="V90">
            <v>17.432759064026744</v>
          </cell>
          <cell r="W90">
            <v>17.432759064026744</v>
          </cell>
          <cell r="X90">
            <v>17</v>
          </cell>
          <cell r="Y90">
            <v>15</v>
          </cell>
          <cell r="Z90">
            <v>19.000743494423791</v>
          </cell>
          <cell r="AA90">
            <v>16.250061957868649</v>
          </cell>
          <cell r="AB90">
            <v>16.749938042131351</v>
          </cell>
          <cell r="AC90">
            <v>18.000247831474596</v>
          </cell>
          <cell r="AD90">
            <v>19</v>
          </cell>
          <cell r="AE90">
            <v>204.6556583354124</v>
          </cell>
        </row>
        <row r="91">
          <cell r="C91" t="str">
            <v>1.5YD CONT 1X WEEKLY</v>
          </cell>
          <cell r="D91">
            <v>126</v>
          </cell>
          <cell r="E91">
            <v>127.74</v>
          </cell>
          <cell r="F91">
            <v>126</v>
          </cell>
          <cell r="G91">
            <v>126</v>
          </cell>
          <cell r="H91">
            <v>126</v>
          </cell>
          <cell r="I91">
            <v>126</v>
          </cell>
          <cell r="J91">
            <v>126</v>
          </cell>
          <cell r="K91">
            <v>127.74</v>
          </cell>
          <cell r="L91">
            <v>127.74</v>
          </cell>
          <cell r="M91">
            <v>127.74</v>
          </cell>
          <cell r="N91">
            <v>127.74</v>
          </cell>
          <cell r="O91">
            <v>127.74</v>
          </cell>
          <cell r="P91">
            <v>127.74</v>
          </cell>
          <cell r="Q91">
            <v>127.74</v>
          </cell>
          <cell r="R91">
            <v>1524.18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12</v>
          </cell>
        </row>
        <row r="92">
          <cell r="C92" t="str">
            <v>1YD CONT 1X WEEKLY</v>
          </cell>
          <cell r="D92">
            <v>91.15</v>
          </cell>
          <cell r="E92">
            <v>92.36</v>
          </cell>
          <cell r="F92">
            <v>91.15</v>
          </cell>
          <cell r="G92">
            <v>91.15</v>
          </cell>
          <cell r="H92">
            <v>91.15</v>
          </cell>
          <cell r="I92">
            <v>91.15</v>
          </cell>
          <cell r="J92">
            <v>91.15</v>
          </cell>
          <cell r="K92">
            <v>92.36</v>
          </cell>
          <cell r="L92">
            <v>92.36</v>
          </cell>
          <cell r="M92">
            <v>92.36</v>
          </cell>
          <cell r="N92">
            <v>23.09</v>
          </cell>
          <cell r="O92">
            <v>0</v>
          </cell>
          <cell r="P92">
            <v>0</v>
          </cell>
          <cell r="Q92">
            <v>0</v>
          </cell>
          <cell r="R92">
            <v>755.92000000000007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>
            <v>0.25</v>
          </cell>
          <cell r="AB92">
            <v>0</v>
          </cell>
          <cell r="AC92">
            <v>0</v>
          </cell>
          <cell r="AD92">
            <v>0</v>
          </cell>
          <cell r="AE92">
            <v>8.25</v>
          </cell>
        </row>
        <row r="93">
          <cell r="C93" t="str">
            <v>1YD CONT 2X WEEKLY</v>
          </cell>
          <cell r="D93">
            <v>182.29</v>
          </cell>
          <cell r="E93">
            <v>184.72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C94" t="str">
            <v>1YD CONT EXTRA</v>
          </cell>
          <cell r="D94">
            <v>23.06</v>
          </cell>
          <cell r="E94">
            <v>23.34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C95" t="str">
            <v>2YD CONT 1X WEEKLY</v>
          </cell>
          <cell r="D95">
            <v>156.96</v>
          </cell>
          <cell r="E95">
            <v>159.16999999999999</v>
          </cell>
          <cell r="F95">
            <v>941.76</v>
          </cell>
          <cell r="G95">
            <v>941.76</v>
          </cell>
          <cell r="H95">
            <v>941.76</v>
          </cell>
          <cell r="I95">
            <v>941.76</v>
          </cell>
          <cell r="J95">
            <v>941.76</v>
          </cell>
          <cell r="K95">
            <v>994.81</v>
          </cell>
          <cell r="L95">
            <v>1114.19</v>
          </cell>
          <cell r="M95">
            <v>1114.19</v>
          </cell>
          <cell r="N95">
            <v>1114.19</v>
          </cell>
          <cell r="O95">
            <v>1114.19</v>
          </cell>
          <cell r="P95">
            <v>1114.19</v>
          </cell>
          <cell r="Q95">
            <v>1114.19</v>
          </cell>
          <cell r="R95">
            <v>12388.750000000004</v>
          </cell>
          <cell r="S95">
            <v>6</v>
          </cell>
          <cell r="T95">
            <v>6</v>
          </cell>
          <cell r="U95">
            <v>6</v>
          </cell>
          <cell r="V95">
            <v>6</v>
          </cell>
          <cell r="W95">
            <v>6</v>
          </cell>
          <cell r="X95">
            <v>6.2499842935226493</v>
          </cell>
          <cell r="Y95">
            <v>7.0000000000000009</v>
          </cell>
          <cell r="Z95">
            <v>7.0000000000000009</v>
          </cell>
          <cell r="AA95">
            <v>7.0000000000000009</v>
          </cell>
          <cell r="AB95">
            <v>7.0000000000000009</v>
          </cell>
          <cell r="AC95">
            <v>7.0000000000000009</v>
          </cell>
          <cell r="AD95">
            <v>7.0000000000000009</v>
          </cell>
          <cell r="AE95">
            <v>78.249984293522658</v>
          </cell>
        </row>
        <row r="96">
          <cell r="C96" t="str">
            <v>2YD CONT 2X WEEKLY</v>
          </cell>
          <cell r="D96">
            <v>313.93</v>
          </cell>
          <cell r="E96">
            <v>318.33999999999997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C97" t="str">
            <v>2YD CONT 3X WEEKLY</v>
          </cell>
          <cell r="D97">
            <v>470.89</v>
          </cell>
          <cell r="E97">
            <v>477.51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C98" t="str">
            <v>2YD CONT EXTRA</v>
          </cell>
          <cell r="D98">
            <v>38.26</v>
          </cell>
          <cell r="E98">
            <v>38.770000000000003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77.540000000000006</v>
          </cell>
          <cell r="N98">
            <v>0</v>
          </cell>
          <cell r="O98">
            <v>0</v>
          </cell>
          <cell r="P98">
            <v>38.770000000000003</v>
          </cell>
          <cell r="Q98">
            <v>38.770000000000003</v>
          </cell>
          <cell r="R98">
            <v>155.08000000000001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</v>
          </cell>
          <cell r="AA98">
            <v>0</v>
          </cell>
          <cell r="AB98">
            <v>0</v>
          </cell>
          <cell r="AC98">
            <v>1</v>
          </cell>
          <cell r="AD98">
            <v>1</v>
          </cell>
          <cell r="AE98">
            <v>4</v>
          </cell>
        </row>
        <row r="99">
          <cell r="C99" t="str">
            <v>4YD CONT 1X WEEKLY</v>
          </cell>
          <cell r="D99">
            <v>294.79000000000002</v>
          </cell>
          <cell r="E99">
            <v>298.99</v>
          </cell>
          <cell r="F99">
            <v>15329.08</v>
          </cell>
          <cell r="G99">
            <v>15181.69</v>
          </cell>
          <cell r="H99">
            <v>15181.69</v>
          </cell>
          <cell r="I99">
            <v>14710.039999999999</v>
          </cell>
          <cell r="J99">
            <v>15255.38</v>
          </cell>
          <cell r="K99">
            <v>15547.48</v>
          </cell>
          <cell r="L99">
            <v>15397.98</v>
          </cell>
          <cell r="M99">
            <v>14650.51</v>
          </cell>
          <cell r="N99">
            <v>14351.53</v>
          </cell>
          <cell r="O99">
            <v>15024.25</v>
          </cell>
          <cell r="P99">
            <v>15099.01</v>
          </cell>
          <cell r="Q99">
            <v>14501.02</v>
          </cell>
          <cell r="R99">
            <v>180229.66</v>
          </cell>
          <cell r="S99">
            <v>51.999999999999993</v>
          </cell>
          <cell r="T99">
            <v>51.500016961226635</v>
          </cell>
          <cell r="U99">
            <v>51.500016961226635</v>
          </cell>
          <cell r="V99">
            <v>49.900064452661212</v>
          </cell>
          <cell r="W99">
            <v>51.749991519386676</v>
          </cell>
          <cell r="X99">
            <v>52</v>
          </cell>
          <cell r="Y99">
            <v>51.499983277032676</v>
          </cell>
          <cell r="Z99">
            <v>49</v>
          </cell>
          <cell r="AA99">
            <v>48.000033445934648</v>
          </cell>
          <cell r="AB99">
            <v>50.250008361483658</v>
          </cell>
          <cell r="AC99">
            <v>50.500050168901971</v>
          </cell>
          <cell r="AD99">
            <v>48.500016722967324</v>
          </cell>
          <cell r="AE99">
            <v>606.40018187082148</v>
          </cell>
        </row>
        <row r="100">
          <cell r="C100" t="str">
            <v>4YD CONT 2X WEEKLY</v>
          </cell>
          <cell r="D100">
            <v>589.57000000000005</v>
          </cell>
          <cell r="E100">
            <v>597.97</v>
          </cell>
          <cell r="F100">
            <v>6485.27</v>
          </cell>
          <cell r="G100">
            <v>6485.27</v>
          </cell>
          <cell r="H100">
            <v>6264.18</v>
          </cell>
          <cell r="I100">
            <v>5895.7</v>
          </cell>
          <cell r="J100">
            <v>5895.7</v>
          </cell>
          <cell r="K100">
            <v>5498</v>
          </cell>
          <cell r="L100">
            <v>5456.48</v>
          </cell>
          <cell r="M100">
            <v>5904.95</v>
          </cell>
          <cell r="N100">
            <v>5979.7</v>
          </cell>
          <cell r="O100">
            <v>5979.7</v>
          </cell>
          <cell r="P100">
            <v>5979.7</v>
          </cell>
          <cell r="Q100">
            <v>5979.7</v>
          </cell>
          <cell r="R100">
            <v>71804.349999999991</v>
          </cell>
          <cell r="S100">
            <v>11</v>
          </cell>
          <cell r="T100">
            <v>11</v>
          </cell>
          <cell r="U100">
            <v>10.624997879810708</v>
          </cell>
          <cell r="V100">
            <v>9.9999999999999982</v>
          </cell>
          <cell r="W100">
            <v>9.9999999999999982</v>
          </cell>
          <cell r="X100">
            <v>9.1944411927019747</v>
          </cell>
          <cell r="Y100">
            <v>9.1250062712176181</v>
          </cell>
          <cell r="Z100">
            <v>9.8749937287823801</v>
          </cell>
          <cell r="AA100">
            <v>10</v>
          </cell>
          <cell r="AB100">
            <v>10</v>
          </cell>
          <cell r="AC100">
            <v>10</v>
          </cell>
          <cell r="AD100">
            <v>10</v>
          </cell>
          <cell r="AE100">
            <v>120.81943907251268</v>
          </cell>
        </row>
        <row r="101">
          <cell r="C101" t="str">
            <v>4YD CONT 3X WEEKLY</v>
          </cell>
          <cell r="D101">
            <v>884.36</v>
          </cell>
          <cell r="E101">
            <v>896.96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C102" t="str">
            <v>4YD CONT 4X WEEKLY SVC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C103" t="str">
            <v>4YD CONT EXTRA PICKUP</v>
          </cell>
          <cell r="D103">
            <v>70.09</v>
          </cell>
          <cell r="E103">
            <v>71.06</v>
          </cell>
          <cell r="F103">
            <v>0</v>
          </cell>
          <cell r="G103">
            <v>0</v>
          </cell>
          <cell r="H103">
            <v>70.09</v>
          </cell>
          <cell r="I103">
            <v>140.18</v>
          </cell>
          <cell r="J103">
            <v>0</v>
          </cell>
          <cell r="K103">
            <v>71.06</v>
          </cell>
          <cell r="L103">
            <v>71.06</v>
          </cell>
          <cell r="M103">
            <v>142.12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494.51000000000005</v>
          </cell>
          <cell r="S103">
            <v>0</v>
          </cell>
          <cell r="T103">
            <v>0</v>
          </cell>
          <cell r="U103">
            <v>1</v>
          </cell>
          <cell r="V103">
            <v>2</v>
          </cell>
          <cell r="W103">
            <v>0</v>
          </cell>
          <cell r="X103">
            <v>1</v>
          </cell>
          <cell r="Y103">
            <v>1</v>
          </cell>
          <cell r="Z103">
            <v>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7</v>
          </cell>
        </row>
        <row r="104">
          <cell r="C104" t="str">
            <v>6YD CONT 1X WEEKLY</v>
          </cell>
          <cell r="D104">
            <v>407.5</v>
          </cell>
          <cell r="E104">
            <v>413.26</v>
          </cell>
          <cell r="F104">
            <v>14262.5</v>
          </cell>
          <cell r="G104">
            <v>14466.25</v>
          </cell>
          <cell r="H104">
            <v>14262.5</v>
          </cell>
          <cell r="I104">
            <v>14670</v>
          </cell>
          <cell r="J104">
            <v>14568.14</v>
          </cell>
          <cell r="K104">
            <v>15393.94</v>
          </cell>
          <cell r="L104">
            <v>15290.63</v>
          </cell>
          <cell r="M104">
            <v>15910.51</v>
          </cell>
          <cell r="N104">
            <v>15703.88</v>
          </cell>
          <cell r="O104">
            <v>15703.88</v>
          </cell>
          <cell r="P104">
            <v>15703.88</v>
          </cell>
          <cell r="Q104">
            <v>15703.88</v>
          </cell>
          <cell r="R104">
            <v>181639.99000000002</v>
          </cell>
          <cell r="S104">
            <v>35</v>
          </cell>
          <cell r="T104">
            <v>35.5</v>
          </cell>
          <cell r="U104">
            <v>35</v>
          </cell>
          <cell r="V104">
            <v>36</v>
          </cell>
          <cell r="W104">
            <v>35.750036809815953</v>
          </cell>
          <cell r="X104">
            <v>37.250012098920777</v>
          </cell>
          <cell r="Y104">
            <v>37.000024197841554</v>
          </cell>
          <cell r="Z104">
            <v>38.5</v>
          </cell>
          <cell r="AA104">
            <v>38</v>
          </cell>
          <cell r="AB104">
            <v>38</v>
          </cell>
          <cell r="AC104">
            <v>38</v>
          </cell>
          <cell r="AD104">
            <v>38</v>
          </cell>
          <cell r="AE104">
            <v>442.00007310657827</v>
          </cell>
        </row>
        <row r="105">
          <cell r="C105" t="str">
            <v>6YD CONT 2X WEEKLY</v>
          </cell>
          <cell r="D105">
            <v>814.99</v>
          </cell>
          <cell r="E105">
            <v>826.51</v>
          </cell>
          <cell r="F105">
            <v>31784.61</v>
          </cell>
          <cell r="G105">
            <v>30969.62</v>
          </cell>
          <cell r="H105">
            <v>30969.62</v>
          </cell>
          <cell r="I105">
            <v>29849.01</v>
          </cell>
          <cell r="J105">
            <v>30154.63</v>
          </cell>
          <cell r="K105">
            <v>30741.58</v>
          </cell>
          <cell r="L105">
            <v>33473.660000000003</v>
          </cell>
          <cell r="M105">
            <v>35023.360000000001</v>
          </cell>
          <cell r="N105">
            <v>35539.93</v>
          </cell>
          <cell r="O105">
            <v>35333.300000000003</v>
          </cell>
          <cell r="P105">
            <v>34713.42</v>
          </cell>
          <cell r="Q105">
            <v>34713.42</v>
          </cell>
          <cell r="R105">
            <v>393266.16</v>
          </cell>
          <cell r="S105">
            <v>39</v>
          </cell>
          <cell r="T105">
            <v>38</v>
          </cell>
          <cell r="U105">
            <v>38</v>
          </cell>
          <cell r="V105">
            <v>36.62500153376115</v>
          </cell>
          <cell r="W105">
            <v>37</v>
          </cell>
          <cell r="X105">
            <v>37.194444108359249</v>
          </cell>
          <cell r="Y105">
            <v>40.500006049533589</v>
          </cell>
          <cell r="Z105">
            <v>42.374998487616608</v>
          </cell>
          <cell r="AA105">
            <v>43</v>
          </cell>
          <cell r="AB105">
            <v>42.749996975233216</v>
          </cell>
          <cell r="AC105">
            <v>42</v>
          </cell>
          <cell r="AD105">
            <v>42</v>
          </cell>
          <cell r="AE105">
            <v>478.44444715450379</v>
          </cell>
        </row>
        <row r="106">
          <cell r="C106" t="str">
            <v>6YD CONT 3X WEEKLY</v>
          </cell>
          <cell r="D106">
            <v>1222.49</v>
          </cell>
          <cell r="E106">
            <v>1239.77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C107" t="str">
            <v>6YD CONT 4X WEEKLY</v>
          </cell>
          <cell r="D107">
            <v>1629.99</v>
          </cell>
          <cell r="E107">
            <v>1653.02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C108" t="str">
            <v>6YD CONT 5X WEEKLY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C109" t="str">
            <v>6YD CONT EXTRA PICKUP</v>
          </cell>
          <cell r="D109">
            <v>96.13</v>
          </cell>
          <cell r="E109">
            <v>97.46</v>
          </cell>
          <cell r="F109">
            <v>0</v>
          </cell>
          <cell r="G109">
            <v>96.13</v>
          </cell>
          <cell r="H109">
            <v>192.26</v>
          </cell>
          <cell r="I109">
            <v>96.13</v>
          </cell>
          <cell r="J109">
            <v>0</v>
          </cell>
          <cell r="K109">
            <v>97.46</v>
          </cell>
          <cell r="L109">
            <v>194.92</v>
          </cell>
          <cell r="M109">
            <v>435.32</v>
          </cell>
          <cell r="N109">
            <v>337.86</v>
          </cell>
          <cell r="O109">
            <v>217.66</v>
          </cell>
          <cell r="P109">
            <v>97.46</v>
          </cell>
          <cell r="Q109">
            <v>292.38</v>
          </cell>
          <cell r="R109">
            <v>2057.58</v>
          </cell>
          <cell r="S109">
            <v>0</v>
          </cell>
          <cell r="T109">
            <v>1</v>
          </cell>
          <cell r="U109">
            <v>2</v>
          </cell>
          <cell r="V109">
            <v>1</v>
          </cell>
          <cell r="W109">
            <v>0</v>
          </cell>
          <cell r="X109">
            <v>1</v>
          </cell>
          <cell r="Y109">
            <v>2</v>
          </cell>
          <cell r="Z109">
            <v>4.4666529858403452</v>
          </cell>
          <cell r="AA109">
            <v>3.4666529858403452</v>
          </cell>
          <cell r="AB109">
            <v>2.2333264929201726</v>
          </cell>
          <cell r="AC109">
            <v>1</v>
          </cell>
          <cell r="AD109">
            <v>3</v>
          </cell>
          <cell r="AE109">
            <v>21.166632464600863</v>
          </cell>
        </row>
        <row r="110">
          <cell r="C110" t="str">
            <v>8 YD CONT 2X WKLY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C111" t="str">
            <v>2 YD 2.25-1 COMP 1X WK</v>
          </cell>
          <cell r="D111">
            <v>334.19</v>
          </cell>
          <cell r="E111">
            <v>339.17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C112" t="str">
            <v>2 YD 4-1 COMP 1X WK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C113" t="str">
            <v>2 YD COMPACTOR 2X WKLY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C114" t="str">
            <v>4 YD 2.25-1 COMP 1X WK</v>
          </cell>
          <cell r="D114">
            <v>605.94000000000005</v>
          </cell>
          <cell r="E114">
            <v>615.38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C115" t="str">
            <v>4YD 4-1 COMP 1X WK</v>
          </cell>
          <cell r="D115">
            <v>966.33</v>
          </cell>
          <cell r="E115">
            <v>983.13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C116" t="str">
            <v>4 YD 5-1 COMP 1X WK</v>
          </cell>
          <cell r="D116">
            <v>1086.8699999999999</v>
          </cell>
          <cell r="E116">
            <v>1107.8699999999999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C117" t="str">
            <v>4 YD 5-1 COMP EOW</v>
          </cell>
          <cell r="D117">
            <v>544.69000000000005</v>
          </cell>
          <cell r="E117">
            <v>555.22</v>
          </cell>
          <cell r="F117">
            <v>544.69000000000005</v>
          </cell>
          <cell r="G117">
            <v>544.69000000000005</v>
          </cell>
          <cell r="H117">
            <v>544.69000000000005</v>
          </cell>
          <cell r="I117">
            <v>544.69000000000005</v>
          </cell>
          <cell r="J117">
            <v>544.69000000000005</v>
          </cell>
          <cell r="K117">
            <v>555.22</v>
          </cell>
          <cell r="L117">
            <v>555.22</v>
          </cell>
          <cell r="M117">
            <v>555.22</v>
          </cell>
          <cell r="N117">
            <v>555.22</v>
          </cell>
          <cell r="O117">
            <v>555.22</v>
          </cell>
          <cell r="P117">
            <v>555.22</v>
          </cell>
          <cell r="Q117">
            <v>555.22</v>
          </cell>
          <cell r="R117">
            <v>6609.9900000000016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12</v>
          </cell>
        </row>
        <row r="118">
          <cell r="C118" t="str">
            <v>4 YD 5-1 COMP ON CALL</v>
          </cell>
          <cell r="D118">
            <v>257.06</v>
          </cell>
          <cell r="E118">
            <v>261.91000000000003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C119" t="str">
            <v>6YD COMPACTOR 2X WKLY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C120" t="str">
            <v>6 YD 3-1 COMP 2X WK</v>
          </cell>
          <cell r="D120">
            <v>2139.9699999999998</v>
          </cell>
          <cell r="E120">
            <v>2174.5300000000002</v>
          </cell>
          <cell r="F120">
            <v>2139.9699999999998</v>
          </cell>
          <cell r="G120">
            <v>2139.9699999999998</v>
          </cell>
          <cell r="H120">
            <v>2139.9699999999998</v>
          </cell>
          <cell r="I120">
            <v>2139.9699999999998</v>
          </cell>
          <cell r="J120">
            <v>2139.9699999999998</v>
          </cell>
          <cell r="K120">
            <v>2174.5300000000002</v>
          </cell>
          <cell r="L120">
            <v>2174.5300000000002</v>
          </cell>
          <cell r="M120">
            <v>2174.5300000000002</v>
          </cell>
          <cell r="N120">
            <v>2174.5300000000002</v>
          </cell>
          <cell r="O120">
            <v>2174.5300000000002</v>
          </cell>
          <cell r="P120">
            <v>2174.5300000000002</v>
          </cell>
          <cell r="Q120">
            <v>2174.5300000000002</v>
          </cell>
          <cell r="R120">
            <v>25921.559999999994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12</v>
          </cell>
        </row>
        <row r="121">
          <cell r="C121" t="str">
            <v>6 YD 4-1 COMP 2X WK</v>
          </cell>
          <cell r="D121">
            <v>2755.09</v>
          </cell>
          <cell r="E121">
            <v>2801.16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C122" t="str">
            <v>CARRY-OUT COMMERCIAL</v>
          </cell>
          <cell r="D122">
            <v>2.08</v>
          </cell>
          <cell r="E122">
            <v>2.08</v>
          </cell>
          <cell r="F122">
            <v>10.4</v>
          </cell>
          <cell r="G122">
            <v>10.4</v>
          </cell>
          <cell r="H122">
            <v>10.4</v>
          </cell>
          <cell r="I122">
            <v>10.4</v>
          </cell>
          <cell r="J122">
            <v>10.4</v>
          </cell>
          <cell r="K122">
            <v>10.4</v>
          </cell>
          <cell r="L122">
            <v>10.4</v>
          </cell>
          <cell r="M122">
            <v>6.24</v>
          </cell>
          <cell r="N122">
            <v>6.24</v>
          </cell>
          <cell r="O122">
            <v>6.24</v>
          </cell>
          <cell r="P122">
            <v>6.24</v>
          </cell>
          <cell r="Q122">
            <v>6.24</v>
          </cell>
          <cell r="R122">
            <v>103.99999999999997</v>
          </cell>
          <cell r="S122">
            <v>5</v>
          </cell>
          <cell r="T122">
            <v>5</v>
          </cell>
          <cell r="U122">
            <v>5</v>
          </cell>
          <cell r="V122">
            <v>5</v>
          </cell>
          <cell r="W122">
            <v>5</v>
          </cell>
          <cell r="X122">
            <v>5</v>
          </cell>
          <cell r="Y122">
            <v>5</v>
          </cell>
          <cell r="Z122">
            <v>3</v>
          </cell>
          <cell r="AA122">
            <v>3</v>
          </cell>
          <cell r="AB122">
            <v>3</v>
          </cell>
          <cell r="AC122">
            <v>3</v>
          </cell>
          <cell r="AD122">
            <v>3</v>
          </cell>
          <cell r="AE122">
            <v>50</v>
          </cell>
        </row>
        <row r="123">
          <cell r="C123" t="str">
            <v>1.5YD CONT 1xWEEKLY</v>
          </cell>
          <cell r="D123">
            <v>126</v>
          </cell>
          <cell r="E123">
            <v>127.74</v>
          </cell>
          <cell r="F123">
            <v>2488.5</v>
          </cell>
          <cell r="G123">
            <v>2488.5</v>
          </cell>
          <cell r="H123">
            <v>2646</v>
          </cell>
          <cell r="I123">
            <v>2551.5</v>
          </cell>
          <cell r="J123">
            <v>2488.5</v>
          </cell>
          <cell r="K123">
            <v>2554.8000000000002</v>
          </cell>
          <cell r="L123">
            <v>2554.8000000000002</v>
          </cell>
          <cell r="M123">
            <v>2554.8000000000002</v>
          </cell>
          <cell r="N123">
            <v>2427.06</v>
          </cell>
          <cell r="O123">
            <v>2363.1999999999998</v>
          </cell>
          <cell r="P123">
            <v>2299.3200000000002</v>
          </cell>
          <cell r="Q123">
            <v>2267.39</v>
          </cell>
          <cell r="R123">
            <v>29684.37</v>
          </cell>
          <cell r="S123">
            <v>19.75</v>
          </cell>
          <cell r="T123">
            <v>19.75</v>
          </cell>
          <cell r="U123">
            <v>21</v>
          </cell>
          <cell r="V123">
            <v>20.25</v>
          </cell>
          <cell r="W123">
            <v>19.75</v>
          </cell>
          <cell r="X123">
            <v>20.000000000000004</v>
          </cell>
          <cell r="Y123">
            <v>20.000000000000004</v>
          </cell>
          <cell r="Z123">
            <v>20.000000000000004</v>
          </cell>
          <cell r="AA123">
            <v>19</v>
          </cell>
          <cell r="AB123">
            <v>18.500078284014403</v>
          </cell>
          <cell r="AC123">
            <v>18.000000000000004</v>
          </cell>
          <cell r="AD123">
            <v>17.750039142007203</v>
          </cell>
          <cell r="AE123">
            <v>233.7501174260216</v>
          </cell>
        </row>
        <row r="124">
          <cell r="C124" t="str">
            <v>1.5YD CONT 2xWEEKLY</v>
          </cell>
          <cell r="D124">
            <v>252.01</v>
          </cell>
          <cell r="E124">
            <v>255.47</v>
          </cell>
          <cell r="F124">
            <v>1512.06</v>
          </cell>
          <cell r="G124">
            <v>1417.56</v>
          </cell>
          <cell r="H124">
            <v>1260.05</v>
          </cell>
          <cell r="I124">
            <v>1260.05</v>
          </cell>
          <cell r="J124">
            <v>1260.05</v>
          </cell>
          <cell r="K124">
            <v>1277.3499999999999</v>
          </cell>
          <cell r="L124">
            <v>1277.3499999999999</v>
          </cell>
          <cell r="M124">
            <v>1277.3499999999999</v>
          </cell>
          <cell r="N124">
            <v>1532.82</v>
          </cell>
          <cell r="O124">
            <v>1532.82</v>
          </cell>
          <cell r="P124">
            <v>1532.82</v>
          </cell>
          <cell r="Q124">
            <v>1532.82</v>
          </cell>
          <cell r="R124">
            <v>16673.100000000002</v>
          </cell>
          <cell r="S124">
            <v>6</v>
          </cell>
          <cell r="T124">
            <v>5.6250148803618902</v>
          </cell>
          <cell r="U124">
            <v>5</v>
          </cell>
          <cell r="V124">
            <v>5</v>
          </cell>
          <cell r="W124">
            <v>5</v>
          </cell>
          <cell r="X124">
            <v>5</v>
          </cell>
          <cell r="Y124">
            <v>5</v>
          </cell>
          <cell r="Z124">
            <v>5</v>
          </cell>
          <cell r="AA124">
            <v>6</v>
          </cell>
          <cell r="AB124">
            <v>6</v>
          </cell>
          <cell r="AC124">
            <v>6</v>
          </cell>
          <cell r="AD124">
            <v>6</v>
          </cell>
          <cell r="AE124">
            <v>65.625014880361888</v>
          </cell>
        </row>
        <row r="125">
          <cell r="C125" t="str">
            <v>1.5YD CONT 3xWEEKLY</v>
          </cell>
          <cell r="D125">
            <v>378.01</v>
          </cell>
          <cell r="E125">
            <v>383.21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C126" t="str">
            <v>1.5YD CONT EOW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C127" t="str">
            <v>1.5YD CONTAINER EXTRA</v>
          </cell>
          <cell r="D127">
            <v>31.12</v>
          </cell>
          <cell r="E127">
            <v>31.52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31.52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31.52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</v>
          </cell>
        </row>
        <row r="128">
          <cell r="C128" t="str">
            <v>1.5YD TEMP CONTAINER</v>
          </cell>
          <cell r="D128">
            <v>124.48</v>
          </cell>
          <cell r="E128">
            <v>126.08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94.56</v>
          </cell>
          <cell r="M128">
            <v>189.12</v>
          </cell>
          <cell r="N128">
            <v>0</v>
          </cell>
          <cell r="O128">
            <v>0</v>
          </cell>
          <cell r="P128">
            <v>63.04</v>
          </cell>
          <cell r="Q128">
            <v>126.08</v>
          </cell>
          <cell r="R128">
            <v>472.8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0.75</v>
          </cell>
          <cell r="Z128">
            <v>1.5</v>
          </cell>
          <cell r="AA128">
            <v>0</v>
          </cell>
          <cell r="AB128">
            <v>0</v>
          </cell>
          <cell r="AC128">
            <v>0.5</v>
          </cell>
          <cell r="AD128">
            <v>1</v>
          </cell>
          <cell r="AE128">
            <v>3.75</v>
          </cell>
        </row>
        <row r="129">
          <cell r="C129" t="str">
            <v>1YD CONT 1xWEEKLY</v>
          </cell>
          <cell r="D129">
            <v>91.15</v>
          </cell>
          <cell r="E129">
            <v>92.36</v>
          </cell>
          <cell r="F129">
            <v>11462.11</v>
          </cell>
          <cell r="G129">
            <v>11370.96</v>
          </cell>
          <cell r="H129">
            <v>11462.12</v>
          </cell>
          <cell r="I129">
            <v>11530.48</v>
          </cell>
          <cell r="J129">
            <v>11553.26</v>
          </cell>
          <cell r="K129">
            <v>11660.45</v>
          </cell>
          <cell r="L129">
            <v>11637.36</v>
          </cell>
          <cell r="M129">
            <v>11383.37</v>
          </cell>
          <cell r="N129">
            <v>11637.36</v>
          </cell>
          <cell r="O129">
            <v>11429.55</v>
          </cell>
          <cell r="P129">
            <v>11406.46</v>
          </cell>
          <cell r="Q129">
            <v>11152.47</v>
          </cell>
          <cell r="R129">
            <v>137685.95000000001</v>
          </cell>
          <cell r="S129">
            <v>125.7499725726824</v>
          </cell>
          <cell r="T129">
            <v>124.74997257268238</v>
          </cell>
          <cell r="U129">
            <v>125.75008228195283</v>
          </cell>
          <cell r="V129">
            <v>126.50005485463521</v>
          </cell>
          <cell r="W129">
            <v>126.74997257268238</v>
          </cell>
          <cell r="X129">
            <v>126.25000000000001</v>
          </cell>
          <cell r="Y129">
            <v>126</v>
          </cell>
          <cell r="Z129">
            <v>123.25000000000001</v>
          </cell>
          <cell r="AA129">
            <v>126</v>
          </cell>
          <cell r="AB129">
            <v>123.74999999999999</v>
          </cell>
          <cell r="AC129">
            <v>123.49999999999999</v>
          </cell>
          <cell r="AD129">
            <v>120.75</v>
          </cell>
          <cell r="AE129">
            <v>1499.0000548546352</v>
          </cell>
        </row>
        <row r="130">
          <cell r="C130" t="str">
            <v>1YD CONT 2xWEEKLY</v>
          </cell>
          <cell r="D130">
            <v>182.29</v>
          </cell>
          <cell r="E130">
            <v>184.72</v>
          </cell>
          <cell r="F130">
            <v>364.58</v>
          </cell>
          <cell r="G130">
            <v>364.58</v>
          </cell>
          <cell r="H130">
            <v>364.58</v>
          </cell>
          <cell r="I130">
            <v>364.58</v>
          </cell>
          <cell r="J130">
            <v>364.58</v>
          </cell>
          <cell r="K130">
            <v>369.44</v>
          </cell>
          <cell r="L130">
            <v>369.44</v>
          </cell>
          <cell r="M130">
            <v>369.44</v>
          </cell>
          <cell r="N130">
            <v>507.98</v>
          </cell>
          <cell r="O130">
            <v>554.16</v>
          </cell>
          <cell r="P130">
            <v>369.44</v>
          </cell>
          <cell r="Q130">
            <v>369.44</v>
          </cell>
          <cell r="R130">
            <v>4732.2399999999989</v>
          </cell>
          <cell r="S130">
            <v>2</v>
          </cell>
          <cell r="T130">
            <v>2</v>
          </cell>
          <cell r="U130">
            <v>2</v>
          </cell>
          <cell r="V130">
            <v>2</v>
          </cell>
          <cell r="W130">
            <v>2</v>
          </cell>
          <cell r="X130">
            <v>2</v>
          </cell>
          <cell r="Y130">
            <v>2</v>
          </cell>
          <cell r="Z130">
            <v>2</v>
          </cell>
          <cell r="AA130">
            <v>2.75</v>
          </cell>
          <cell r="AB130">
            <v>3</v>
          </cell>
          <cell r="AC130">
            <v>2</v>
          </cell>
          <cell r="AD130">
            <v>2</v>
          </cell>
          <cell r="AE130">
            <v>25.75</v>
          </cell>
        </row>
        <row r="131">
          <cell r="C131" t="str">
            <v>1YD CONT 3xWEEKLY</v>
          </cell>
          <cell r="D131">
            <v>273.44</v>
          </cell>
          <cell r="E131">
            <v>277.08</v>
          </cell>
          <cell r="F131">
            <v>1640.64</v>
          </cell>
          <cell r="G131">
            <v>1640.64</v>
          </cell>
          <cell r="H131">
            <v>1640.64</v>
          </cell>
          <cell r="I131">
            <v>1640.64</v>
          </cell>
          <cell r="J131">
            <v>1640.64</v>
          </cell>
          <cell r="K131">
            <v>1662.48</v>
          </cell>
          <cell r="L131">
            <v>1662.48</v>
          </cell>
          <cell r="M131">
            <v>1662.48</v>
          </cell>
          <cell r="N131">
            <v>1662.48</v>
          </cell>
          <cell r="O131">
            <v>1662.48</v>
          </cell>
          <cell r="P131">
            <v>1662.48</v>
          </cell>
          <cell r="Q131">
            <v>1662.48</v>
          </cell>
          <cell r="R131">
            <v>19840.559999999998</v>
          </cell>
          <cell r="S131">
            <v>6</v>
          </cell>
          <cell r="T131">
            <v>6</v>
          </cell>
          <cell r="U131">
            <v>6</v>
          </cell>
          <cell r="V131">
            <v>6</v>
          </cell>
          <cell r="W131">
            <v>6</v>
          </cell>
          <cell r="X131">
            <v>6</v>
          </cell>
          <cell r="Y131">
            <v>6</v>
          </cell>
          <cell r="Z131">
            <v>6</v>
          </cell>
          <cell r="AA131">
            <v>6</v>
          </cell>
          <cell r="AB131">
            <v>6</v>
          </cell>
          <cell r="AC131">
            <v>6</v>
          </cell>
          <cell r="AD131">
            <v>6</v>
          </cell>
          <cell r="AE131">
            <v>72</v>
          </cell>
        </row>
        <row r="132">
          <cell r="C132" t="str">
            <v>1YD CONT EOW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C133" t="str">
            <v>1YD CONTAINER EXTRA</v>
          </cell>
          <cell r="D133">
            <v>23.06</v>
          </cell>
          <cell r="E133">
            <v>23.34</v>
          </cell>
          <cell r="F133">
            <v>0</v>
          </cell>
          <cell r="G133">
            <v>0</v>
          </cell>
          <cell r="H133">
            <v>46.12</v>
          </cell>
          <cell r="I133">
            <v>0</v>
          </cell>
          <cell r="J133">
            <v>23.06</v>
          </cell>
          <cell r="K133">
            <v>0</v>
          </cell>
          <cell r="L133">
            <v>0</v>
          </cell>
          <cell r="M133">
            <v>27.13</v>
          </cell>
          <cell r="N133">
            <v>46.68</v>
          </cell>
          <cell r="O133">
            <v>70.02</v>
          </cell>
          <cell r="P133">
            <v>0</v>
          </cell>
          <cell r="Q133">
            <v>0</v>
          </cell>
          <cell r="R133">
            <v>213.01</v>
          </cell>
          <cell r="S133">
            <v>0</v>
          </cell>
          <cell r="T133">
            <v>0</v>
          </cell>
          <cell r="U133">
            <v>2</v>
          </cell>
          <cell r="V133">
            <v>0</v>
          </cell>
          <cell r="W133">
            <v>1</v>
          </cell>
          <cell r="X133">
            <v>0</v>
          </cell>
          <cell r="Y133">
            <v>0</v>
          </cell>
          <cell r="Z133">
            <v>1.1623821765209941</v>
          </cell>
          <cell r="AA133">
            <v>2</v>
          </cell>
          <cell r="AB133">
            <v>3</v>
          </cell>
          <cell r="AC133">
            <v>0</v>
          </cell>
          <cell r="AD133">
            <v>0</v>
          </cell>
          <cell r="AE133">
            <v>9.1623821765209943</v>
          </cell>
        </row>
        <row r="134">
          <cell r="C134" t="str">
            <v>1YD TEMP CONT</v>
          </cell>
          <cell r="D134">
            <v>92.24</v>
          </cell>
          <cell r="E134">
            <v>93.36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70.02</v>
          </cell>
          <cell r="M134">
            <v>46.68</v>
          </cell>
          <cell r="N134">
            <v>186.72</v>
          </cell>
          <cell r="O134">
            <v>186.72</v>
          </cell>
          <cell r="P134">
            <v>140.04</v>
          </cell>
          <cell r="Q134">
            <v>0</v>
          </cell>
          <cell r="R134">
            <v>630.17999999999995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0.75</v>
          </cell>
          <cell r="Z134">
            <v>0.5</v>
          </cell>
          <cell r="AA134">
            <v>2</v>
          </cell>
          <cell r="AB134">
            <v>2</v>
          </cell>
          <cell r="AC134">
            <v>1.5</v>
          </cell>
          <cell r="AD134">
            <v>0</v>
          </cell>
          <cell r="AE134">
            <v>6.75</v>
          </cell>
        </row>
        <row r="135">
          <cell r="C135" t="str">
            <v>2YD CONT 1xWEEKLY</v>
          </cell>
          <cell r="D135">
            <v>156.96</v>
          </cell>
          <cell r="E135">
            <v>159.16999999999999</v>
          </cell>
          <cell r="F135">
            <v>22680.720000000001</v>
          </cell>
          <cell r="G135">
            <v>22327.56</v>
          </cell>
          <cell r="H135">
            <v>22445.279999999999</v>
          </cell>
          <cell r="I135">
            <v>22680.720000000001</v>
          </cell>
          <cell r="J135">
            <v>23269.32</v>
          </cell>
          <cell r="K135">
            <v>23802.510000000002</v>
          </cell>
          <cell r="L135">
            <v>24034.68</v>
          </cell>
          <cell r="M135">
            <v>24671.4</v>
          </cell>
          <cell r="N135">
            <v>25666.160000000003</v>
          </cell>
          <cell r="O135">
            <v>25904.92</v>
          </cell>
          <cell r="P135">
            <v>25546.79</v>
          </cell>
          <cell r="Q135">
            <v>25626.379999999997</v>
          </cell>
          <cell r="R135">
            <v>288656.44</v>
          </cell>
          <cell r="S135">
            <v>144.5</v>
          </cell>
          <cell r="T135">
            <v>142.25</v>
          </cell>
          <cell r="U135">
            <v>142.99999999999997</v>
          </cell>
          <cell r="V135">
            <v>144.5</v>
          </cell>
          <cell r="W135">
            <v>148.25</v>
          </cell>
          <cell r="X135">
            <v>149.54143368725263</v>
          </cell>
          <cell r="Y135">
            <v>151.00006282590942</v>
          </cell>
          <cell r="Z135">
            <v>155.00031412954704</v>
          </cell>
          <cell r="AA135">
            <v>161.24998429352269</v>
          </cell>
          <cell r="AB135">
            <v>162.75001570647734</v>
          </cell>
          <cell r="AC135">
            <v>160.50003141295471</v>
          </cell>
          <cell r="AD135">
            <v>161.0000628259094</v>
          </cell>
          <cell r="AE135">
            <v>1823.5419048815731</v>
          </cell>
        </row>
        <row r="136">
          <cell r="C136" t="str">
            <v>2YD CONT 2xWEEKLY</v>
          </cell>
          <cell r="D136">
            <v>313.93</v>
          </cell>
          <cell r="E136">
            <v>318.33999999999997</v>
          </cell>
          <cell r="F136">
            <v>15943.82</v>
          </cell>
          <cell r="G136">
            <v>15198.24</v>
          </cell>
          <cell r="H136">
            <v>15041.27</v>
          </cell>
          <cell r="I136">
            <v>14060.23</v>
          </cell>
          <cell r="J136">
            <v>14374.17</v>
          </cell>
          <cell r="K136">
            <v>14643.64</v>
          </cell>
          <cell r="L136">
            <v>14961.98</v>
          </cell>
          <cell r="M136">
            <v>16036.41</v>
          </cell>
          <cell r="N136">
            <v>17986.22</v>
          </cell>
          <cell r="O136">
            <v>18145.38</v>
          </cell>
          <cell r="P136">
            <v>18384.14</v>
          </cell>
          <cell r="Q136">
            <v>18065.8</v>
          </cell>
          <cell r="R136">
            <v>192841.3</v>
          </cell>
          <cell r="S136">
            <v>50.78781894052814</v>
          </cell>
          <cell r="T136">
            <v>48.412830885866278</v>
          </cell>
          <cell r="U136">
            <v>47.912814958748768</v>
          </cell>
          <cell r="V136">
            <v>44.787787086293122</v>
          </cell>
          <cell r="W136">
            <v>45.78781894052814</v>
          </cell>
          <cell r="X136">
            <v>46</v>
          </cell>
          <cell r="Y136">
            <v>47</v>
          </cell>
          <cell r="Z136">
            <v>50.375102092102786</v>
          </cell>
          <cell r="AA136">
            <v>56.500031412954712</v>
          </cell>
          <cell r="AB136">
            <v>57.000000000000007</v>
          </cell>
          <cell r="AC136">
            <v>57.750015706477356</v>
          </cell>
          <cell r="AD136">
            <v>56.750015706477356</v>
          </cell>
          <cell r="AE136">
            <v>609.06423572997676</v>
          </cell>
        </row>
        <row r="137">
          <cell r="C137" t="str">
            <v>2YD CONT 3xWEEKLY</v>
          </cell>
          <cell r="D137">
            <v>470.89</v>
          </cell>
          <cell r="E137">
            <v>477.51</v>
          </cell>
          <cell r="F137">
            <v>4708.8999999999996</v>
          </cell>
          <cell r="G137">
            <v>4708.8999999999996</v>
          </cell>
          <cell r="H137">
            <v>4708.8999999999996</v>
          </cell>
          <cell r="I137">
            <v>4708.8999999999996</v>
          </cell>
          <cell r="J137">
            <v>4708.8999999999996</v>
          </cell>
          <cell r="K137">
            <v>3789.48</v>
          </cell>
          <cell r="L137">
            <v>3820.08</v>
          </cell>
          <cell r="M137">
            <v>4695.53</v>
          </cell>
          <cell r="N137">
            <v>4775.1000000000004</v>
          </cell>
          <cell r="O137">
            <v>4775.1000000000004</v>
          </cell>
          <cell r="P137">
            <v>4775.1000000000004</v>
          </cell>
          <cell r="Q137">
            <v>4775.1000000000004</v>
          </cell>
          <cell r="R137">
            <v>54949.989999999991</v>
          </cell>
          <cell r="S137">
            <v>10</v>
          </cell>
          <cell r="T137">
            <v>10</v>
          </cell>
          <cell r="U137">
            <v>10</v>
          </cell>
          <cell r="V137">
            <v>10</v>
          </cell>
          <cell r="W137">
            <v>10</v>
          </cell>
          <cell r="X137">
            <v>7.9359175724068605</v>
          </cell>
          <cell r="Y137">
            <v>8</v>
          </cell>
          <cell r="Z137">
            <v>9.8333647462880354</v>
          </cell>
          <cell r="AA137">
            <v>10.000000000000002</v>
          </cell>
          <cell r="AB137">
            <v>10.000000000000002</v>
          </cell>
          <cell r="AC137">
            <v>10.000000000000002</v>
          </cell>
          <cell r="AD137">
            <v>10.000000000000002</v>
          </cell>
          <cell r="AE137">
            <v>115.76928231869489</v>
          </cell>
        </row>
        <row r="138">
          <cell r="C138" t="str">
            <v>2YD CONT 4xWEEKLY</v>
          </cell>
          <cell r="D138">
            <v>627.85</v>
          </cell>
          <cell r="E138">
            <v>636.67999999999995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</row>
        <row r="139">
          <cell r="C139" t="str">
            <v>2YD CONT 5xWEEKLY</v>
          </cell>
          <cell r="D139">
            <v>784.81</v>
          </cell>
          <cell r="E139">
            <v>795.85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C140" t="str">
            <v>2YD CONT EOW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C141" t="str">
            <v>2YD CONTAINER EXTRA</v>
          </cell>
          <cell r="D141">
            <v>38.26</v>
          </cell>
          <cell r="E141">
            <v>38.770000000000003</v>
          </cell>
          <cell r="F141">
            <v>38.26</v>
          </cell>
          <cell r="G141">
            <v>38.26</v>
          </cell>
          <cell r="H141">
            <v>38.26</v>
          </cell>
          <cell r="I141">
            <v>38.26</v>
          </cell>
          <cell r="J141">
            <v>114.78</v>
          </cell>
          <cell r="K141">
            <v>155.08000000000001</v>
          </cell>
          <cell r="L141">
            <v>38.770000000000003</v>
          </cell>
          <cell r="M141">
            <v>317.74</v>
          </cell>
          <cell r="N141">
            <v>77.540000000000006</v>
          </cell>
          <cell r="O141">
            <v>465.24</v>
          </cell>
          <cell r="P141">
            <v>426.47</v>
          </cell>
          <cell r="Q141">
            <v>38.770000000000003</v>
          </cell>
          <cell r="R141">
            <v>1787.43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3</v>
          </cell>
          <cell r="X141">
            <v>4</v>
          </cell>
          <cell r="Y141">
            <v>1</v>
          </cell>
          <cell r="Z141">
            <v>8.1955119938096459</v>
          </cell>
          <cell r="AA141">
            <v>2</v>
          </cell>
          <cell r="AB141">
            <v>12</v>
          </cell>
          <cell r="AC141">
            <v>11</v>
          </cell>
          <cell r="AD141">
            <v>1</v>
          </cell>
          <cell r="AE141">
            <v>46.195511993809646</v>
          </cell>
        </row>
        <row r="142">
          <cell r="C142" t="str">
            <v>2YD TEMP CONTAINER</v>
          </cell>
          <cell r="D142">
            <v>153.04</v>
          </cell>
          <cell r="E142">
            <v>155.08000000000001</v>
          </cell>
          <cell r="F142">
            <v>1071.28</v>
          </cell>
          <cell r="G142">
            <v>726.94</v>
          </cell>
          <cell r="H142">
            <v>688.68000000000006</v>
          </cell>
          <cell r="I142">
            <v>382.6</v>
          </cell>
          <cell r="J142">
            <v>573.9</v>
          </cell>
          <cell r="K142">
            <v>308.12</v>
          </cell>
          <cell r="L142">
            <v>775.4</v>
          </cell>
          <cell r="M142">
            <v>891.71</v>
          </cell>
          <cell r="N142">
            <v>310.16000000000003</v>
          </cell>
          <cell r="O142">
            <v>542.78</v>
          </cell>
          <cell r="P142">
            <v>542.78</v>
          </cell>
          <cell r="Q142">
            <v>1124.33</v>
          </cell>
          <cell r="R142">
            <v>7938.6799999999994</v>
          </cell>
          <cell r="S142">
            <v>7</v>
          </cell>
          <cell r="T142">
            <v>4.7500000000000009</v>
          </cell>
          <cell r="U142">
            <v>4.5000000000000009</v>
          </cell>
          <cell r="V142">
            <v>2.5000000000000004</v>
          </cell>
          <cell r="W142">
            <v>3.75</v>
          </cell>
          <cell r="X142">
            <v>1.98684549909724</v>
          </cell>
          <cell r="Y142">
            <v>4.9999999999999991</v>
          </cell>
          <cell r="Z142">
            <v>5.75</v>
          </cell>
          <cell r="AA142">
            <v>2</v>
          </cell>
          <cell r="AB142">
            <v>3.4999999999999996</v>
          </cell>
          <cell r="AC142">
            <v>3.4999999999999996</v>
          </cell>
          <cell r="AD142">
            <v>7.2499999999999991</v>
          </cell>
          <cell r="AE142">
            <v>51.486845499097242</v>
          </cell>
        </row>
        <row r="143">
          <cell r="C143" t="str">
            <v>SERVICE ADJ-COMMERCIAL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-6.91</v>
          </cell>
          <cell r="J143">
            <v>0</v>
          </cell>
          <cell r="K143">
            <v>0</v>
          </cell>
          <cell r="L143">
            <v>-1.38</v>
          </cell>
          <cell r="M143">
            <v>-1.4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-9.69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C144" t="str">
            <v>CMML CONNECT/RECONNECT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C145" t="str">
            <v>CONTAINER DELIVERY CHARGE</v>
          </cell>
          <cell r="D145">
            <v>39.42</v>
          </cell>
          <cell r="E145">
            <v>39.42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C146" t="str">
            <v>EXTRA CANS</v>
          </cell>
          <cell r="D146">
            <v>4.26</v>
          </cell>
          <cell r="E146">
            <v>4.3099999999999996</v>
          </cell>
          <cell r="F146">
            <v>727.68999999999994</v>
          </cell>
          <cell r="G146">
            <v>890.34</v>
          </cell>
          <cell r="H146">
            <v>843.48</v>
          </cell>
          <cell r="I146">
            <v>1124.6400000000001</v>
          </cell>
          <cell r="J146">
            <v>491.52</v>
          </cell>
          <cell r="K146">
            <v>972.69</v>
          </cell>
          <cell r="L146">
            <v>1386.39</v>
          </cell>
          <cell r="M146">
            <v>2137.81</v>
          </cell>
          <cell r="N146">
            <v>909.41</v>
          </cell>
          <cell r="O146">
            <v>1090.43</v>
          </cell>
          <cell r="P146">
            <v>1504.25</v>
          </cell>
          <cell r="Q146">
            <v>1008.54</v>
          </cell>
          <cell r="R146">
            <v>13087.190000000002</v>
          </cell>
          <cell r="S146">
            <v>170.81924882629107</v>
          </cell>
          <cell r="T146">
            <v>209.00000000000003</v>
          </cell>
          <cell r="U146">
            <v>198</v>
          </cell>
          <cell r="V146">
            <v>264.00000000000006</v>
          </cell>
          <cell r="W146">
            <v>115.38028169014085</v>
          </cell>
          <cell r="X146">
            <v>225.6821345707657</v>
          </cell>
          <cell r="Y146">
            <v>321.6682134570766</v>
          </cell>
          <cell r="Z146">
            <v>496.0116009280743</v>
          </cell>
          <cell r="AA146">
            <v>211</v>
          </cell>
          <cell r="AB146">
            <v>253.00000000000003</v>
          </cell>
          <cell r="AC146">
            <v>349.01392111368915</v>
          </cell>
          <cell r="AD146">
            <v>234</v>
          </cell>
          <cell r="AE146">
            <v>3047.5754005860381</v>
          </cell>
        </row>
        <row r="147">
          <cell r="C147" t="str">
            <v>CMML EXTRA YARDAGE</v>
          </cell>
          <cell r="D147">
            <v>23.1</v>
          </cell>
          <cell r="E147">
            <v>23.3</v>
          </cell>
          <cell r="F147">
            <v>693</v>
          </cell>
          <cell r="G147">
            <v>1074.1500000000001</v>
          </cell>
          <cell r="H147">
            <v>1801.8</v>
          </cell>
          <cell r="I147">
            <v>866.25</v>
          </cell>
          <cell r="J147">
            <v>914.02</v>
          </cell>
          <cell r="K147">
            <v>897.05</v>
          </cell>
          <cell r="L147">
            <v>1200.53</v>
          </cell>
          <cell r="M147">
            <v>1315.92</v>
          </cell>
          <cell r="N147">
            <v>2283.4</v>
          </cell>
          <cell r="O147">
            <v>3052.3</v>
          </cell>
          <cell r="P147">
            <v>3644.36</v>
          </cell>
          <cell r="Q147">
            <v>1980.5</v>
          </cell>
          <cell r="R147">
            <v>19723.28</v>
          </cell>
          <cell r="S147">
            <v>29.999999999999996</v>
          </cell>
          <cell r="T147">
            <v>46.5</v>
          </cell>
          <cell r="U147">
            <v>78</v>
          </cell>
          <cell r="V147">
            <v>37.5</v>
          </cell>
          <cell r="W147">
            <v>39.567965367965364</v>
          </cell>
          <cell r="X147">
            <v>38.5</v>
          </cell>
          <cell r="Y147">
            <v>51.524892703862655</v>
          </cell>
          <cell r="Z147">
            <v>56.477253218884123</v>
          </cell>
          <cell r="AA147">
            <v>98</v>
          </cell>
          <cell r="AB147">
            <v>131</v>
          </cell>
          <cell r="AC147">
            <v>156.41030042918456</v>
          </cell>
          <cell r="AD147">
            <v>85</v>
          </cell>
          <cell r="AE147">
            <v>848.48041171989667</v>
          </cell>
        </row>
        <row r="148">
          <cell r="C148" t="str">
            <v>LOCK CHARGE-CONTAINER</v>
          </cell>
          <cell r="D148">
            <v>4.37</v>
          </cell>
          <cell r="E148">
            <v>4.37</v>
          </cell>
          <cell r="F148">
            <v>21.77</v>
          </cell>
          <cell r="G148">
            <v>21.77</v>
          </cell>
          <cell r="H148">
            <v>21.77</v>
          </cell>
          <cell r="I148">
            <v>21.77</v>
          </cell>
          <cell r="J148">
            <v>21.77</v>
          </cell>
          <cell r="K148">
            <v>21.85</v>
          </cell>
          <cell r="L148">
            <v>21.85</v>
          </cell>
          <cell r="M148">
            <v>21.85</v>
          </cell>
          <cell r="N148">
            <v>21.85</v>
          </cell>
          <cell r="O148">
            <v>21.85</v>
          </cell>
          <cell r="P148">
            <v>26.22</v>
          </cell>
          <cell r="Q148">
            <v>26.22</v>
          </cell>
          <cell r="R148">
            <v>270.53999999999996</v>
          </cell>
          <cell r="S148">
            <v>4.9816933638443937</v>
          </cell>
          <cell r="T148">
            <v>4.9816933638443937</v>
          </cell>
          <cell r="U148">
            <v>4.9816933638443937</v>
          </cell>
          <cell r="V148">
            <v>4.9816933638443937</v>
          </cell>
          <cell r="W148">
            <v>4.9816933638443937</v>
          </cell>
          <cell r="X148">
            <v>5</v>
          </cell>
          <cell r="Y148">
            <v>5</v>
          </cell>
          <cell r="Z148">
            <v>5</v>
          </cell>
          <cell r="AA148">
            <v>5</v>
          </cell>
          <cell r="AB148">
            <v>5</v>
          </cell>
          <cell r="AC148">
            <v>6</v>
          </cell>
          <cell r="AD148">
            <v>6</v>
          </cell>
          <cell r="AE148">
            <v>61.908466819221971</v>
          </cell>
        </row>
        <row r="149">
          <cell r="C149" t="str">
            <v>ROLLOUT CHARGE - CMML</v>
          </cell>
          <cell r="D149">
            <v>15.72</v>
          </cell>
          <cell r="E149">
            <v>15.72</v>
          </cell>
          <cell r="F149">
            <v>864.6</v>
          </cell>
          <cell r="G149">
            <v>801.72</v>
          </cell>
          <cell r="H149">
            <v>801.72</v>
          </cell>
          <cell r="I149">
            <v>801.72</v>
          </cell>
          <cell r="J149">
            <v>788.17</v>
          </cell>
          <cell r="K149">
            <v>796.03</v>
          </cell>
          <cell r="L149">
            <v>819.61</v>
          </cell>
          <cell r="M149">
            <v>868.77</v>
          </cell>
          <cell r="N149">
            <v>904.14</v>
          </cell>
          <cell r="O149">
            <v>904.14</v>
          </cell>
          <cell r="P149">
            <v>888.42</v>
          </cell>
          <cell r="Q149">
            <v>849.12</v>
          </cell>
          <cell r="R149">
            <v>10088.160000000002</v>
          </cell>
          <cell r="S149">
            <v>55</v>
          </cell>
          <cell r="T149">
            <v>51</v>
          </cell>
          <cell r="U149">
            <v>51</v>
          </cell>
          <cell r="V149">
            <v>51</v>
          </cell>
          <cell r="W149">
            <v>50.138040712468189</v>
          </cell>
          <cell r="X149">
            <v>50.638040712468189</v>
          </cell>
          <cell r="Y149">
            <v>52.138040712468189</v>
          </cell>
          <cell r="Z149">
            <v>55.265267175572518</v>
          </cell>
          <cell r="AA149">
            <v>57.515267175572518</v>
          </cell>
          <cell r="AB149">
            <v>57.515267175572518</v>
          </cell>
          <cell r="AC149">
            <v>56.515267175572511</v>
          </cell>
          <cell r="AD149">
            <v>54.015267175572518</v>
          </cell>
          <cell r="AE149">
            <v>641.740458015267</v>
          </cell>
        </row>
        <row r="150">
          <cell r="C150" t="str">
            <v>TEMP CONTAINER DELIVERY</v>
          </cell>
          <cell r="D150">
            <v>39.42</v>
          </cell>
          <cell r="E150">
            <v>39.42</v>
          </cell>
          <cell r="F150">
            <v>354.78</v>
          </cell>
          <cell r="G150">
            <v>275.94</v>
          </cell>
          <cell r="H150">
            <v>197.1</v>
          </cell>
          <cell r="I150">
            <v>275.94</v>
          </cell>
          <cell r="J150">
            <v>236.52</v>
          </cell>
          <cell r="K150">
            <v>275.94</v>
          </cell>
          <cell r="L150">
            <v>433.62</v>
          </cell>
          <cell r="M150">
            <v>473.04</v>
          </cell>
          <cell r="N150">
            <v>236.52</v>
          </cell>
          <cell r="O150">
            <v>473.04</v>
          </cell>
          <cell r="P150">
            <v>394.2</v>
          </cell>
          <cell r="Q150">
            <v>315.36</v>
          </cell>
          <cell r="R150">
            <v>3942</v>
          </cell>
          <cell r="S150">
            <v>8.9999999999999982</v>
          </cell>
          <cell r="T150">
            <v>7</v>
          </cell>
          <cell r="U150">
            <v>5</v>
          </cell>
          <cell r="V150">
            <v>7</v>
          </cell>
          <cell r="W150">
            <v>6</v>
          </cell>
          <cell r="X150">
            <v>7</v>
          </cell>
          <cell r="Y150">
            <v>11</v>
          </cell>
          <cell r="Z150">
            <v>12</v>
          </cell>
          <cell r="AA150">
            <v>6</v>
          </cell>
          <cell r="AB150">
            <v>12</v>
          </cell>
          <cell r="AC150">
            <v>10</v>
          </cell>
          <cell r="AD150">
            <v>8</v>
          </cell>
          <cell r="AE150">
            <v>100</v>
          </cell>
        </row>
        <row r="151">
          <cell r="C151" t="str">
            <v>RETURN TRIP CHARGE - CONT</v>
          </cell>
          <cell r="D151">
            <v>15.53</v>
          </cell>
          <cell r="E151">
            <v>15.53</v>
          </cell>
          <cell r="F151">
            <v>46.59</v>
          </cell>
          <cell r="G151">
            <v>0</v>
          </cell>
          <cell r="H151">
            <v>15.53</v>
          </cell>
          <cell r="I151">
            <v>31.06</v>
          </cell>
          <cell r="J151">
            <v>46.59</v>
          </cell>
          <cell r="K151">
            <v>62.12</v>
          </cell>
          <cell r="L151">
            <v>62.12</v>
          </cell>
          <cell r="M151">
            <v>93.18</v>
          </cell>
          <cell r="N151">
            <v>0</v>
          </cell>
          <cell r="O151">
            <v>15.53</v>
          </cell>
          <cell r="P151">
            <v>46.59</v>
          </cell>
          <cell r="Q151">
            <v>62.12</v>
          </cell>
          <cell r="R151">
            <v>481.42999999999995</v>
          </cell>
          <cell r="S151">
            <v>3.0000000000000004</v>
          </cell>
          <cell r="T151">
            <v>0</v>
          </cell>
          <cell r="U151">
            <v>1</v>
          </cell>
          <cell r="V151">
            <v>2</v>
          </cell>
          <cell r="W151">
            <v>3.0000000000000004</v>
          </cell>
          <cell r="X151">
            <v>4</v>
          </cell>
          <cell r="Y151">
            <v>4</v>
          </cell>
          <cell r="Z151">
            <v>6.0000000000000009</v>
          </cell>
          <cell r="AA151">
            <v>0</v>
          </cell>
          <cell r="AB151">
            <v>1</v>
          </cell>
          <cell r="AC151">
            <v>3.0000000000000004</v>
          </cell>
          <cell r="AD151">
            <v>4</v>
          </cell>
          <cell r="AE151">
            <v>31</v>
          </cell>
        </row>
        <row r="152">
          <cell r="C152" t="str">
            <v>COMM UNLOCK GATE OR CONT</v>
          </cell>
          <cell r="D152">
            <v>4.37</v>
          </cell>
          <cell r="E152">
            <v>4.37</v>
          </cell>
          <cell r="F152">
            <v>21.85</v>
          </cell>
          <cell r="G152">
            <v>21.85</v>
          </cell>
          <cell r="H152">
            <v>21.85</v>
          </cell>
          <cell r="I152">
            <v>21.85</v>
          </cell>
          <cell r="J152">
            <v>21.85</v>
          </cell>
          <cell r="K152">
            <v>26.22</v>
          </cell>
          <cell r="L152">
            <v>26.22</v>
          </cell>
          <cell r="M152">
            <v>26.22</v>
          </cell>
          <cell r="N152">
            <v>26.22</v>
          </cell>
          <cell r="O152">
            <v>26.22</v>
          </cell>
          <cell r="P152">
            <v>26.22</v>
          </cell>
          <cell r="Q152">
            <v>26.22</v>
          </cell>
          <cell r="R152">
            <v>292.78999999999996</v>
          </cell>
          <cell r="S152">
            <v>5</v>
          </cell>
          <cell r="T152">
            <v>5</v>
          </cell>
          <cell r="U152">
            <v>5</v>
          </cell>
          <cell r="V152">
            <v>5</v>
          </cell>
          <cell r="W152">
            <v>5</v>
          </cell>
          <cell r="X152">
            <v>6</v>
          </cell>
          <cell r="Y152">
            <v>6</v>
          </cell>
          <cell r="Z152">
            <v>6</v>
          </cell>
          <cell r="AA152">
            <v>6</v>
          </cell>
          <cell r="AB152">
            <v>6</v>
          </cell>
          <cell r="AC152">
            <v>6</v>
          </cell>
          <cell r="AD152">
            <v>6</v>
          </cell>
          <cell r="AE152">
            <v>67</v>
          </cell>
        </row>
        <row r="153">
          <cell r="C153" t="str">
            <v>DRIVE IN DRIVEWAY - COMM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C154" t="str">
            <v>DRIVE IN PRIVATE RD - COMM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C155" t="str">
            <v>DRIVE IN - CMML</v>
          </cell>
          <cell r="D155">
            <v>4.68</v>
          </cell>
          <cell r="E155">
            <v>4.68</v>
          </cell>
          <cell r="F155">
            <v>37.44</v>
          </cell>
          <cell r="G155">
            <v>37.44</v>
          </cell>
          <cell r="H155">
            <v>37.44</v>
          </cell>
          <cell r="I155">
            <v>42.12</v>
          </cell>
          <cell r="J155">
            <v>39.78</v>
          </cell>
          <cell r="K155">
            <v>42.12</v>
          </cell>
          <cell r="L155">
            <v>42.12</v>
          </cell>
          <cell r="M155">
            <v>46.8</v>
          </cell>
          <cell r="N155">
            <v>46.8</v>
          </cell>
          <cell r="O155">
            <v>42.12</v>
          </cell>
          <cell r="P155">
            <v>42.12</v>
          </cell>
          <cell r="Q155">
            <v>42.12</v>
          </cell>
          <cell r="R155">
            <v>498.42</v>
          </cell>
          <cell r="S155">
            <v>8</v>
          </cell>
          <cell r="T155">
            <v>8</v>
          </cell>
          <cell r="U155">
            <v>8</v>
          </cell>
          <cell r="V155">
            <v>9</v>
          </cell>
          <cell r="W155">
            <v>8.5</v>
          </cell>
          <cell r="X155">
            <v>9</v>
          </cell>
          <cell r="Y155">
            <v>9</v>
          </cell>
          <cell r="Z155">
            <v>10</v>
          </cell>
          <cell r="AA155">
            <v>10</v>
          </cell>
          <cell r="AB155">
            <v>9</v>
          </cell>
          <cell r="AC155">
            <v>9</v>
          </cell>
          <cell r="AD155">
            <v>9</v>
          </cell>
          <cell r="AE155">
            <v>106.5</v>
          </cell>
        </row>
        <row r="156">
          <cell r="C156" t="str">
            <v>CMML TIME CHARGE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77.63</v>
          </cell>
          <cell r="K156">
            <v>0</v>
          </cell>
          <cell r="L156">
            <v>77.63</v>
          </cell>
          <cell r="M156">
            <v>790.19</v>
          </cell>
          <cell r="N156">
            <v>0</v>
          </cell>
          <cell r="O156">
            <v>0</v>
          </cell>
          <cell r="P156">
            <v>0</v>
          </cell>
          <cell r="Q156">
            <v>2873.43</v>
          </cell>
          <cell r="R156">
            <v>3818.88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</row>
        <row r="157">
          <cell r="R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General%20Rate%20Filings\Rate%20Filing%201-1-2019\Audit\FINAL\Copy%20of%20TG-180953%20Staff%20Workbook-%20Company%20Response%20(003)%20-%20Greg%20Edits.xls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75"/>
  <sheetViews>
    <sheetView showGridLines="0" tabSelected="1" view="pageBreakPreview" topLeftCell="A16" zoomScale="90" zoomScaleNormal="85" zoomScaleSheetLayoutView="90" workbookViewId="0">
      <selection activeCell="A2" sqref="A2"/>
    </sheetView>
  </sheetViews>
  <sheetFormatPr defaultRowHeight="15"/>
  <cols>
    <col min="1" max="1" width="31.28515625" style="3" customWidth="1"/>
    <col min="2" max="2" width="7" style="23" customWidth="1"/>
    <col min="3" max="3" width="19" style="3" bestFit="1" customWidth="1"/>
    <col min="4" max="4" width="16" style="3" bestFit="1" customWidth="1"/>
    <col min="5" max="5" width="10.5703125" style="3" bestFit="1" customWidth="1"/>
    <col min="6" max="6" width="9.85546875" style="3" customWidth="1"/>
    <col min="7" max="7" width="11.42578125" style="3" bestFit="1" customWidth="1"/>
    <col min="8" max="8" width="13.28515625" style="3" customWidth="1"/>
    <col min="9" max="9" width="10.42578125" style="3" customWidth="1"/>
    <col min="10" max="10" width="15.85546875" style="3" bestFit="1" customWidth="1"/>
    <col min="11" max="11" width="14.5703125" style="3" customWidth="1"/>
    <col min="12" max="16384" width="9.140625" style="3"/>
  </cols>
  <sheetData>
    <row r="1" spans="1:10" s="23" customFormat="1">
      <c r="A1" s="25" t="s">
        <v>87</v>
      </c>
    </row>
    <row r="2" spans="1:10" s="23" customFormat="1">
      <c r="A2" s="25" t="s">
        <v>169</v>
      </c>
      <c r="J2" s="222" t="s">
        <v>803</v>
      </c>
    </row>
    <row r="3" spans="1:10" s="23" customFormat="1"/>
    <row r="4" spans="1:10" s="23" customFormat="1"/>
    <row r="5" spans="1:10">
      <c r="A5" s="345" t="s">
        <v>15</v>
      </c>
      <c r="B5" s="345"/>
      <c r="C5" s="345"/>
      <c r="D5" s="345"/>
      <c r="E5" s="345"/>
      <c r="F5" s="345"/>
      <c r="G5" s="345"/>
      <c r="H5" s="345"/>
      <c r="I5" s="345"/>
    </row>
    <row r="6" spans="1:10">
      <c r="A6" s="3" t="s">
        <v>49</v>
      </c>
      <c r="C6" s="10" t="s">
        <v>36</v>
      </c>
      <c r="D6" s="10" t="s">
        <v>37</v>
      </c>
      <c r="E6" s="10" t="s">
        <v>38</v>
      </c>
      <c r="F6" s="11" t="s">
        <v>40</v>
      </c>
      <c r="G6" s="11" t="s">
        <v>41</v>
      </c>
      <c r="H6" s="11" t="s">
        <v>42</v>
      </c>
      <c r="I6" s="10" t="s">
        <v>45</v>
      </c>
    </row>
    <row r="7" spans="1:10">
      <c r="A7" s="3" t="s">
        <v>46</v>
      </c>
      <c r="C7" s="1">
        <f>52*5/12</f>
        <v>21.666666666666668</v>
      </c>
      <c r="D7" s="12">
        <f>$C$7*2</f>
        <v>43.333333333333336</v>
      </c>
      <c r="E7" s="12">
        <f>$C$7*3</f>
        <v>65</v>
      </c>
      <c r="F7" s="12">
        <f>$C$7*4</f>
        <v>86.666666666666671</v>
      </c>
      <c r="G7" s="12">
        <f>$C$7*5</f>
        <v>108.33333333333334</v>
      </c>
      <c r="H7" s="12">
        <f>$C$7*6</f>
        <v>130</v>
      </c>
      <c r="I7" s="12">
        <f>$C$7*7</f>
        <v>151.66666666666669</v>
      </c>
    </row>
    <row r="8" spans="1:10">
      <c r="A8" s="3" t="s">
        <v>81</v>
      </c>
      <c r="C8" s="1">
        <f>52*4/12</f>
        <v>17.333333333333332</v>
      </c>
      <c r="D8" s="12">
        <f>$C$8*2</f>
        <v>34.666666666666664</v>
      </c>
      <c r="E8" s="12">
        <f>$C$8*3</f>
        <v>52</v>
      </c>
      <c r="F8" s="12">
        <f>$C$8*4</f>
        <v>69.333333333333329</v>
      </c>
      <c r="G8" s="12">
        <f>$C$8*5</f>
        <v>86.666666666666657</v>
      </c>
      <c r="H8" s="12">
        <f>$C$8*6</f>
        <v>104</v>
      </c>
      <c r="I8" s="12">
        <f>$C$8*7</f>
        <v>121.33333333333333</v>
      </c>
    </row>
    <row r="9" spans="1:10">
      <c r="A9" s="3" t="s">
        <v>47</v>
      </c>
      <c r="C9" s="1">
        <f>52*3/12</f>
        <v>13</v>
      </c>
      <c r="D9" s="12">
        <f>$C$9*2</f>
        <v>26</v>
      </c>
      <c r="E9" s="12">
        <f>$C$9*3</f>
        <v>39</v>
      </c>
      <c r="F9" s="12">
        <f>$C$9*4</f>
        <v>52</v>
      </c>
      <c r="G9" s="12">
        <f>$C$9*5</f>
        <v>65</v>
      </c>
      <c r="H9" s="12">
        <f>$C$9*6</f>
        <v>78</v>
      </c>
      <c r="I9" s="12">
        <f>$C$9*7</f>
        <v>91</v>
      </c>
    </row>
    <row r="10" spans="1:10">
      <c r="A10" s="3" t="s">
        <v>48</v>
      </c>
      <c r="C10" s="1">
        <f>52*2/12</f>
        <v>8.6666666666666661</v>
      </c>
      <c r="D10" s="13">
        <f>$C$10*2</f>
        <v>17.333333333333332</v>
      </c>
      <c r="E10" s="13">
        <f>$C$10*3</f>
        <v>26</v>
      </c>
      <c r="F10" s="13">
        <f>$C$10*4</f>
        <v>34.666666666666664</v>
      </c>
      <c r="G10" s="13">
        <f>$C$10*5</f>
        <v>43.333333333333329</v>
      </c>
      <c r="H10" s="13">
        <f>$C$10*6</f>
        <v>52</v>
      </c>
      <c r="I10" s="13">
        <f>$C$10*7</f>
        <v>60.666666666666664</v>
      </c>
    </row>
    <row r="11" spans="1:10">
      <c r="A11" s="3" t="s">
        <v>18</v>
      </c>
      <c r="C11" s="1">
        <f>52/12</f>
        <v>4.333333333333333</v>
      </c>
      <c r="D11" s="13">
        <f>$C$11*2</f>
        <v>8.6666666666666661</v>
      </c>
      <c r="E11" s="13">
        <f>$C$11*3</f>
        <v>13</v>
      </c>
      <c r="F11" s="13">
        <f>$C$11*4</f>
        <v>17.333333333333332</v>
      </c>
      <c r="G11" s="13">
        <f>$C$11*5</f>
        <v>21.666666666666664</v>
      </c>
      <c r="H11" s="13">
        <f>$C$11*6</f>
        <v>26</v>
      </c>
      <c r="I11" s="13">
        <f>$C$11*7</f>
        <v>30.333333333333332</v>
      </c>
    </row>
    <row r="12" spans="1:10">
      <c r="A12" s="3" t="s">
        <v>20</v>
      </c>
      <c r="C12" s="1">
        <f>26/12</f>
        <v>2.1666666666666665</v>
      </c>
      <c r="D12" s="13">
        <f>$C$12*2</f>
        <v>4.333333333333333</v>
      </c>
      <c r="E12" s="13">
        <f>$C$12*3</f>
        <v>6.5</v>
      </c>
      <c r="F12" s="13">
        <f>$C$12*4</f>
        <v>8.6666666666666661</v>
      </c>
      <c r="G12" s="13">
        <f>$C$12*5</f>
        <v>10.833333333333332</v>
      </c>
      <c r="H12" s="13">
        <f>$C$12*6</f>
        <v>13</v>
      </c>
      <c r="I12" s="13">
        <f>$C$12*7</f>
        <v>15.166666666666666</v>
      </c>
    </row>
    <row r="13" spans="1:10">
      <c r="A13" s="3" t="s">
        <v>19</v>
      </c>
      <c r="C13" s="1">
        <f>12/12</f>
        <v>1</v>
      </c>
      <c r="D13" s="13">
        <f>$C$13*2</f>
        <v>2</v>
      </c>
      <c r="E13" s="13">
        <f>$C$13*3</f>
        <v>3</v>
      </c>
      <c r="F13" s="13">
        <f>$C$13*4</f>
        <v>4</v>
      </c>
      <c r="G13" s="13">
        <f>$C$13*5</f>
        <v>5</v>
      </c>
      <c r="H13" s="13">
        <f>$C$13*6</f>
        <v>6</v>
      </c>
      <c r="I13" s="13">
        <f>$C$13*7</f>
        <v>7</v>
      </c>
    </row>
    <row r="14" spans="1:10">
      <c r="A14" s="23" t="s">
        <v>92</v>
      </c>
      <c r="C14" s="1">
        <v>1</v>
      </c>
      <c r="D14" s="13"/>
      <c r="E14" s="13"/>
      <c r="F14" s="13"/>
      <c r="G14" s="13"/>
      <c r="H14" s="13"/>
      <c r="I14" s="13"/>
    </row>
    <row r="15" spans="1:10">
      <c r="A15" s="345" t="s">
        <v>9</v>
      </c>
      <c r="B15" s="345"/>
      <c r="C15" s="345"/>
      <c r="D15" s="27"/>
      <c r="E15" s="13"/>
      <c r="F15" s="13"/>
      <c r="G15" s="13"/>
      <c r="H15" s="13"/>
      <c r="I15" s="13"/>
    </row>
    <row r="16" spans="1:10">
      <c r="A16" s="25" t="s">
        <v>44</v>
      </c>
      <c r="B16" s="25"/>
      <c r="C16" s="29" t="s">
        <v>73</v>
      </c>
      <c r="D16" s="27"/>
      <c r="E16" s="13"/>
      <c r="F16" s="13"/>
      <c r="G16" s="13"/>
      <c r="H16" s="13"/>
      <c r="I16" s="13"/>
    </row>
    <row r="17" spans="1:9">
      <c r="A17" s="28" t="s">
        <v>74</v>
      </c>
      <c r="B17" s="42"/>
      <c r="C17" s="26">
        <v>20</v>
      </c>
      <c r="D17" s="27"/>
      <c r="E17" s="13"/>
      <c r="F17" s="13"/>
      <c r="G17" s="13"/>
      <c r="H17" s="13"/>
      <c r="I17" s="13"/>
    </row>
    <row r="18" spans="1:9">
      <c r="A18" s="28" t="s">
        <v>50</v>
      </c>
      <c r="B18" s="42"/>
      <c r="C18" s="26">
        <v>34</v>
      </c>
      <c r="D18" s="27"/>
      <c r="E18" s="13"/>
      <c r="F18" s="13"/>
      <c r="G18" s="13"/>
      <c r="H18" s="13"/>
      <c r="I18" s="13"/>
    </row>
    <row r="19" spans="1:9">
      <c r="A19" s="28" t="s">
        <v>51</v>
      </c>
      <c r="B19" s="42"/>
      <c r="C19" s="26">
        <v>51</v>
      </c>
      <c r="D19" s="27"/>
      <c r="E19" s="13"/>
      <c r="F19" s="13"/>
      <c r="G19" s="13"/>
      <c r="H19" s="13"/>
      <c r="I19" s="13"/>
    </row>
    <row r="20" spans="1:9">
      <c r="A20" s="28" t="s">
        <v>52</v>
      </c>
      <c r="B20" s="42"/>
      <c r="C20" s="26">
        <v>77</v>
      </c>
      <c r="D20" s="27"/>
      <c r="E20" s="13"/>
      <c r="F20" s="13"/>
      <c r="G20" s="3" t="s">
        <v>16</v>
      </c>
      <c r="H20" s="7">
        <v>2000</v>
      </c>
      <c r="I20" s="13"/>
    </row>
    <row r="21" spans="1:9">
      <c r="A21" s="28" t="s">
        <v>53</v>
      </c>
      <c r="B21" s="42"/>
      <c r="C21" s="26">
        <v>97</v>
      </c>
      <c r="D21" s="27"/>
      <c r="E21" s="13"/>
      <c r="F21" s="13"/>
      <c r="G21" s="3" t="s">
        <v>17</v>
      </c>
      <c r="H21" s="15" t="s">
        <v>39</v>
      </c>
      <c r="I21" s="13"/>
    </row>
    <row r="22" spans="1:9">
      <c r="A22" s="28" t="s">
        <v>54</v>
      </c>
      <c r="B22" s="42"/>
      <c r="C22" s="26">
        <v>117</v>
      </c>
      <c r="D22" s="27"/>
      <c r="E22" s="13"/>
      <c r="F22" s="13"/>
      <c r="I22" s="13"/>
    </row>
    <row r="23" spans="1:9">
      <c r="A23" s="28" t="s">
        <v>55</v>
      </c>
      <c r="B23" s="42"/>
      <c r="C23" s="26">
        <v>137</v>
      </c>
      <c r="D23" s="27"/>
      <c r="E23" s="13"/>
      <c r="F23" s="13"/>
      <c r="G23" s="68" t="s">
        <v>76</v>
      </c>
      <c r="H23" s="79">
        <v>12</v>
      </c>
      <c r="I23" s="13"/>
    </row>
    <row r="24" spans="1:9" s="23" customFormat="1">
      <c r="A24" s="42" t="s">
        <v>148</v>
      </c>
      <c r="B24" s="42"/>
      <c r="C24" s="35">
        <v>40</v>
      </c>
      <c r="D24" s="41" t="s">
        <v>75</v>
      </c>
      <c r="E24" s="27"/>
      <c r="F24" s="27"/>
      <c r="G24" s="8"/>
      <c r="H24" s="9"/>
      <c r="I24" s="27"/>
    </row>
    <row r="25" spans="1:9">
      <c r="A25" s="28" t="s">
        <v>56</v>
      </c>
      <c r="B25" s="42"/>
      <c r="C25" s="26">
        <v>47</v>
      </c>
      <c r="D25" s="27"/>
      <c r="E25" s="13"/>
      <c r="F25" s="13"/>
      <c r="G25" s="13"/>
      <c r="H25" s="13"/>
      <c r="I25" s="13"/>
    </row>
    <row r="26" spans="1:9">
      <c r="A26" s="28" t="s">
        <v>57</v>
      </c>
      <c r="B26" s="42"/>
      <c r="C26" s="26">
        <v>68</v>
      </c>
      <c r="D26" s="27"/>
      <c r="E26" s="13"/>
      <c r="F26" s="13"/>
      <c r="G26" s="13"/>
      <c r="H26" s="13"/>
      <c r="I26" s="13"/>
    </row>
    <row r="27" spans="1:9">
      <c r="A27" s="28" t="s">
        <v>58</v>
      </c>
      <c r="B27" s="42"/>
      <c r="C27" s="26">
        <v>34</v>
      </c>
      <c r="D27" s="27"/>
      <c r="E27" s="13"/>
      <c r="F27" s="13"/>
      <c r="G27" s="13"/>
      <c r="H27" s="13"/>
      <c r="I27" s="13"/>
    </row>
    <row r="28" spans="1:9">
      <c r="A28" s="28" t="s">
        <v>28</v>
      </c>
      <c r="B28" s="42"/>
      <c r="C28" s="26">
        <v>34</v>
      </c>
      <c r="D28" s="27"/>
      <c r="E28" s="13"/>
      <c r="F28" s="13"/>
      <c r="G28" s="13"/>
      <c r="H28" s="13"/>
      <c r="I28" s="13"/>
    </row>
    <row r="29" spans="1:9">
      <c r="A29" s="25" t="s">
        <v>59</v>
      </c>
      <c r="B29" s="25"/>
      <c r="C29" s="26"/>
      <c r="D29" s="27"/>
      <c r="E29" s="13"/>
      <c r="F29" s="13"/>
      <c r="G29" s="13"/>
      <c r="H29" s="13"/>
      <c r="I29" s="13"/>
    </row>
    <row r="30" spans="1:9">
      <c r="A30" s="28" t="s">
        <v>60</v>
      </c>
      <c r="B30" s="42"/>
      <c r="C30" s="26">
        <v>29</v>
      </c>
      <c r="D30" s="27"/>
      <c r="E30" s="13"/>
      <c r="F30" s="13"/>
      <c r="G30" s="13"/>
      <c r="H30" s="13"/>
      <c r="I30" s="13"/>
    </row>
    <row r="31" spans="1:9" s="23" customFormat="1">
      <c r="A31" s="42" t="s">
        <v>72</v>
      </c>
      <c r="B31" s="42"/>
      <c r="C31" s="35">
        <v>125</v>
      </c>
      <c r="D31" s="41"/>
      <c r="E31" s="41"/>
      <c r="F31" s="41"/>
      <c r="G31" s="41"/>
      <c r="H31" s="41"/>
      <c r="I31" s="41"/>
    </row>
    <row r="32" spans="1:9">
      <c r="A32" s="28" t="s">
        <v>61</v>
      </c>
      <c r="B32" s="42"/>
      <c r="C32" s="26">
        <v>175</v>
      </c>
      <c r="D32" s="27"/>
      <c r="E32" s="13"/>
      <c r="F32" s="13"/>
      <c r="G32" s="13"/>
      <c r="H32" s="13"/>
      <c r="I32" s="13"/>
    </row>
    <row r="33" spans="1:9" s="115" customFormat="1">
      <c r="A33" s="113" t="s">
        <v>62</v>
      </c>
      <c r="B33" s="113"/>
      <c r="C33" s="110">
        <v>250</v>
      </c>
      <c r="D33" s="100"/>
      <c r="E33" s="100"/>
      <c r="F33" s="100"/>
      <c r="G33" s="100"/>
      <c r="H33" s="100"/>
      <c r="I33" s="100"/>
    </row>
    <row r="34" spans="1:9" s="115" customFormat="1">
      <c r="A34" s="113" t="s">
        <v>63</v>
      </c>
      <c r="B34" s="113"/>
      <c r="C34" s="110">
        <v>324</v>
      </c>
      <c r="D34" s="100"/>
      <c r="E34" s="100"/>
      <c r="F34" s="100"/>
      <c r="G34" s="100"/>
      <c r="H34" s="100"/>
      <c r="I34" s="100"/>
    </row>
    <row r="35" spans="1:9" s="115" customFormat="1">
      <c r="A35" s="113" t="s">
        <v>64</v>
      </c>
      <c r="B35" s="113"/>
      <c r="C35" s="110">
        <v>473</v>
      </c>
      <c r="D35" s="100"/>
      <c r="E35" s="100"/>
      <c r="F35" s="100"/>
      <c r="G35" s="100"/>
      <c r="H35" s="100"/>
      <c r="I35" s="100"/>
    </row>
    <row r="36" spans="1:9" s="115" customFormat="1">
      <c r="A36" s="113" t="s">
        <v>65</v>
      </c>
      <c r="B36" s="113"/>
      <c r="C36" s="110">
        <v>613</v>
      </c>
      <c r="D36" s="100"/>
      <c r="E36" s="100"/>
      <c r="F36" s="100"/>
      <c r="G36" s="100"/>
      <c r="H36" s="100"/>
      <c r="I36" s="100"/>
    </row>
    <row r="37" spans="1:9" s="115" customFormat="1">
      <c r="A37" s="113" t="s">
        <v>66</v>
      </c>
      <c r="B37" s="113"/>
      <c r="C37" s="110">
        <v>840</v>
      </c>
      <c r="D37" s="100"/>
      <c r="E37" s="100"/>
      <c r="F37" s="100"/>
      <c r="G37" s="100"/>
      <c r="H37" s="100"/>
      <c r="I37" s="100"/>
    </row>
    <row r="38" spans="1:9" s="115" customFormat="1">
      <c r="A38" s="113" t="s">
        <v>67</v>
      </c>
      <c r="B38" s="113"/>
      <c r="C38" s="110">
        <v>980</v>
      </c>
      <c r="D38" s="111"/>
      <c r="E38" s="100"/>
      <c r="F38" s="100"/>
      <c r="G38" s="100"/>
      <c r="H38" s="100"/>
      <c r="I38" s="100"/>
    </row>
    <row r="39" spans="1:9" s="23" customFormat="1">
      <c r="A39" s="76" t="s">
        <v>144</v>
      </c>
      <c r="B39" s="76">
        <v>2.25</v>
      </c>
      <c r="C39" s="35"/>
      <c r="D39" s="75"/>
      <c r="E39" s="41"/>
      <c r="F39" s="41"/>
      <c r="G39" s="41"/>
      <c r="H39" s="41"/>
      <c r="I39" s="41"/>
    </row>
    <row r="40" spans="1:9" s="23" customFormat="1">
      <c r="A40" s="28" t="s">
        <v>69</v>
      </c>
      <c r="B40" s="42"/>
      <c r="C40" s="26">
        <f>C34*$B$39</f>
        <v>729</v>
      </c>
      <c r="D40" s="27" t="s">
        <v>75</v>
      </c>
      <c r="E40" s="24"/>
      <c r="F40" s="24"/>
      <c r="G40" s="24"/>
      <c r="H40" s="24"/>
      <c r="I40" s="24"/>
    </row>
    <row r="41" spans="1:9" s="23" customFormat="1">
      <c r="A41" s="28" t="s">
        <v>70</v>
      </c>
      <c r="B41" s="42"/>
      <c r="C41" s="35">
        <f>C36*$B$39</f>
        <v>1379.25</v>
      </c>
      <c r="D41" s="41" t="s">
        <v>75</v>
      </c>
      <c r="E41" s="24"/>
      <c r="F41" s="24"/>
      <c r="G41" s="24"/>
      <c r="H41" s="24"/>
      <c r="I41" s="24"/>
    </row>
    <row r="42" spans="1:9" s="23" customFormat="1">
      <c r="A42" s="28" t="s">
        <v>71</v>
      </c>
      <c r="B42" s="42"/>
      <c r="C42" s="35">
        <f>C37*$B$39</f>
        <v>1890</v>
      </c>
      <c r="D42" s="41" t="s">
        <v>75</v>
      </c>
      <c r="E42" s="24"/>
      <c r="F42" s="24"/>
      <c r="G42" s="24"/>
      <c r="H42" s="24"/>
      <c r="I42" s="24"/>
    </row>
    <row r="43" spans="1:9" s="23" customFormat="1">
      <c r="A43" s="76" t="s">
        <v>143</v>
      </c>
      <c r="B43" s="76">
        <v>3</v>
      </c>
      <c r="C43" s="35"/>
      <c r="D43" s="41"/>
      <c r="E43" s="41"/>
      <c r="F43" s="41"/>
      <c r="G43" s="41"/>
      <c r="H43" s="41"/>
      <c r="I43" s="41"/>
    </row>
    <row r="44" spans="1:9" s="23" customFormat="1">
      <c r="A44" s="42" t="s">
        <v>69</v>
      </c>
      <c r="B44" s="42"/>
      <c r="C44" s="78">
        <f>C34*$B$43</f>
        <v>972</v>
      </c>
      <c r="D44" s="41" t="s">
        <v>75</v>
      </c>
      <c r="E44" s="41"/>
      <c r="F44" s="41"/>
      <c r="G44" s="41"/>
      <c r="H44" s="41"/>
      <c r="I44" s="41"/>
    </row>
    <row r="45" spans="1:9" s="23" customFormat="1">
      <c r="A45" s="42" t="s">
        <v>68</v>
      </c>
      <c r="B45" s="42"/>
      <c r="C45" s="78">
        <f t="shared" ref="C45:C47" si="0">C35*$B$43</f>
        <v>1419</v>
      </c>
      <c r="D45" s="41" t="s">
        <v>75</v>
      </c>
      <c r="E45" s="41"/>
      <c r="F45" s="41"/>
      <c r="G45" s="41"/>
      <c r="H45" s="41"/>
      <c r="I45" s="41"/>
    </row>
    <row r="46" spans="1:9" s="23" customFormat="1">
      <c r="A46" s="42" t="s">
        <v>70</v>
      </c>
      <c r="B46" s="42"/>
      <c r="C46" s="78">
        <f t="shared" si="0"/>
        <v>1839</v>
      </c>
      <c r="D46" s="41" t="s">
        <v>75</v>
      </c>
      <c r="E46" s="41"/>
      <c r="F46" s="41"/>
      <c r="G46" s="41"/>
      <c r="H46" s="41"/>
      <c r="I46" s="41"/>
    </row>
    <row r="47" spans="1:9" s="23" customFormat="1">
      <c r="A47" s="42" t="s">
        <v>71</v>
      </c>
      <c r="B47" s="42"/>
      <c r="C47" s="78">
        <f t="shared" si="0"/>
        <v>2520</v>
      </c>
      <c r="D47" s="41" t="s">
        <v>75</v>
      </c>
      <c r="E47" s="41"/>
      <c r="F47" s="41"/>
      <c r="G47" s="41"/>
      <c r="H47" s="41"/>
      <c r="I47" s="41"/>
    </row>
    <row r="48" spans="1:9" s="23" customFormat="1">
      <c r="A48" s="76" t="s">
        <v>145</v>
      </c>
      <c r="B48" s="76">
        <v>4</v>
      </c>
      <c r="C48" s="35"/>
      <c r="D48" s="41"/>
      <c r="E48" s="41"/>
      <c r="F48" s="41"/>
      <c r="G48" s="41"/>
      <c r="H48" s="41"/>
      <c r="I48" s="41"/>
    </row>
    <row r="49" spans="1:10" s="23" customFormat="1">
      <c r="A49" s="42" t="s">
        <v>68</v>
      </c>
      <c r="B49" s="42"/>
      <c r="C49" s="78">
        <f t="shared" ref="C49:C51" si="1">C35*$B$48</f>
        <v>1892</v>
      </c>
      <c r="D49" s="41" t="s">
        <v>75</v>
      </c>
      <c r="E49" s="41"/>
      <c r="F49" s="41"/>
      <c r="G49" s="41"/>
      <c r="H49" s="41"/>
      <c r="I49" s="41"/>
    </row>
    <row r="50" spans="1:10" s="23" customFormat="1">
      <c r="A50" s="42" t="s">
        <v>70</v>
      </c>
      <c r="B50" s="42"/>
      <c r="C50" s="78">
        <f t="shared" si="1"/>
        <v>2452</v>
      </c>
      <c r="D50" s="41" t="s">
        <v>75</v>
      </c>
      <c r="E50" s="41"/>
      <c r="F50" s="41"/>
      <c r="G50" s="41"/>
      <c r="H50" s="41"/>
      <c r="I50" s="41"/>
    </row>
    <row r="51" spans="1:10" s="23" customFormat="1">
      <c r="A51" s="42" t="s">
        <v>71</v>
      </c>
      <c r="B51" s="42"/>
      <c r="C51" s="78">
        <f t="shared" si="1"/>
        <v>3360</v>
      </c>
      <c r="D51" s="41" t="s">
        <v>75</v>
      </c>
      <c r="E51" s="41"/>
      <c r="F51" s="41"/>
      <c r="G51" s="41"/>
      <c r="H51" s="41"/>
      <c r="I51" s="41"/>
    </row>
    <row r="52" spans="1:10" s="23" customFormat="1">
      <c r="A52" s="76" t="s">
        <v>146</v>
      </c>
      <c r="B52" s="76">
        <v>5</v>
      </c>
      <c r="C52" s="35"/>
      <c r="D52" s="41"/>
      <c r="E52" s="41"/>
      <c r="F52" s="41"/>
      <c r="G52" s="41"/>
      <c r="H52" s="41"/>
      <c r="I52" s="41"/>
    </row>
    <row r="53" spans="1:10" s="23" customFormat="1">
      <c r="A53" s="42" t="s">
        <v>70</v>
      </c>
      <c r="B53" s="42"/>
      <c r="C53" s="78">
        <f>C36*$B$52</f>
        <v>3065</v>
      </c>
      <c r="D53" s="41" t="s">
        <v>75</v>
      </c>
      <c r="E53" s="41"/>
      <c r="F53" s="41"/>
      <c r="G53" s="41"/>
      <c r="H53" s="41"/>
      <c r="I53" s="41"/>
    </row>
    <row r="54" spans="1:10" s="23" customFormat="1">
      <c r="A54" s="42" t="s">
        <v>71</v>
      </c>
      <c r="B54" s="42"/>
      <c r="C54" s="78">
        <f>C37*$B$52</f>
        <v>4200</v>
      </c>
      <c r="D54" s="41" t="s">
        <v>75</v>
      </c>
      <c r="E54" s="41"/>
      <c r="F54" s="41"/>
      <c r="G54" s="41"/>
      <c r="H54" s="41"/>
      <c r="I54" s="41"/>
    </row>
    <row r="55" spans="1:10">
      <c r="C55" s="347" t="s">
        <v>152</v>
      </c>
      <c r="D55" s="347"/>
    </row>
    <row r="56" spans="1:10">
      <c r="C56" s="3" t="s">
        <v>153</v>
      </c>
    </row>
    <row r="58" spans="1:10">
      <c r="A58" s="22" t="s">
        <v>142</v>
      </c>
      <c r="B58" s="45"/>
      <c r="C58" s="20" t="s">
        <v>4</v>
      </c>
      <c r="D58" s="20" t="s">
        <v>5</v>
      </c>
      <c r="G58" s="346" t="s">
        <v>23</v>
      </c>
      <c r="H58" s="346"/>
    </row>
    <row r="59" spans="1:10">
      <c r="A59" s="16" t="s">
        <v>6</v>
      </c>
      <c r="B59" s="74"/>
      <c r="C59" s="312">
        <v>168.51</v>
      </c>
      <c r="D59" s="71">
        <f>C59/2000</f>
        <v>8.4254999999999997E-2</v>
      </c>
      <c r="G59" s="3" t="s">
        <v>24</v>
      </c>
      <c r="H59" s="4">
        <v>1.7500000000000002E-2</v>
      </c>
    </row>
    <row r="60" spans="1:10">
      <c r="A60" s="16" t="s">
        <v>7</v>
      </c>
      <c r="B60" s="74"/>
      <c r="C60" s="314">
        <v>166.45</v>
      </c>
      <c r="D60" s="72">
        <f>C60/2000</f>
        <v>8.3224999999999993E-2</v>
      </c>
      <c r="G60" s="3" t="s">
        <v>25</v>
      </c>
      <c r="H60" s="5">
        <f>0.0051</f>
        <v>5.1000000000000004E-3</v>
      </c>
    </row>
    <row r="61" spans="1:10">
      <c r="A61" s="14" t="s">
        <v>8</v>
      </c>
      <c r="B61" s="42"/>
      <c r="C61" s="70">
        <f>C60-C59</f>
        <v>-2.0600000000000023</v>
      </c>
      <c r="D61" s="73">
        <f>D60-D59</f>
        <v>-1.0300000000000031E-3</v>
      </c>
      <c r="E61" s="69">
        <f>C61/C59</f>
        <v>-1.2224793780784537E-2</v>
      </c>
      <c r="G61" s="3" t="s">
        <v>43</v>
      </c>
      <c r="H61" s="6"/>
    </row>
    <row r="62" spans="1:10">
      <c r="D62" s="67"/>
      <c r="G62" s="3" t="s">
        <v>14</v>
      </c>
      <c r="H62" s="17">
        <f>SUM(H59:H61)</f>
        <v>2.2600000000000002E-2</v>
      </c>
      <c r="J62" s="66"/>
    </row>
    <row r="63" spans="1:10">
      <c r="C63" s="21" t="s">
        <v>82</v>
      </c>
    </row>
    <row r="64" spans="1:10">
      <c r="A64" s="3" t="s">
        <v>2</v>
      </c>
      <c r="C64" s="18">
        <f>C61</f>
        <v>-2.0600000000000023</v>
      </c>
      <c r="D64" s="67"/>
      <c r="G64" s="3" t="s">
        <v>26</v>
      </c>
      <c r="H64" s="19">
        <f>1-H62</f>
        <v>0.97740000000000005</v>
      </c>
    </row>
    <row r="65" spans="1:16">
      <c r="A65" s="3" t="s">
        <v>22</v>
      </c>
      <c r="C65" s="18">
        <f>C64/$H$64</f>
        <v>-2.1076324943728282</v>
      </c>
      <c r="D65" s="67"/>
    </row>
    <row r="66" spans="1:16">
      <c r="A66" s="3" t="s">
        <v>21</v>
      </c>
      <c r="C66" s="220">
        <f>'DF Calculation'!D75</f>
        <v>71533.977861783002</v>
      </c>
      <c r="D66" s="18"/>
      <c r="E66" s="56"/>
    </row>
    <row r="67" spans="1:16">
      <c r="A67" s="2" t="s">
        <v>27</v>
      </c>
      <c r="B67" s="25"/>
      <c r="C67" s="86">
        <f>C65*C66</f>
        <v>-150767.33619324036</v>
      </c>
      <c r="E67" s="56"/>
    </row>
    <row r="68" spans="1:16">
      <c r="E68" s="51"/>
    </row>
    <row r="69" spans="1:16">
      <c r="M69" s="23"/>
    </row>
    <row r="70" spans="1:16" ht="15.75" thickBot="1"/>
    <row r="71" spans="1:16">
      <c r="A71" s="59" t="s">
        <v>79</v>
      </c>
      <c r="B71" s="77"/>
      <c r="C71" s="80" t="s">
        <v>77</v>
      </c>
      <c r="E71" s="18"/>
    </row>
    <row r="72" spans="1:16">
      <c r="A72" s="60" t="s">
        <v>78</v>
      </c>
      <c r="B72" s="51"/>
      <c r="C72" s="219">
        <f>'DF Calculation'!L78-'DF Calculation'!I78</f>
        <v>-150767.33619323373</v>
      </c>
    </row>
    <row r="73" spans="1:16">
      <c r="A73" s="60" t="s">
        <v>11</v>
      </c>
      <c r="B73" s="51"/>
      <c r="C73" s="219">
        <f>C67-C72</f>
        <v>-6.6356733441352844E-9</v>
      </c>
      <c r="D73" s="221" t="s">
        <v>804</v>
      </c>
      <c r="L73" s="115"/>
      <c r="M73" s="115"/>
      <c r="N73" s="115"/>
      <c r="O73" s="115"/>
      <c r="P73" s="115"/>
    </row>
    <row r="74" spans="1:16" ht="15.75" thickBot="1">
      <c r="A74" s="87"/>
      <c r="B74" s="90"/>
      <c r="C74" s="91"/>
    </row>
    <row r="75" spans="1:16">
      <c r="A75" s="53"/>
      <c r="B75" s="88"/>
      <c r="C75" s="89"/>
    </row>
  </sheetData>
  <mergeCells count="4">
    <mergeCell ref="A5:I5"/>
    <mergeCell ref="G58:H58"/>
    <mergeCell ref="A15:C15"/>
    <mergeCell ref="C55:D55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55" orientation="portrait" r:id="rId1"/>
  <headerFooter>
    <oddFooter>&amp;L&amp;F - &amp;A&amp;R&amp;P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170"/>
  <sheetViews>
    <sheetView showGridLines="0" zoomScaleNormal="100" zoomScaleSheetLayoutView="85" zoomScalePageLayoutView="85" workbookViewId="0">
      <pane xSplit="4" ySplit="6" topLeftCell="E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5546875" defaultRowHeight="15"/>
  <cols>
    <col min="1" max="1" width="5.85546875" style="95" customWidth="1"/>
    <col min="2" max="2" width="7.5703125" style="55" customWidth="1"/>
    <col min="3" max="3" width="29.7109375" style="55" customWidth="1"/>
    <col min="4" max="4" width="33.7109375" style="103" customWidth="1"/>
    <col min="5" max="5" width="12.85546875" style="52" customWidth="1"/>
    <col min="6" max="7" width="12.85546875" style="103" customWidth="1"/>
    <col min="8" max="8" width="12.85546875" style="50" customWidth="1"/>
    <col min="9" max="14" width="12.85546875" style="103" customWidth="1"/>
    <col min="15" max="15" width="12.85546875" style="239" customWidth="1"/>
    <col min="16" max="17" width="12.85546875" style="103" customWidth="1"/>
    <col min="18" max="18" width="12.85546875" style="63" customWidth="1"/>
    <col min="19" max="19" width="9.42578125" style="103" customWidth="1"/>
    <col min="20" max="20" width="12.42578125" style="242" customWidth="1"/>
    <col min="21" max="21" width="8.85546875" style="239"/>
    <col min="22" max="22" width="12.140625" style="239" customWidth="1"/>
    <col min="23" max="16384" width="8.85546875" style="239"/>
  </cols>
  <sheetData>
    <row r="1" spans="1:20">
      <c r="A1" s="25" t="s">
        <v>87</v>
      </c>
      <c r="D1" s="260" t="s">
        <v>105</v>
      </c>
      <c r="G1" s="112"/>
      <c r="O1" s="118"/>
    </row>
    <row r="2" spans="1:20">
      <c r="A2" s="25" t="s">
        <v>88</v>
      </c>
      <c r="D2" s="261" t="s">
        <v>247</v>
      </c>
      <c r="G2" s="112"/>
      <c r="H2" s="299"/>
      <c r="O2" s="118"/>
    </row>
    <row r="3" spans="1:20">
      <c r="A3" s="95" t="s">
        <v>170</v>
      </c>
      <c r="D3" s="262" t="s">
        <v>147</v>
      </c>
      <c r="G3" s="112"/>
      <c r="M3" s="31"/>
      <c r="N3" s="31"/>
      <c r="O3" s="118"/>
    </row>
    <row r="4" spans="1:20">
      <c r="A4" s="95" t="s">
        <v>836</v>
      </c>
      <c r="D4" s="222" t="s">
        <v>803</v>
      </c>
      <c r="E4" s="34"/>
      <c r="F4" s="311"/>
      <c r="H4" s="299"/>
      <c r="M4" s="298"/>
      <c r="N4" s="298"/>
      <c r="O4" s="118"/>
    </row>
    <row r="5" spans="1:20">
      <c r="D5" s="278" t="s">
        <v>818</v>
      </c>
      <c r="E5" s="99"/>
      <c r="F5" s="98"/>
      <c r="G5" s="99"/>
      <c r="H5" s="98"/>
      <c r="I5" s="99"/>
      <c r="J5" s="98"/>
      <c r="K5" s="98"/>
      <c r="L5" s="233"/>
      <c r="M5" s="98"/>
      <c r="N5" s="98"/>
      <c r="O5" s="233"/>
    </row>
    <row r="6" spans="1:20" s="287" customFormat="1" ht="60">
      <c r="A6" s="254"/>
      <c r="B6" s="121" t="s">
        <v>13</v>
      </c>
      <c r="C6" s="121" t="s">
        <v>185</v>
      </c>
      <c r="D6" s="121" t="s">
        <v>302</v>
      </c>
      <c r="E6" s="121" t="s">
        <v>303</v>
      </c>
      <c r="F6" s="121" t="s">
        <v>9</v>
      </c>
      <c r="G6" s="121" t="s">
        <v>31</v>
      </c>
      <c r="H6" s="122" t="s">
        <v>32</v>
      </c>
      <c r="I6" s="121" t="s">
        <v>8</v>
      </c>
      <c r="J6" s="121" t="s">
        <v>0</v>
      </c>
      <c r="K6" s="121" t="s">
        <v>828</v>
      </c>
      <c r="L6" s="265" t="s">
        <v>829</v>
      </c>
      <c r="M6" s="121" t="s">
        <v>34</v>
      </c>
      <c r="N6" s="121" t="s">
        <v>830</v>
      </c>
      <c r="O6" s="264" t="s">
        <v>831</v>
      </c>
      <c r="P6" s="121" t="s">
        <v>33</v>
      </c>
      <c r="Q6" s="121" t="s">
        <v>149</v>
      </c>
      <c r="R6" s="123" t="s">
        <v>35</v>
      </c>
      <c r="S6" s="277" t="s">
        <v>786</v>
      </c>
      <c r="T6" s="286"/>
    </row>
    <row r="7" spans="1:20">
      <c r="A7" s="352"/>
      <c r="B7" s="44">
        <v>23</v>
      </c>
      <c r="C7" s="112" t="s">
        <v>187</v>
      </c>
      <c r="D7" s="119" t="str">
        <f>VLOOKUP(C7,Mapping!$C$2:$H$157,6,FALSE)</f>
        <v>20 Gallon Cart WG-NR</v>
      </c>
      <c r="E7" s="104">
        <f>SUMIFS(Mapping!M:M,Mapping!A:A,"Residential",Mapping!D:D,'DF Calculation'!C7)</f>
        <v>1410.6570482197596</v>
      </c>
      <c r="F7" s="104">
        <f>VLOOKUP(C7,Mapping!D:L,7,FALSE)</f>
        <v>20</v>
      </c>
      <c r="G7" s="104">
        <f t="shared" ref="G7:G19" si="0">E7*F7</f>
        <v>28213.140964395192</v>
      </c>
      <c r="H7" s="43">
        <f t="shared" ref="H7:H19" si="1">$D$78*G7</f>
        <v>23312.365357807823</v>
      </c>
      <c r="I7" s="104">
        <f>(References!$D$61*H7)</f>
        <v>-24.01173631854213</v>
      </c>
      <c r="J7" s="104">
        <f>I7/References!$H$64</f>
        <v>-24.566949374403652</v>
      </c>
      <c r="K7" s="312">
        <v>17.760000000000002</v>
      </c>
      <c r="L7" s="313">
        <v>17.68</v>
      </c>
      <c r="M7" s="117">
        <f>IFERROR((J7/E7),0)*References!$C$11</f>
        <v>-7.5466096282412229E-2</v>
      </c>
      <c r="N7" s="263">
        <f>+K7+M7</f>
        <v>17.68453390371759</v>
      </c>
      <c r="O7" s="263">
        <f>M7+L7</f>
        <v>17.604533903717588</v>
      </c>
      <c r="P7" s="120">
        <f>(E7/References!$C$11)*'DF Calculation'!K7</f>
        <v>5781.5236560883695</v>
      </c>
      <c r="Q7" s="120">
        <f>(E7/References!$C$11)*'DF Calculation'!N7</f>
        <v>5756.956706713966</v>
      </c>
      <c r="R7" s="120">
        <f t="shared" ref="R7:R14" si="2">Q7-P7</f>
        <v>-24.566949374403521</v>
      </c>
      <c r="S7" s="245">
        <f>(((F7*$D$78)*(References!$D$61/References!$H$64))*References!$C$11)-M7</f>
        <v>0</v>
      </c>
      <c r="T7" s="300" t="s">
        <v>820</v>
      </c>
    </row>
    <row r="8" spans="1:20">
      <c r="A8" s="352"/>
      <c r="B8" s="44">
        <v>23</v>
      </c>
      <c r="C8" s="112" t="s">
        <v>188</v>
      </c>
      <c r="D8" s="119" t="str">
        <f>VLOOKUP(C8,Mapping!$C$2:$H$157,6,FALSE)</f>
        <v>20 Gallon Cart WG-R</v>
      </c>
      <c r="E8" s="104">
        <f>SUMIFS(Mapping!M:M,Mapping!A:A,"Residential",Mapping!D:D,'DF Calculation'!C8)</f>
        <v>154172.32310580823</v>
      </c>
      <c r="F8" s="241">
        <f>VLOOKUP(C8,Mapping!D:L,7,FALSE)</f>
        <v>20</v>
      </c>
      <c r="G8" s="104">
        <f t="shared" si="0"/>
        <v>3083446.4621161646</v>
      </c>
      <c r="H8" s="43">
        <f t="shared" si="1"/>
        <v>2547835.0877985242</v>
      </c>
      <c r="I8" s="104">
        <f>(References!$D$61*H8)</f>
        <v>-2624.270140432488</v>
      </c>
      <c r="J8" s="104">
        <f>I8/References!$H$64</f>
        <v>-2684.9500106737137</v>
      </c>
      <c r="K8" s="312">
        <v>16.760000000000002</v>
      </c>
      <c r="L8" s="313">
        <v>16.68</v>
      </c>
      <c r="M8" s="240">
        <f>IFERROR((J8/E8),0)*References!$C$11</f>
        <v>-7.5466096282412229E-2</v>
      </c>
      <c r="N8" s="263">
        <f t="shared" ref="N8:N19" si="3">+K8+M8</f>
        <v>16.68453390371759</v>
      </c>
      <c r="O8" s="263">
        <f t="shared" ref="O8:O19" si="4">M8+L8</f>
        <v>16.604533903717588</v>
      </c>
      <c r="P8" s="120">
        <f>(E8/References!$C$11)*'DF Calculation'!K8</f>
        <v>596291.10813538765</v>
      </c>
      <c r="Q8" s="120">
        <f>(E8/References!$C$11)*'DF Calculation'!N8</f>
        <v>593606.15812471393</v>
      </c>
      <c r="R8" s="120">
        <f t="shared" si="2"/>
        <v>-2684.950010673725</v>
      </c>
      <c r="S8" s="245">
        <f>(((F8*$D$78)*(References!$D$61/References!$H$64))*References!$C$11)-M8</f>
        <v>0</v>
      </c>
      <c r="T8" s="300" t="s">
        <v>820</v>
      </c>
    </row>
    <row r="9" spans="1:20">
      <c r="A9" s="352"/>
      <c r="B9" s="44">
        <v>23</v>
      </c>
      <c r="C9" s="112" t="s">
        <v>190</v>
      </c>
      <c r="D9" s="119" t="str">
        <f>VLOOKUP(C9,Mapping!$C$2:$H$157,6,FALSE)</f>
        <v>35 Gallon Cart WG-NR</v>
      </c>
      <c r="E9" s="104">
        <f>SUMIFS(Mapping!M:M,Mapping!A:A,"Residential",Mapping!D:D,'DF Calculation'!C9)</f>
        <v>21398.070850109594</v>
      </c>
      <c r="F9" s="241">
        <f>VLOOKUP(C9,Mapping!D:L,7,FALSE)</f>
        <v>34</v>
      </c>
      <c r="G9" s="104">
        <f t="shared" si="0"/>
        <v>727534.40890372614</v>
      </c>
      <c r="H9" s="43">
        <f t="shared" si="1"/>
        <v>601157.73611114488</v>
      </c>
      <c r="I9" s="104">
        <f>(References!$D$61*H9)</f>
        <v>-619.19246819448108</v>
      </c>
      <c r="J9" s="104">
        <f>I9/References!$H$64</f>
        <v>-633.50978943572852</v>
      </c>
      <c r="K9" s="312">
        <v>22.36</v>
      </c>
      <c r="L9" s="313">
        <v>22.26</v>
      </c>
      <c r="M9" s="240">
        <f>IFERROR((J9/E9),0)*References!$C$11</f>
        <v>-0.1282923636801008</v>
      </c>
      <c r="N9" s="263">
        <f t="shared" si="3"/>
        <v>22.2317076363199</v>
      </c>
      <c r="O9" s="263">
        <f t="shared" si="4"/>
        <v>22.131707636319902</v>
      </c>
      <c r="P9" s="120">
        <f>(E9/References!$C$11)*'DF Calculation'!K9</f>
        <v>110414.04558656551</v>
      </c>
      <c r="Q9" s="120">
        <f>(E9/References!$C$11)*'DF Calculation'!N9</f>
        <v>109780.53579712978</v>
      </c>
      <c r="R9" s="120">
        <f t="shared" si="2"/>
        <v>-633.50978943573136</v>
      </c>
      <c r="S9" s="245">
        <f>(((F9*$D$78)*(References!$D$61/References!$H$64))*References!$C$11)-M9</f>
        <v>0</v>
      </c>
      <c r="T9" s="300" t="s">
        <v>820</v>
      </c>
    </row>
    <row r="10" spans="1:20">
      <c r="A10" s="352"/>
      <c r="B10" s="44">
        <v>23</v>
      </c>
      <c r="C10" s="112" t="s">
        <v>191</v>
      </c>
      <c r="D10" s="119" t="str">
        <f>VLOOKUP(C10,Mapping!$C$2:$H$157,6,FALSE)</f>
        <v>35 Gallon Cart WG-R</v>
      </c>
      <c r="E10" s="104">
        <f>SUMIFS(Mapping!M:M,Mapping!A:A,"Residential",Mapping!D:D,'DF Calculation'!C10)</f>
        <v>1757187.7791191617</v>
      </c>
      <c r="F10" s="241">
        <f>VLOOKUP(C10,Mapping!D:L,7,FALSE)</f>
        <v>34</v>
      </c>
      <c r="G10" s="104">
        <f t="shared" si="0"/>
        <v>59744384.490051493</v>
      </c>
      <c r="H10" s="43">
        <f t="shared" si="1"/>
        <v>49366460.865421213</v>
      </c>
      <c r="I10" s="104">
        <f>(References!$D$61*H10)</f>
        <v>-50847.454691384002</v>
      </c>
      <c r="J10" s="104">
        <f>I10/References!$H$64</f>
        <v>-52023.178526073258</v>
      </c>
      <c r="K10" s="312">
        <v>21.36</v>
      </c>
      <c r="L10" s="313">
        <v>21.26</v>
      </c>
      <c r="M10" s="240">
        <f>IFERROR((J10/E10),0)*References!$C$11</f>
        <v>-0.1282923636801008</v>
      </c>
      <c r="N10" s="263">
        <f t="shared" si="3"/>
        <v>21.2317076363199</v>
      </c>
      <c r="O10" s="263">
        <f t="shared" si="4"/>
        <v>21.131707636319902</v>
      </c>
      <c r="P10" s="120">
        <f>(E10/References!$C$11)*'DF Calculation'!K10</f>
        <v>8661584.0681504533</v>
      </c>
      <c r="Q10" s="120">
        <f>(E10/References!$C$11)*'DF Calculation'!N10</f>
        <v>8609560.8896243796</v>
      </c>
      <c r="R10" s="120">
        <f t="shared" si="2"/>
        <v>-52023.178526073694</v>
      </c>
      <c r="S10" s="245">
        <f>(((F10*$D$78)*(References!$D$61/References!$H$64))*References!$C$11)-M10</f>
        <v>0</v>
      </c>
      <c r="T10" s="300" t="s">
        <v>820</v>
      </c>
    </row>
    <row r="11" spans="1:20">
      <c r="A11" s="352"/>
      <c r="B11" s="44">
        <v>23</v>
      </c>
      <c r="C11" s="112" t="s">
        <v>193</v>
      </c>
      <c r="D11" s="119" t="str">
        <f>VLOOKUP(C11,Mapping!$C$2:$H$157,6,FALSE)</f>
        <v>65 Gallon Cart WG-NR</v>
      </c>
      <c r="E11" s="104">
        <f>SUMIFS(Mapping!M:M,Mapping!A:A,"Residential",Mapping!D:D,'DF Calculation'!C11)</f>
        <v>9072.5640337040695</v>
      </c>
      <c r="F11" s="241">
        <f>VLOOKUP(C11,Mapping!D:L,7,FALSE)</f>
        <v>47</v>
      </c>
      <c r="G11" s="104">
        <f t="shared" si="0"/>
        <v>426410.50958409125</v>
      </c>
      <c r="H11" s="43">
        <f t="shared" si="1"/>
        <v>352340.69132459845</v>
      </c>
      <c r="I11" s="104">
        <f>(References!$D$61*H11)</f>
        <v>-362.91091206433748</v>
      </c>
      <c r="J11" s="104">
        <f>I11/References!$H$64</f>
        <v>-371.30234506275576</v>
      </c>
      <c r="K11" s="312">
        <v>33.340000000000003</v>
      </c>
      <c r="L11" s="313">
        <v>33.19</v>
      </c>
      <c r="M11" s="240">
        <f>IFERROR((J11/E11),0)*References!$C$11</f>
        <v>-0.17734532626366878</v>
      </c>
      <c r="N11" s="263">
        <f t="shared" si="3"/>
        <v>33.162654673736334</v>
      </c>
      <c r="O11" s="263">
        <f t="shared" si="4"/>
        <v>33.012654673736328</v>
      </c>
      <c r="P11" s="120">
        <f>(E11/References!$C$11)*'DF Calculation'!K11</f>
        <v>69802.911896237012</v>
      </c>
      <c r="Q11" s="120">
        <f>(E11/References!$C$11)*'DF Calculation'!N11</f>
        <v>69431.609551174261</v>
      </c>
      <c r="R11" s="120">
        <f t="shared" si="2"/>
        <v>-371.30234506275156</v>
      </c>
      <c r="S11" s="245">
        <f>(((F11*$D$78)*(References!$D$61/References!$H$64))*References!$C$11)-M11</f>
        <v>0</v>
      </c>
      <c r="T11" s="300" t="s">
        <v>820</v>
      </c>
    </row>
    <row r="12" spans="1:20">
      <c r="A12" s="352"/>
      <c r="B12" s="44">
        <v>23</v>
      </c>
      <c r="C12" s="112" t="s">
        <v>194</v>
      </c>
      <c r="D12" s="119" t="str">
        <f>VLOOKUP(C12,Mapping!$C$2:$H$157,6,FALSE)</f>
        <v>65 Gallon Cart WG-R</v>
      </c>
      <c r="E12" s="104">
        <f>SUMIFS(Mapping!M:M,Mapping!A:A,"Residential",Mapping!D:D,'DF Calculation'!C12)</f>
        <v>805220.57214979106</v>
      </c>
      <c r="F12" s="241">
        <f>VLOOKUP(C12,Mapping!D:L,7,FALSE)</f>
        <v>47</v>
      </c>
      <c r="G12" s="104">
        <f t="shared" si="0"/>
        <v>37845366.891040176</v>
      </c>
      <c r="H12" s="43">
        <f t="shared" si="1"/>
        <v>31271421.398192603</v>
      </c>
      <c r="I12" s="104">
        <f>(References!$D$61*H12)</f>
        <v>-32209.564040138481</v>
      </c>
      <c r="J12" s="104">
        <f>I12/References!$H$64</f>
        <v>-32954.331942028322</v>
      </c>
      <c r="K12" s="312">
        <v>31.34</v>
      </c>
      <c r="L12" s="313">
        <v>31.19</v>
      </c>
      <c r="M12" s="240">
        <f>IFERROR((J12/E12),0)*References!$C$11</f>
        <v>-0.17734532626366875</v>
      </c>
      <c r="N12" s="263">
        <f t="shared" si="3"/>
        <v>31.162654673736331</v>
      </c>
      <c r="O12" s="263">
        <f t="shared" si="4"/>
        <v>31.012654673736332</v>
      </c>
      <c r="P12" s="120">
        <f>(E12/References!$C$11)*'DF Calculation'!K12</f>
        <v>5823602.9379633358</v>
      </c>
      <c r="Q12" s="120">
        <f>(E12/References!$C$11)*'DF Calculation'!N12</f>
        <v>5790648.6060213074</v>
      </c>
      <c r="R12" s="120">
        <f>Q12-P12</f>
        <v>-32954.331942028366</v>
      </c>
      <c r="S12" s="245">
        <f>(((F12*$D$78)*(References!$D$61/References!$H$64))*References!$C$11)-M12</f>
        <v>0</v>
      </c>
      <c r="T12" s="300" t="s">
        <v>820</v>
      </c>
    </row>
    <row r="13" spans="1:20">
      <c r="A13" s="352"/>
      <c r="B13" s="44">
        <v>23</v>
      </c>
      <c r="C13" s="112" t="s">
        <v>196</v>
      </c>
      <c r="D13" s="119" t="str">
        <f>VLOOKUP(C13,Mapping!$C$2:$H$157,6,FALSE)</f>
        <v>95 Gallon Cart WG-NR</v>
      </c>
      <c r="E13" s="104">
        <f>SUMIFS(Mapping!M:M,Mapping!A:A,"Residential",Mapping!D:D,'DF Calculation'!C13)</f>
        <v>835.629295330481</v>
      </c>
      <c r="F13" s="241">
        <f>VLOOKUP(C13,Mapping!D:L,7,FALSE)</f>
        <v>68</v>
      </c>
      <c r="G13" s="104">
        <f t="shared" si="0"/>
        <v>56822.792082472704</v>
      </c>
      <c r="H13" s="43">
        <f t="shared" si="1"/>
        <v>46952.364905030714</v>
      </c>
      <c r="I13" s="104">
        <f>(References!$D$61*H13)</f>
        <v>-48.360935852181782</v>
      </c>
      <c r="J13" s="104">
        <f>I13/References!$H$64</f>
        <v>-49.479164980746653</v>
      </c>
      <c r="K13" s="312">
        <v>46.67</v>
      </c>
      <c r="L13" s="313">
        <v>46.47</v>
      </c>
      <c r="M13" s="240">
        <f>IFERROR((J13/E13),0)*References!$C$11</f>
        <v>-0.25658472736020155</v>
      </c>
      <c r="N13" s="263">
        <f t="shared" si="3"/>
        <v>46.413415272639803</v>
      </c>
      <c r="O13" s="263">
        <f t="shared" si="4"/>
        <v>46.2134152726398</v>
      </c>
      <c r="P13" s="120">
        <f>(E13/References!$C$11)*'DF Calculation'!K13</f>
        <v>8999.727510709281</v>
      </c>
      <c r="Q13" s="120">
        <f>(E13/References!$C$11)*'DF Calculation'!N13</f>
        <v>8950.2483457285362</v>
      </c>
      <c r="R13" s="120">
        <f t="shared" si="2"/>
        <v>-49.479164980744827</v>
      </c>
      <c r="S13" s="245">
        <f>(((F13*$D$78)*(References!$D$61/References!$H$64))*References!$C$11)-M13</f>
        <v>0</v>
      </c>
      <c r="T13" s="300" t="s">
        <v>820</v>
      </c>
    </row>
    <row r="14" spans="1:20">
      <c r="A14" s="352"/>
      <c r="B14" s="44">
        <v>23</v>
      </c>
      <c r="C14" s="112" t="s">
        <v>197</v>
      </c>
      <c r="D14" s="119" t="str">
        <f>VLOOKUP(C14,Mapping!$C$2:$H$157,6,FALSE)</f>
        <v>95 Gallon Cart WG-R</v>
      </c>
      <c r="E14" s="104">
        <f>SUMIFS(Mapping!M:M,Mapping!A:A,"Residential",Mapping!D:D,'DF Calculation'!C14)</f>
        <v>105705.54669365364</v>
      </c>
      <c r="F14" s="241">
        <f>VLOOKUP(C14,Mapping!D:L,7,FALSE)</f>
        <v>68</v>
      </c>
      <c r="G14" s="104">
        <f t="shared" si="0"/>
        <v>7187977.1751684472</v>
      </c>
      <c r="H14" s="43">
        <f t="shared" si="1"/>
        <v>5939386.5540380972</v>
      </c>
      <c r="I14" s="104">
        <f>(References!$D$61*H14)</f>
        <v>-6117.5681506592591</v>
      </c>
      <c r="J14" s="104">
        <f>I14/References!$H$64</f>
        <v>-6259.0220489658877</v>
      </c>
      <c r="K14" s="312">
        <v>43.67</v>
      </c>
      <c r="L14" s="313">
        <v>43.47</v>
      </c>
      <c r="M14" s="240">
        <f>IFERROR((J14/E14),0)*References!$C$11</f>
        <v>-0.2565847273602016</v>
      </c>
      <c r="N14" s="263">
        <f t="shared" si="3"/>
        <v>43.413415272639803</v>
      </c>
      <c r="O14" s="263">
        <f t="shared" si="4"/>
        <v>43.2134152726398</v>
      </c>
      <c r="P14" s="120">
        <f>(E14/References!$C$11)*'DF Calculation'!K14</f>
        <v>1065267.9747950435</v>
      </c>
      <c r="Q14" s="120">
        <f>(E14/References!$C$11)*'DF Calculation'!N14</f>
        <v>1059008.9527460774</v>
      </c>
      <c r="R14" s="120">
        <f t="shared" si="2"/>
        <v>-6259.0220489660278</v>
      </c>
      <c r="S14" s="245">
        <f>(((F14*$D$78)*(References!$D$61/References!$H$64))*References!$C$11)-M14</f>
        <v>0</v>
      </c>
      <c r="T14" s="300" t="s">
        <v>820</v>
      </c>
    </row>
    <row r="15" spans="1:20" ht="15" customHeight="1">
      <c r="A15" s="352"/>
      <c r="B15" s="237">
        <v>23</v>
      </c>
      <c r="C15" s="112" t="s">
        <v>186</v>
      </c>
      <c r="D15" s="119" t="str">
        <f>VLOOKUP(C15,Mapping!$C$2:$H$157,6,FALSE)</f>
        <v>20 Gallon Cart MG</v>
      </c>
      <c r="E15" s="241">
        <f>SUMIFS(Mapping!M:M,Mapping!A:A,"Residential",Mapping!D:D,'DF Calculation'!C15)</f>
        <v>1052.1617746073919</v>
      </c>
      <c r="F15" s="241">
        <f>VLOOKUP(C15,Mapping!D:L,7,FALSE)</f>
        <v>20</v>
      </c>
      <c r="G15" s="241">
        <f>E15*F15</f>
        <v>21043.235492147836</v>
      </c>
      <c r="H15" s="236">
        <f t="shared" si="1"/>
        <v>17387.911353876993</v>
      </c>
      <c r="I15" s="241">
        <f>(References!$D$61*H15)</f>
        <v>-17.909548694493356</v>
      </c>
      <c r="J15" s="241">
        <f>I15/References!$H$64</f>
        <v>-18.323663489352725</v>
      </c>
      <c r="K15" s="312">
        <v>10.11</v>
      </c>
      <c r="L15" s="313">
        <v>10.06</v>
      </c>
      <c r="M15" s="240">
        <f>IFERROR((J15/E15),0)</f>
        <v>-1.7415252988248975E-2</v>
      </c>
      <c r="N15" s="263">
        <f t="shared" si="3"/>
        <v>10.092584747011751</v>
      </c>
      <c r="O15" s="263">
        <f>M15+L15</f>
        <v>10.042584747011752</v>
      </c>
      <c r="P15" s="120">
        <f>E15*'DF Calculation'!K15</f>
        <v>10637.355541280731</v>
      </c>
      <c r="Q15" s="120">
        <f>(E15*'DF Calculation'!N15)</f>
        <v>10619.031877791378</v>
      </c>
      <c r="R15" s="120">
        <f t="shared" ref="R15:R19" si="5">Q15-P15</f>
        <v>-18.323663489352839</v>
      </c>
      <c r="S15" s="245">
        <f>(((F15*$D$78)*(References!$D$61/References!$H$64)))-M15</f>
        <v>0</v>
      </c>
      <c r="T15" s="84"/>
    </row>
    <row r="16" spans="1:20">
      <c r="A16" s="352"/>
      <c r="B16" s="44">
        <v>23</v>
      </c>
      <c r="C16" s="112" t="s">
        <v>189</v>
      </c>
      <c r="D16" s="119" t="str">
        <f>VLOOKUP(C16,Mapping!$C$2:$H$157,6,FALSE)</f>
        <v>35 Gallon Cart MG</v>
      </c>
      <c r="E16" s="104">
        <f>SUMIFS(Mapping!M:M,Mapping!A:A,"Residential",Mapping!D:D,'DF Calculation'!C16)</f>
        <v>7061.7658081380496</v>
      </c>
      <c r="F16" s="241">
        <f>VLOOKUP(C16,Mapping!D:L,7,FALSE)</f>
        <v>34</v>
      </c>
      <c r="G16" s="104">
        <f>E16*F16</f>
        <v>240100.03747669369</v>
      </c>
      <c r="H16" s="43">
        <f t="shared" si="1"/>
        <v>198393.35872399996</v>
      </c>
      <c r="I16" s="104">
        <f>(References!$D$61*H16)</f>
        <v>-204.34515948572059</v>
      </c>
      <c r="J16" s="104">
        <f>I16/References!$H$64</f>
        <v>-209.07014475723406</v>
      </c>
      <c r="K16" s="312">
        <v>12.62</v>
      </c>
      <c r="L16" s="313">
        <v>12.56</v>
      </c>
      <c r="M16" s="117">
        <f>IFERROR((J16/E16),0)</f>
        <v>-2.9605930080023261E-2</v>
      </c>
      <c r="N16" s="263">
        <f t="shared" si="3"/>
        <v>12.590394069919975</v>
      </c>
      <c r="O16" s="263">
        <f>M16+L16</f>
        <v>12.530394069919977</v>
      </c>
      <c r="P16" s="120">
        <f>E16*'DF Calculation'!K16</f>
        <v>89119.484498702179</v>
      </c>
      <c r="Q16" s="120">
        <f>(E16*'DF Calculation'!N16)</f>
        <v>88910.414353944943</v>
      </c>
      <c r="R16" s="120">
        <f t="shared" si="5"/>
        <v>-209.07014475723554</v>
      </c>
      <c r="S16" s="245">
        <f>(((F16*$D$78)*(References!$D$61/References!$H$64)))-M16</f>
        <v>0</v>
      </c>
      <c r="T16" s="84"/>
    </row>
    <row r="17" spans="1:20">
      <c r="A17" s="352"/>
      <c r="B17" s="44">
        <v>23</v>
      </c>
      <c r="C17" s="112" t="s">
        <v>192</v>
      </c>
      <c r="D17" s="119" t="str">
        <f>VLOOKUP(C17,Mapping!$C$2:$H$157,6,FALSE)</f>
        <v>65 Gallon Cart  MG</v>
      </c>
      <c r="E17" s="104">
        <f>SUMIFS(Mapping!M:M,Mapping!A:A,"Residential",Mapping!D:D,'DF Calculation'!C17)</f>
        <v>539.09676910576877</v>
      </c>
      <c r="F17" s="241">
        <f>VLOOKUP(C17,Mapping!D:L,7,FALSE)</f>
        <v>47</v>
      </c>
      <c r="G17" s="104">
        <f>E17*F17</f>
        <v>25337.548147971131</v>
      </c>
      <c r="H17" s="43">
        <f t="shared" si="1"/>
        <v>20936.278610098114</v>
      </c>
      <c r="I17" s="104">
        <f>(References!$D$61*H17)</f>
        <v>-21.564366968401124</v>
      </c>
      <c r="J17" s="104">
        <f>I17/References!$H$64</f>
        <v>-22.062990554942832</v>
      </c>
      <c r="K17" s="312">
        <v>18.850000000000001</v>
      </c>
      <c r="L17" s="313">
        <v>18.760000000000002</v>
      </c>
      <c r="M17" s="117">
        <f>IFERROR((J17/E17),0)</f>
        <v>-4.0925844522385103E-2</v>
      </c>
      <c r="N17" s="263">
        <f t="shared" si="3"/>
        <v>18.809074155477617</v>
      </c>
      <c r="O17" s="263">
        <f>M17+L17</f>
        <v>18.719074155477617</v>
      </c>
      <c r="P17" s="120">
        <f>E17*'DF Calculation'!K17</f>
        <v>10161.974097643742</v>
      </c>
      <c r="Q17" s="120">
        <f>(E17*'DF Calculation'!N17)</f>
        <v>10139.911107088799</v>
      </c>
      <c r="R17" s="120">
        <f t="shared" si="5"/>
        <v>-22.062990554943099</v>
      </c>
      <c r="S17" s="245">
        <f>(((F17*$D$78)*(References!$D$61/References!$H$64)))-M17</f>
        <v>0</v>
      </c>
      <c r="T17" s="84"/>
    </row>
    <row r="18" spans="1:20">
      <c r="A18" s="352"/>
      <c r="B18" s="44">
        <v>23</v>
      </c>
      <c r="C18" s="112" t="s">
        <v>195</v>
      </c>
      <c r="D18" s="119" t="str">
        <f>VLOOKUP(C18,Mapping!$C$2:$H$157,6,FALSE)</f>
        <v>95 Gallon Cart MG</v>
      </c>
      <c r="E18" s="104">
        <f>SUMIFS(Mapping!M:M,Mapping!A:A,"Residential",Mapping!D:D,'DF Calculation'!C18)</f>
        <v>62.452945164061695</v>
      </c>
      <c r="F18" s="241">
        <f>VLOOKUP(C18,Mapping!D:L,7,FALSE)</f>
        <v>68</v>
      </c>
      <c r="G18" s="104">
        <f>E18*F18</f>
        <v>4246.8002711561949</v>
      </c>
      <c r="H18" s="43">
        <f t="shared" si="1"/>
        <v>3509.108030466075</v>
      </c>
      <c r="I18" s="104">
        <f>(References!$D$61*H18)</f>
        <v>-3.614381271380068</v>
      </c>
      <c r="J18" s="104">
        <f>I18/References!$H$64</f>
        <v>-3.697955055637475</v>
      </c>
      <c r="K18" s="312">
        <v>26.44</v>
      </c>
      <c r="L18" s="313">
        <v>26.32</v>
      </c>
      <c r="M18" s="117">
        <f>IFERROR((J18/E18),0)</f>
        <v>-5.9211860160046523E-2</v>
      </c>
      <c r="N18" s="263">
        <f t="shared" si="3"/>
        <v>26.380788139839954</v>
      </c>
      <c r="O18" s="263">
        <f>M18+L18</f>
        <v>26.260788139839953</v>
      </c>
      <c r="P18" s="120">
        <f>E18*'DF Calculation'!K18</f>
        <v>1651.2558701377914</v>
      </c>
      <c r="Q18" s="120">
        <f>(E18*'DF Calculation'!N18)</f>
        <v>1647.5579150821538</v>
      </c>
      <c r="R18" s="120">
        <f t="shared" si="5"/>
        <v>-3.6979550556375216</v>
      </c>
      <c r="S18" s="245">
        <f>(((F18*$D$78)*(References!$D$61/References!$H$64)))-M18</f>
        <v>0</v>
      </c>
      <c r="T18" s="84"/>
    </row>
    <row r="19" spans="1:20" ht="16.5" customHeight="1" thickBot="1">
      <c r="A19" s="353"/>
      <c r="B19" s="44">
        <v>24</v>
      </c>
      <c r="C19" s="112" t="s">
        <v>106</v>
      </c>
      <c r="D19" s="119" t="str">
        <f>VLOOKUP(C19,Mapping!$C$2:$H$157,6,FALSE)</f>
        <v>Extra Units Extra</v>
      </c>
      <c r="E19" s="104">
        <f>SUMIFS(Mapping!M:M,Mapping!A:A,"Residential",Mapping!D:D,'DF Calculation'!C19)</f>
        <v>58514.046206481697</v>
      </c>
      <c r="F19" s="241">
        <f>VLOOKUP(C19,Mapping!D:L,7,FALSE)</f>
        <v>34</v>
      </c>
      <c r="G19" s="104">
        <f t="shared" si="0"/>
        <v>1989477.5710203778</v>
      </c>
      <c r="H19" s="43">
        <f t="shared" si="1"/>
        <v>1643894.526501734</v>
      </c>
      <c r="I19" s="104">
        <f>(References!$D$61*H19)</f>
        <v>-1693.2113622967913</v>
      </c>
      <c r="J19" s="104">
        <f>I19/References!$H$64</f>
        <v>-1732.3627606883479</v>
      </c>
      <c r="K19" s="312">
        <v>4.88</v>
      </c>
      <c r="L19" s="313">
        <v>4.8600000000000003</v>
      </c>
      <c r="M19" s="117">
        <f t="shared" ref="M19:M29" si="6">IFERROR((J19/E19),0)</f>
        <v>-2.9605930080023268E-2</v>
      </c>
      <c r="N19" s="263">
        <f t="shared" si="3"/>
        <v>4.850394069919977</v>
      </c>
      <c r="O19" s="263">
        <f t="shared" si="4"/>
        <v>4.8303940699199774</v>
      </c>
      <c r="P19" s="120">
        <f>E19*'DF Calculation'!K19</f>
        <v>285548.54548763065</v>
      </c>
      <c r="Q19" s="120">
        <f>(E19*'DF Calculation'!N19)</f>
        <v>283816.18272694235</v>
      </c>
      <c r="R19" s="120">
        <f t="shared" si="5"/>
        <v>-1732.3627606882947</v>
      </c>
      <c r="S19" s="245">
        <f>(((F19*$D$78)*(References!$D$61/References!$H$64)))-M19</f>
        <v>0</v>
      </c>
      <c r="T19" s="84"/>
    </row>
    <row r="20" spans="1:20" ht="15.75" thickBot="1">
      <c r="A20" s="131"/>
      <c r="B20" s="92"/>
      <c r="C20" s="109"/>
      <c r="D20" s="93" t="s">
        <v>14</v>
      </c>
      <c r="E20" s="85">
        <f>SUM(E7:E19)</f>
        <v>2922232.6657992755</v>
      </c>
      <c r="F20" s="94"/>
      <c r="G20" s="212">
        <f>SUM(G7:G19)</f>
        <v>111380361.06231931</v>
      </c>
      <c r="H20" s="212">
        <f>SUM(H7:H19)</f>
        <v>92032988.246369183</v>
      </c>
      <c r="I20" s="212">
        <f>SUM(I7:I19)</f>
        <v>-94793.977893760559</v>
      </c>
      <c r="J20" s="212">
        <f>SUM(J7:J19)</f>
        <v>-96985.858291140335</v>
      </c>
      <c r="K20" s="232"/>
      <c r="L20" s="309"/>
      <c r="M20" s="85"/>
      <c r="N20" s="244"/>
      <c r="O20" s="212"/>
      <c r="P20" s="85">
        <f>SUM(P7:P19)</f>
        <v>16738862.913189214</v>
      </c>
      <c r="Q20" s="85">
        <f>SUM(Q7:Q19)</f>
        <v>16641877.054898076</v>
      </c>
      <c r="R20" s="227">
        <f>SUM(R7:R19)</f>
        <v>-96985.858291140918</v>
      </c>
      <c r="S20" s="84">
        <f>R20/P20</f>
        <v>-5.7940529648953581E-3</v>
      </c>
      <c r="T20" s="275"/>
    </row>
    <row r="21" spans="1:20" ht="15" customHeight="1">
      <c r="A21" s="357" t="s">
        <v>816</v>
      </c>
      <c r="B21" s="44">
        <v>27</v>
      </c>
      <c r="C21" s="112" t="s">
        <v>228</v>
      </c>
      <c r="D21" s="119" t="str">
        <f>VLOOKUP(C21,Mapping!$C$2:$H$157,6,FALSE)</f>
        <v>35 Gallon Cart WG-R</v>
      </c>
      <c r="E21" s="104">
        <f>SUMIFS(Mapping!M:M,Mapping!A:A,"Multi Family",Mapping!D:D,'DF Calculation'!C21)</f>
        <v>33900.002708771623</v>
      </c>
      <c r="F21" s="241">
        <f>VLOOKUP(C21,Mapping!D:L,7,FALSE)</f>
        <v>34</v>
      </c>
      <c r="G21" s="104">
        <f t="shared" ref="G21:G29" si="7">E21*F21</f>
        <v>1152600.0920982352</v>
      </c>
      <c r="H21" s="43">
        <f t="shared" ref="H21:H40" si="8">$D$78*G21</f>
        <v>952387.20468403597</v>
      </c>
      <c r="I21" s="104">
        <f>(References!$D$61*H21)</f>
        <v>-980.95882082456001</v>
      </c>
      <c r="J21" s="104">
        <f>I21/References!$H$64</f>
        <v>-1003.6411099084919</v>
      </c>
      <c r="K21" s="312">
        <v>23.13</v>
      </c>
      <c r="L21" s="313">
        <v>23.02</v>
      </c>
      <c r="M21" s="240">
        <f>IFERROR((J21/E21),0)*References!$C$11</f>
        <v>-0.1282923636801008</v>
      </c>
      <c r="N21" s="263">
        <f t="shared" ref="N21:N40" si="9">+K21+M21</f>
        <v>23.0017076363199</v>
      </c>
      <c r="O21" s="263">
        <f t="shared" ref="O21:O40" si="10">M21+L21</f>
        <v>22.8917076363199</v>
      </c>
      <c r="P21" s="120">
        <f>(E21/References!$C$11)*'DF Calculation'!K21</f>
        <v>180947.78368935868</v>
      </c>
      <c r="Q21" s="120">
        <f>(E21/References!$C$11)*'DF Calculation'!N21</f>
        <v>179944.14257945021</v>
      </c>
      <c r="R21" s="120">
        <f t="shared" ref="R21:R29" si="11">Q21-P21</f>
        <v>-1003.6411099084653</v>
      </c>
      <c r="S21" s="245">
        <f>(((F21*$D$78)*(References!$D$61/References!$H$64))*References!$C$11)-M21</f>
        <v>0</v>
      </c>
      <c r="T21" s="300" t="s">
        <v>820</v>
      </c>
    </row>
    <row r="22" spans="1:20">
      <c r="A22" s="358"/>
      <c r="B22" s="44">
        <v>27</v>
      </c>
      <c r="C22" s="112" t="s">
        <v>229</v>
      </c>
      <c r="D22" s="119" t="str">
        <f>VLOOKUP(C22,Mapping!$C$2:$H$157,6,FALSE)</f>
        <v>35 Gallon Cart WG-NR</v>
      </c>
      <c r="E22" s="104">
        <f>SUMIFS(Mapping!M:M,Mapping!A:A,"Multi Family",Mapping!D:D,'DF Calculation'!C22)</f>
        <v>266.22104798020445</v>
      </c>
      <c r="F22" s="241">
        <f>VLOOKUP(C22,Mapping!D:L,7,FALSE)</f>
        <v>34</v>
      </c>
      <c r="G22" s="104">
        <f t="shared" si="7"/>
        <v>9051.5156313269508</v>
      </c>
      <c r="H22" s="43">
        <f t="shared" si="8"/>
        <v>7479.2182729919559</v>
      </c>
      <c r="I22" s="104">
        <f>(References!$D$61*H22)</f>
        <v>-7.7035948211817384</v>
      </c>
      <c r="J22" s="104">
        <f>I22/References!$H$64</f>
        <v>-7.8817217323324513</v>
      </c>
      <c r="K22" s="312">
        <v>23.88</v>
      </c>
      <c r="L22" s="313">
        <v>23.77</v>
      </c>
      <c r="M22" s="240">
        <f>IFERROR((J22/E22),0)*References!$C$11</f>
        <v>-0.1282923636801008</v>
      </c>
      <c r="N22" s="263">
        <f t="shared" si="9"/>
        <v>23.7517076363199</v>
      </c>
      <c r="O22" s="263">
        <f t="shared" si="10"/>
        <v>23.6417076363199</v>
      </c>
      <c r="P22" s="120">
        <f>(E22/References!$C$11)*'DF Calculation'!K22</f>
        <v>1467.0827597924497</v>
      </c>
      <c r="Q22" s="120">
        <f>(E22/References!$C$11)*'DF Calculation'!N22</f>
        <v>1459.2010380601175</v>
      </c>
      <c r="R22" s="120">
        <f t="shared" si="11"/>
        <v>-7.8817217323321529</v>
      </c>
      <c r="S22" s="245">
        <f>(((F22*$D$78)*(References!$D$61/References!$H$64))*References!$C$11)-M22</f>
        <v>0</v>
      </c>
      <c r="T22" s="300" t="s">
        <v>820</v>
      </c>
    </row>
    <row r="23" spans="1:20">
      <c r="A23" s="358"/>
      <c r="B23" s="44">
        <v>27</v>
      </c>
      <c r="C23" s="112" t="s">
        <v>230</v>
      </c>
      <c r="D23" s="119" t="str">
        <f>VLOOKUP(C23,Mapping!$C$2:$H$157,6,FALSE)</f>
        <v>65 Gallon Cart WG-R</v>
      </c>
      <c r="E23" s="104">
        <f>SUMIFS(Mapping!M:M,Mapping!A:A,"Multi Family",Mapping!D:D,'DF Calculation'!C23)</f>
        <v>8688.2614103091728</v>
      </c>
      <c r="F23" s="241">
        <f>VLOOKUP(C23,Mapping!D:L,7,FALSE)</f>
        <v>47</v>
      </c>
      <c r="G23" s="104">
        <f t="shared" si="7"/>
        <v>408348.28628453112</v>
      </c>
      <c r="H23" s="43">
        <f t="shared" si="8"/>
        <v>337415.97417718661</v>
      </c>
      <c r="I23" s="104">
        <f>(References!$D$61*H23)</f>
        <v>-347.53845340250325</v>
      </c>
      <c r="J23" s="104">
        <f>I23/References!$H$64</f>
        <v>-355.57443564815145</v>
      </c>
      <c r="K23" s="312">
        <v>36.130000000000003</v>
      </c>
      <c r="L23" s="313">
        <v>35.96</v>
      </c>
      <c r="M23" s="240">
        <f>IFERROR((J23/E23),0)*References!$C$11</f>
        <v>-0.17734532626366875</v>
      </c>
      <c r="N23" s="263">
        <f t="shared" si="9"/>
        <v>35.952654673736333</v>
      </c>
      <c r="O23" s="263">
        <f t="shared" si="10"/>
        <v>35.782654673736332</v>
      </c>
      <c r="P23" s="120">
        <f>(E23/References!$C$11)*'DF Calculation'!K23</f>
        <v>72440.050327954712</v>
      </c>
      <c r="Q23" s="120">
        <f>(E23/References!$C$11)*'DF Calculation'!N23</f>
        <v>72084.475892306567</v>
      </c>
      <c r="R23" s="120">
        <f t="shared" si="11"/>
        <v>-355.57443564814457</v>
      </c>
      <c r="S23" s="245">
        <f>(((F23*$D$78)*(References!$D$61/References!$H$64))*References!$C$11)-M23</f>
        <v>0</v>
      </c>
      <c r="T23" s="300" t="s">
        <v>820</v>
      </c>
    </row>
    <row r="24" spans="1:20">
      <c r="A24" s="358"/>
      <c r="B24" s="44">
        <v>27</v>
      </c>
      <c r="C24" s="112" t="s">
        <v>232</v>
      </c>
      <c r="D24" s="119" t="str">
        <f>VLOOKUP(C24,Mapping!$C$2:$H$157,6,FALSE)</f>
        <v>95 Gallon Cart WG-R</v>
      </c>
      <c r="E24" s="104">
        <f>SUMIFS(Mapping!M:M,Mapping!A:A,"Multi Family",Mapping!D:D,'DF Calculation'!C24)</f>
        <v>2715.0805946862602</v>
      </c>
      <c r="F24" s="241">
        <f>VLOOKUP(C24,Mapping!D:L,7,FALSE)</f>
        <v>68</v>
      </c>
      <c r="G24" s="104">
        <f t="shared" si="7"/>
        <v>184625.48043866569</v>
      </c>
      <c r="H24" s="43">
        <f t="shared" si="8"/>
        <v>152555.03312370178</v>
      </c>
      <c r="I24" s="104">
        <f>(References!$D$61*H24)</f>
        <v>-157.1316841174133</v>
      </c>
      <c r="J24" s="104">
        <f>I24/References!$H$64</f>
        <v>-160.7649724958188</v>
      </c>
      <c r="K24" s="312">
        <v>53.19</v>
      </c>
      <c r="L24" s="313">
        <v>52.94</v>
      </c>
      <c r="M24" s="240">
        <f>IFERROR((J24/E24),0)*References!$C$11</f>
        <v>-0.2565847273602016</v>
      </c>
      <c r="N24" s="263">
        <f t="shared" si="9"/>
        <v>52.933415272639799</v>
      </c>
      <c r="O24" s="263">
        <f t="shared" si="10"/>
        <v>52.683415272639799</v>
      </c>
      <c r="P24" s="120">
        <f>(E24/References!$C$11)*'DF Calculation'!K24</f>
        <v>33326.570038006656</v>
      </c>
      <c r="Q24" s="120">
        <f>(E24/References!$C$11)*'DF Calculation'!N24</f>
        <v>33165.805065510838</v>
      </c>
      <c r="R24" s="120">
        <f t="shared" si="11"/>
        <v>-160.76497249581735</v>
      </c>
      <c r="S24" s="245">
        <f>(((F24*$D$78)*(References!$D$61/References!$H$64))*References!$C$11)-M24</f>
        <v>0</v>
      </c>
      <c r="T24" s="300" t="s">
        <v>820</v>
      </c>
    </row>
    <row r="25" spans="1:20">
      <c r="A25" s="358"/>
      <c r="B25" s="44">
        <v>27</v>
      </c>
      <c r="C25" s="112" t="s">
        <v>233</v>
      </c>
      <c r="D25" s="119" t="str">
        <f>VLOOKUP(C25,Mapping!$C$2:$H$157,6,FALSE)</f>
        <v>95 Gallon Cart WG-NR</v>
      </c>
      <c r="E25" s="104">
        <f>SUMIFS(Mapping!M:M,Mapping!A:A,"Multi Family",Mapping!D:D,'DF Calculation'!C25)</f>
        <v>79.862666797830798</v>
      </c>
      <c r="F25" s="241">
        <f>VLOOKUP(C25,Mapping!D:L,7,FALSE)</f>
        <v>68</v>
      </c>
      <c r="G25" s="104">
        <f t="shared" si="7"/>
        <v>5430.6613422524943</v>
      </c>
      <c r="H25" s="43">
        <f t="shared" si="8"/>
        <v>4487.3260125444222</v>
      </c>
      <c r="I25" s="104">
        <f>(References!$D$61*H25)</f>
        <v>-4.6219457929207692</v>
      </c>
      <c r="J25" s="104">
        <f>I25/References!$H$64</f>
        <v>-4.7288170584415479</v>
      </c>
      <c r="K25" s="312">
        <v>53.94</v>
      </c>
      <c r="L25" s="313">
        <v>53.69</v>
      </c>
      <c r="M25" s="240">
        <f>IFERROR((J25/E25),0)*References!$C$11</f>
        <v>-0.2565847273602016</v>
      </c>
      <c r="N25" s="263">
        <f t="shared" si="9"/>
        <v>53.683415272639799</v>
      </c>
      <c r="O25" s="263">
        <f t="shared" si="10"/>
        <v>53.433415272639799</v>
      </c>
      <c r="P25" s="120">
        <f>(E25/References!$C$11)*'DF Calculation'!K25</f>
        <v>994.10590317115236</v>
      </c>
      <c r="Q25" s="120">
        <f>(E25/References!$C$11)*'DF Calculation'!N25</f>
        <v>989.3770861127108</v>
      </c>
      <c r="R25" s="120">
        <f t="shared" si="11"/>
        <v>-4.7288170584415639</v>
      </c>
      <c r="S25" s="245">
        <f>(((F25*$D$78)*(References!$D$61/References!$H$64))*References!$C$11)-M25</f>
        <v>0</v>
      </c>
      <c r="T25" s="300" t="s">
        <v>820</v>
      </c>
    </row>
    <row r="26" spans="1:20">
      <c r="A26" s="358"/>
      <c r="B26" s="44">
        <v>28</v>
      </c>
      <c r="C26" s="112" t="s">
        <v>243</v>
      </c>
      <c r="D26" s="119" t="str">
        <f>VLOOKUP(C26,Mapping!$C$2:$H$157,6,FALSE)</f>
        <v>Extra Units Extra</v>
      </c>
      <c r="E26" s="104">
        <f>SUMIFS(Mapping!M:M,Mapping!A:A,"Multi Family",Mapping!D:D,'DF Calculation'!C26)</f>
        <v>6088.2608627931204</v>
      </c>
      <c r="F26" s="241">
        <f>VLOOKUP(C26,Mapping!D:L,7,FALSE)</f>
        <v>29</v>
      </c>
      <c r="G26" s="104">
        <f t="shared" si="7"/>
        <v>176559.56502100048</v>
      </c>
      <c r="H26" s="43">
        <f t="shared" si="8"/>
        <v>145890.21096160766</v>
      </c>
      <c r="I26" s="104">
        <f>(References!$D$61*H26)</f>
        <v>-150.26691729045635</v>
      </c>
      <c r="J26" s="104">
        <f>I26/References!$H$64</f>
        <v>-153.74147461679593</v>
      </c>
      <c r="K26" s="312">
        <v>4.8499999999999996</v>
      </c>
      <c r="L26" s="313">
        <v>4.83</v>
      </c>
      <c r="M26" s="117">
        <f t="shared" si="6"/>
        <v>-2.5252116832961018E-2</v>
      </c>
      <c r="N26" s="263">
        <f t="shared" si="9"/>
        <v>4.8247478831670385</v>
      </c>
      <c r="O26" s="263">
        <f t="shared" si="10"/>
        <v>4.8047478831670389</v>
      </c>
      <c r="P26" s="120">
        <f>E26*'DF Calculation'!K26</f>
        <v>29528.065184546631</v>
      </c>
      <c r="Q26" s="120">
        <f>(E26*'DF Calculation'!N26)</f>
        <v>29374.323709929835</v>
      </c>
      <c r="R26" s="120">
        <f t="shared" si="11"/>
        <v>-153.74147461679604</v>
      </c>
      <c r="S26" s="245">
        <f>((F26*$D$78)*(References!$D$61/References!$H$64))-M26</f>
        <v>0</v>
      </c>
      <c r="T26" s="241"/>
    </row>
    <row r="27" spans="1:20" ht="15.75" customHeight="1">
      <c r="A27" s="358"/>
      <c r="B27" s="44">
        <v>29</v>
      </c>
      <c r="C27" s="112" t="s">
        <v>240</v>
      </c>
      <c r="D27" s="119" t="str">
        <f>VLOOKUP(C27,Mapping!$C$2:$H$157,6,FALSE)</f>
        <v>35 Gallon Cart Count Regular</v>
      </c>
      <c r="E27" s="104">
        <f>SUMIFS(Mapping!M:M,Mapping!A:A,"Multi Family",Mapping!D:D,'DF Calculation'!C27)</f>
        <v>51491.551612903226</v>
      </c>
      <c r="F27" s="241">
        <f>VLOOKUP(C27,Mapping!D:L,7,FALSE)</f>
        <v>34</v>
      </c>
      <c r="G27" s="104">
        <f t="shared" si="7"/>
        <v>1750712.7548387097</v>
      </c>
      <c r="H27" s="43">
        <f t="shared" si="8"/>
        <v>1446604.4538919048</v>
      </c>
      <c r="I27" s="104">
        <f>(References!$D$61*H27)</f>
        <v>-1490.0025875086665</v>
      </c>
      <c r="J27" s="104">
        <f>I27/References!$H$64</f>
        <v>-1524.4552767635221</v>
      </c>
      <c r="K27" s="312">
        <v>4.88</v>
      </c>
      <c r="L27" s="313">
        <v>4.8600000000000003</v>
      </c>
      <c r="M27" s="117">
        <f t="shared" si="6"/>
        <v>-2.9605930080023265E-2</v>
      </c>
      <c r="N27" s="263">
        <f t="shared" si="9"/>
        <v>4.850394069919977</v>
      </c>
      <c r="O27" s="263">
        <f t="shared" si="10"/>
        <v>4.8303940699199774</v>
      </c>
      <c r="P27" s="120">
        <f>E27*'DF Calculation'!K27</f>
        <v>251278.77187096773</v>
      </c>
      <c r="Q27" s="120">
        <f>(E27*'DF Calculation'!N27)</f>
        <v>249754.31659420423</v>
      </c>
      <c r="R27" s="120">
        <f t="shared" si="11"/>
        <v>-1524.4552767635032</v>
      </c>
      <c r="S27" s="245">
        <f>((F27*$D$78)*(References!$D$61/References!$H$64))-M27</f>
        <v>0</v>
      </c>
      <c r="T27" s="241"/>
    </row>
    <row r="28" spans="1:20">
      <c r="A28" s="358"/>
      <c r="B28" s="44">
        <v>29</v>
      </c>
      <c r="C28" s="112" t="s">
        <v>241</v>
      </c>
      <c r="D28" s="119" t="str">
        <f>VLOOKUP(C28,Mapping!$C$2:$H$157,6,FALSE)</f>
        <v>65 Gallon Cart Count Regular</v>
      </c>
      <c r="E28" s="104">
        <f>SUMIFS(Mapping!M:M,Mapping!A:A,"Multi Family",Mapping!D:D,'DF Calculation'!C28)</f>
        <v>174.93101884374113</v>
      </c>
      <c r="F28" s="241">
        <f>VLOOKUP(C28,Mapping!D:L,7,FALSE)</f>
        <v>47</v>
      </c>
      <c r="G28" s="104">
        <f t="shared" si="7"/>
        <v>8221.7578856558339</v>
      </c>
      <c r="H28" s="43">
        <f t="shared" si="8"/>
        <v>6793.5939481439145</v>
      </c>
      <c r="I28" s="104">
        <f>(References!$D$61*H28)</f>
        <v>-6.9974017665882533</v>
      </c>
      <c r="J28" s="104">
        <f>I28/References!$H$64</f>
        <v>-7.1591996793413681</v>
      </c>
      <c r="K28" s="312">
        <v>7.23</v>
      </c>
      <c r="L28" s="313">
        <v>7.2</v>
      </c>
      <c r="M28" s="117">
        <f t="shared" si="6"/>
        <v>-4.0925844522385103E-2</v>
      </c>
      <c r="N28" s="263">
        <f t="shared" si="9"/>
        <v>7.1890741554776154</v>
      </c>
      <c r="O28" s="263">
        <f t="shared" si="10"/>
        <v>7.1590741554776152</v>
      </c>
      <c r="P28" s="120">
        <f>E28*'DF Calculation'!K28</f>
        <v>1264.7512662402485</v>
      </c>
      <c r="Q28" s="120">
        <f>(E28*'DF Calculation'!N28)</f>
        <v>1257.5920665609071</v>
      </c>
      <c r="R28" s="120">
        <f t="shared" si="11"/>
        <v>-7.1591996793413273</v>
      </c>
      <c r="S28" s="245">
        <f>((F28*$D$78)*(References!$D$61/References!$H$64))-M28</f>
        <v>0</v>
      </c>
      <c r="T28" s="241"/>
    </row>
    <row r="29" spans="1:20">
      <c r="A29" s="358"/>
      <c r="B29" s="44">
        <v>29</v>
      </c>
      <c r="C29" s="112" t="s">
        <v>242</v>
      </c>
      <c r="D29" s="119" t="str">
        <f>VLOOKUP(C29,Mapping!$C$2:$H$157,6,FALSE)</f>
        <v>95 Gallon Cart Count Regular</v>
      </c>
      <c r="E29" s="104">
        <f>SUMIFS(Mapping!M:M,Mapping!A:A,"Multi Family",Mapping!D:D,'DF Calculation'!C29)</f>
        <v>4</v>
      </c>
      <c r="F29" s="241">
        <f>VLOOKUP(C29,Mapping!D:L,7,FALSE)</f>
        <v>68</v>
      </c>
      <c r="G29" s="104">
        <f t="shared" si="7"/>
        <v>272</v>
      </c>
      <c r="H29" s="43">
        <f t="shared" si="8"/>
        <v>224.75212473953127</v>
      </c>
      <c r="I29" s="104">
        <f>(References!$D$61*H29)</f>
        <v>-0.23149468848171792</v>
      </c>
      <c r="J29" s="104">
        <f>I29/References!$H$64</f>
        <v>-0.23684744064018612</v>
      </c>
      <c r="K29" s="312">
        <v>10.11</v>
      </c>
      <c r="L29" s="313">
        <v>10.06</v>
      </c>
      <c r="M29" s="117">
        <f t="shared" si="6"/>
        <v>-5.921186016004653E-2</v>
      </c>
      <c r="N29" s="263">
        <f t="shared" si="9"/>
        <v>10.050788139839954</v>
      </c>
      <c r="O29" s="263">
        <f t="shared" si="10"/>
        <v>10.000788139839955</v>
      </c>
      <c r="P29" s="120">
        <f>E29*'DF Calculation'!K29</f>
        <v>40.44</v>
      </c>
      <c r="Q29" s="120">
        <f>(E29*'DF Calculation'!N29)</f>
        <v>40.203152559359815</v>
      </c>
      <c r="R29" s="120">
        <f t="shared" si="11"/>
        <v>-0.23684744064018304</v>
      </c>
      <c r="S29" s="245">
        <f>((F29*$D$78)*(References!$D$61/References!$H$64))-M29</f>
        <v>0</v>
      </c>
      <c r="T29" s="241"/>
    </row>
    <row r="30" spans="1:20">
      <c r="A30" s="358"/>
      <c r="B30" s="44">
        <v>30</v>
      </c>
      <c r="C30" s="112" t="s">
        <v>107</v>
      </c>
      <c r="D30" s="119" t="str">
        <f>VLOOKUP(C30,Mapping!$C$2:$H$157,6,FALSE)</f>
        <v>1 yard Regular</v>
      </c>
      <c r="E30" s="104">
        <f>SUMIFS(Mapping!M:M,Mapping!A:A,"Multi Family",Mapping!D:D,'DF Calculation'!C30)</f>
        <v>16707.740922257915</v>
      </c>
      <c r="F30" s="241">
        <f>VLOOKUP(C30,Mapping!D:L,7,FALSE)</f>
        <v>175</v>
      </c>
      <c r="G30" s="104">
        <f>E30*F30</f>
        <v>2923854.6613951353</v>
      </c>
      <c r="H30" s="43">
        <f t="shared" si="8"/>
        <v>2415965.248449042</v>
      </c>
      <c r="I30" s="104">
        <f>(References!$D$61*H30)</f>
        <v>-2488.4442059025209</v>
      </c>
      <c r="J30" s="104">
        <f>I30/References!$H$64</f>
        <v>-2545.9834314533668</v>
      </c>
      <c r="K30" s="312">
        <v>28.6</v>
      </c>
      <c r="L30" s="313">
        <v>28.47</v>
      </c>
      <c r="M30" s="117">
        <f>IFERROR((J30/E30),0)</f>
        <v>-0.15238346364717859</v>
      </c>
      <c r="N30" s="263">
        <f t="shared" si="9"/>
        <v>28.447616536352822</v>
      </c>
      <c r="O30" s="263">
        <f t="shared" si="10"/>
        <v>28.317616536352819</v>
      </c>
      <c r="P30" s="120">
        <f>E30*'DF Calculation'!K30</f>
        <v>477841.3903765764</v>
      </c>
      <c r="Q30" s="120">
        <f>(E30*'DF Calculation'!N30)</f>
        <v>475295.40694512305</v>
      </c>
      <c r="R30" s="120">
        <f>Q30-P30</f>
        <v>-2545.9834314533509</v>
      </c>
      <c r="S30" s="245">
        <f>((F30*$D$78)*(References!$D$61/References!$H$64))-M30</f>
        <v>0</v>
      </c>
      <c r="T30" s="241"/>
    </row>
    <row r="31" spans="1:20" ht="15.75" customHeight="1">
      <c r="A31" s="358"/>
      <c r="B31" s="44">
        <v>30</v>
      </c>
      <c r="C31" s="112" t="s">
        <v>119</v>
      </c>
      <c r="D31" s="119" t="str">
        <f>VLOOKUP(C31,Mapping!$C$2:$H$157,6,FALSE)</f>
        <v>1 yard Temp</v>
      </c>
      <c r="E31" s="104">
        <f>SUMIFS(Mapping!M:M,Mapping!A:A,"Multi Family",Mapping!D:D,'DF Calculation'!C31)</f>
        <v>7.769074824917066</v>
      </c>
      <c r="F31" s="241">
        <f>VLOOKUP(C31,Mapping!D:L,7,FALSE)</f>
        <v>175</v>
      </c>
      <c r="G31" s="104">
        <f>E31*F31</f>
        <v>1359.5880943604866</v>
      </c>
      <c r="H31" s="43">
        <f t="shared" si="8"/>
        <v>1123.4202683018004</v>
      </c>
      <c r="I31" s="104">
        <f>(References!$D$61*H31)</f>
        <v>-1.1571228763508579</v>
      </c>
      <c r="J31" s="104">
        <f>I31/References!$H$64</f>
        <v>-1.18387853115496</v>
      </c>
      <c r="K31" s="312">
        <v>30.78</v>
      </c>
      <c r="L31" s="313">
        <v>30.64</v>
      </c>
      <c r="M31" s="117">
        <f>IFERROR((J31/E31),0)</f>
        <v>-0.15238346364717859</v>
      </c>
      <c r="N31" s="263">
        <f t="shared" si="9"/>
        <v>30.627616536352821</v>
      </c>
      <c r="O31" s="263">
        <f t="shared" si="10"/>
        <v>30.487616536352821</v>
      </c>
      <c r="P31" s="120">
        <f>E31*'DF Calculation'!K31</f>
        <v>239.1321231109473</v>
      </c>
      <c r="Q31" s="120">
        <f>(E31*'DF Calculation'!N31)</f>
        <v>237.94824457979234</v>
      </c>
      <c r="R31" s="120">
        <f>Q31-P31</f>
        <v>-1.18387853115496</v>
      </c>
      <c r="S31" s="245">
        <f>((F31*$D$78)*(References!$D$61/References!$H$64))-M31</f>
        <v>0</v>
      </c>
      <c r="T31" s="241"/>
    </row>
    <row r="32" spans="1:20" ht="15.75" customHeight="1">
      <c r="A32" s="358"/>
      <c r="B32" s="237">
        <v>30</v>
      </c>
      <c r="C32" s="112" t="s">
        <v>236</v>
      </c>
      <c r="D32" s="119" t="str">
        <f>VLOOKUP(C32,Mapping!$C$2:$H$157,6,FALSE)</f>
        <v>1 yard Extra</v>
      </c>
      <c r="E32" s="241">
        <f>SUMIFS(Mapping!M:M,Mapping!A:A,"Multi Family",Mapping!D:D,'DF Calculation'!C32)</f>
        <v>14.02211573903428</v>
      </c>
      <c r="F32" s="241">
        <f>VLOOKUP(C32,Mapping!D:L,7,FALSE)</f>
        <v>175</v>
      </c>
      <c r="G32" s="241">
        <f t="shared" ref="G32:G40" si="12">E32*F32</f>
        <v>2453.8702543309992</v>
      </c>
      <c r="H32" s="236">
        <f t="shared" si="8"/>
        <v>2027.619681970684</v>
      </c>
      <c r="I32" s="241">
        <f>(References!$D$61*H32)</f>
        <v>-2.0884482724298108</v>
      </c>
      <c r="J32" s="241">
        <f>I32/References!$H$64</f>
        <v>-2.1367385639756606</v>
      </c>
      <c r="K32" s="312">
        <v>28.6</v>
      </c>
      <c r="L32" s="313">
        <v>28.47</v>
      </c>
      <c r="M32" s="240">
        <f t="shared" ref="M32:M40" si="13">IFERROR((J32/E32),0)</f>
        <v>-0.15238346364717856</v>
      </c>
      <c r="N32" s="263">
        <f t="shared" si="9"/>
        <v>28.447616536352822</v>
      </c>
      <c r="O32" s="263">
        <f t="shared" si="10"/>
        <v>28.317616536352819</v>
      </c>
      <c r="P32" s="120">
        <f>E32*'DF Calculation'!K32</f>
        <v>401.03251013638044</v>
      </c>
      <c r="Q32" s="120">
        <f>(E32*'DF Calculation'!N32)</f>
        <v>398.89577157240478</v>
      </c>
      <c r="R32" s="120">
        <f t="shared" ref="R32:R40" si="14">Q32-P32</f>
        <v>-2.1367385639756549</v>
      </c>
      <c r="S32" s="245">
        <f>((F32*$D$78)*(References!$D$61/References!$H$64))-M32</f>
        <v>0</v>
      </c>
      <c r="T32" s="241"/>
    </row>
    <row r="33" spans="1:20">
      <c r="A33" s="358"/>
      <c r="B33" s="237">
        <v>30</v>
      </c>
      <c r="C33" s="112" t="s">
        <v>108</v>
      </c>
      <c r="D33" s="119" t="str">
        <f>VLOOKUP(C33,Mapping!$C$2:$H$157,6,FALSE)</f>
        <v>1.5 yard Regular</v>
      </c>
      <c r="E33" s="241">
        <f>SUMIFS(Mapping!M:M,Mapping!A:A,"Multi Family",Mapping!D:D,'DF Calculation'!C33)</f>
        <v>3520.9988857997337</v>
      </c>
      <c r="F33" s="241">
        <f>VLOOKUP(C33,Mapping!D:L,7,FALSE)</f>
        <v>250</v>
      </c>
      <c r="G33" s="241">
        <f t="shared" si="12"/>
        <v>880249.72144993336</v>
      </c>
      <c r="H33" s="236">
        <f t="shared" si="8"/>
        <v>727345.57057813636</v>
      </c>
      <c r="I33" s="241">
        <f>(References!$D$61*H33)</f>
        <v>-749.16593769548274</v>
      </c>
      <c r="J33" s="241">
        <f>I33/References!$H$64</f>
        <v>-766.48857959431416</v>
      </c>
      <c r="K33" s="312">
        <v>40.130000000000003</v>
      </c>
      <c r="L33" s="313">
        <v>39.94</v>
      </c>
      <c r="M33" s="240">
        <f t="shared" si="13"/>
        <v>-0.21769066235311221</v>
      </c>
      <c r="N33" s="263">
        <f t="shared" si="9"/>
        <v>39.912309337646889</v>
      </c>
      <c r="O33" s="263">
        <f t="shared" si="10"/>
        <v>39.722309337646884</v>
      </c>
      <c r="P33" s="120">
        <f>E33*'DF Calculation'!K33</f>
        <v>141297.68528714331</v>
      </c>
      <c r="Q33" s="120">
        <f>(E33*'DF Calculation'!N33)</f>
        <v>140531.19670754901</v>
      </c>
      <c r="R33" s="120">
        <f t="shared" si="14"/>
        <v>-766.48857959429733</v>
      </c>
      <c r="S33" s="245">
        <f>((F33*$D$78)*(References!$D$61/References!$H$64))-M33</f>
        <v>0</v>
      </c>
      <c r="T33" s="241"/>
    </row>
    <row r="34" spans="1:20">
      <c r="A34" s="358"/>
      <c r="B34" s="237">
        <v>30</v>
      </c>
      <c r="C34" s="112" t="s">
        <v>234</v>
      </c>
      <c r="D34" s="119" t="str">
        <f>VLOOKUP(C34,Mapping!$C$2:$H$157,6,FALSE)</f>
        <v>1.5 yard Extra</v>
      </c>
      <c r="E34" s="241">
        <f>SUMIFS(Mapping!M:M,Mapping!A:A,"Multi Family",Mapping!D:D,'DF Calculation'!C34)</f>
        <v>3.8470841171728027</v>
      </c>
      <c r="F34" s="241">
        <f>VLOOKUP(C34,Mapping!D:L,7,FALSE)</f>
        <v>250</v>
      </c>
      <c r="G34" s="241">
        <f t="shared" si="12"/>
        <v>961.77102929320074</v>
      </c>
      <c r="H34" s="236">
        <f t="shared" si="8"/>
        <v>794.70618509769429</v>
      </c>
      <c r="I34" s="241">
        <f>(References!$D$61*H34)</f>
        <v>-0.81854737065062766</v>
      </c>
      <c r="J34" s="241">
        <f>I34/References!$H$64</f>
        <v>-0.83747428959548564</v>
      </c>
      <c r="K34" s="312">
        <v>40.130000000000003</v>
      </c>
      <c r="L34" s="313">
        <v>39.94</v>
      </c>
      <c r="M34" s="240">
        <f t="shared" si="13"/>
        <v>-0.21769066235311227</v>
      </c>
      <c r="N34" s="263">
        <f t="shared" si="9"/>
        <v>39.912309337646889</v>
      </c>
      <c r="O34" s="263">
        <f t="shared" si="10"/>
        <v>39.722309337646884</v>
      </c>
      <c r="P34" s="120">
        <f>E34*'DF Calculation'!K34</f>
        <v>154.38348562214458</v>
      </c>
      <c r="Q34" s="120">
        <f>(E34*'DF Calculation'!N34)</f>
        <v>153.54601133254909</v>
      </c>
      <c r="R34" s="120">
        <f t="shared" si="14"/>
        <v>-0.83747428959549097</v>
      </c>
      <c r="S34" s="245">
        <f>((F34*$D$78)*(References!$D$61/References!$H$64))-M34</f>
        <v>0</v>
      </c>
      <c r="T34" s="241"/>
    </row>
    <row r="35" spans="1:20">
      <c r="A35" s="358"/>
      <c r="B35" s="237">
        <v>30</v>
      </c>
      <c r="C35" s="112" t="s">
        <v>111</v>
      </c>
      <c r="D35" s="119" t="str">
        <f>VLOOKUP(C35,Mapping!$C$2:$H$157,6,FALSE)</f>
        <v>2 yard Regular</v>
      </c>
      <c r="E35" s="241">
        <f>SUMIFS(Mapping!M:M,Mapping!A:A,"Multi Family",Mapping!D:D,'DF Calculation'!C35)</f>
        <v>9030.6598163064791</v>
      </c>
      <c r="F35" s="241">
        <f>VLOOKUP(C35,Mapping!D:L,7,FALSE)</f>
        <v>324</v>
      </c>
      <c r="G35" s="241">
        <f t="shared" si="12"/>
        <v>2925933.7804832994</v>
      </c>
      <c r="H35" s="236">
        <f t="shared" si="8"/>
        <v>2417683.2132749665</v>
      </c>
      <c r="I35" s="241">
        <f>(References!$D$61*H35)</f>
        <v>-2490.2137096732231</v>
      </c>
      <c r="J35" s="241">
        <f>I35/References!$H$64</f>
        <v>-2547.7938506990208</v>
      </c>
      <c r="K35" s="312">
        <v>50.66</v>
      </c>
      <c r="L35" s="313">
        <v>50.42</v>
      </c>
      <c r="M35" s="240">
        <f t="shared" si="13"/>
        <v>-0.28212709840963351</v>
      </c>
      <c r="N35" s="263">
        <f t="shared" si="9"/>
        <v>50.377872901590365</v>
      </c>
      <c r="O35" s="263">
        <f t="shared" si="10"/>
        <v>50.13787290159037</v>
      </c>
      <c r="P35" s="120">
        <f>E35*'DF Calculation'!K35</f>
        <v>457493.2262940862</v>
      </c>
      <c r="Q35" s="120">
        <f>(E35*'DF Calculation'!N35)</f>
        <v>454945.43244338722</v>
      </c>
      <c r="R35" s="120">
        <f t="shared" si="14"/>
        <v>-2547.793850698974</v>
      </c>
      <c r="S35" s="245">
        <f>((F35*$D$78)*(References!$D$61/References!$H$64))-M35</f>
        <v>0</v>
      </c>
      <c r="T35" s="241"/>
    </row>
    <row r="36" spans="1:20">
      <c r="A36" s="358"/>
      <c r="B36" s="237">
        <v>30</v>
      </c>
      <c r="C36" s="112" t="s">
        <v>121</v>
      </c>
      <c r="D36" s="119" t="str">
        <f>VLOOKUP(C36,Mapping!$C$2:$H$157,6,FALSE)</f>
        <v>2 yard Temp</v>
      </c>
      <c r="E36" s="241">
        <f>SUMIFS(Mapping!M:M,Mapping!A:A,"Multi Family",Mapping!D:D,'DF Calculation'!C36)</f>
        <v>36.198385726423112</v>
      </c>
      <c r="F36" s="241">
        <f>VLOOKUP(C36,Mapping!D:L,7,FALSE)</f>
        <v>324</v>
      </c>
      <c r="G36" s="241">
        <f t="shared" si="12"/>
        <v>11728.276975361088</v>
      </c>
      <c r="H36" s="236">
        <f t="shared" si="8"/>
        <v>9691.011653478412</v>
      </c>
      <c r="I36" s="241">
        <f>(References!$D$61*H36)</f>
        <v>-9.981742003082795</v>
      </c>
      <c r="J36" s="241">
        <f>I36/References!$H$64</f>
        <v>-10.212545532108445</v>
      </c>
      <c r="K36" s="312">
        <v>52.85</v>
      </c>
      <c r="L36" s="313">
        <v>52.6</v>
      </c>
      <c r="M36" s="240">
        <f t="shared" si="13"/>
        <v>-0.28212709840963346</v>
      </c>
      <c r="N36" s="263">
        <f t="shared" si="9"/>
        <v>52.56787290159037</v>
      </c>
      <c r="O36" s="263">
        <f t="shared" si="10"/>
        <v>52.31787290159037</v>
      </c>
      <c r="P36" s="120">
        <f>E36*'DF Calculation'!K36</f>
        <v>1913.0846856414614</v>
      </c>
      <c r="Q36" s="120">
        <f>(E36*'DF Calculation'!N36)</f>
        <v>1902.872140109353</v>
      </c>
      <c r="R36" s="120">
        <f t="shared" si="14"/>
        <v>-10.212545532108379</v>
      </c>
      <c r="S36" s="245">
        <f>((F36*$D$78)*(References!$D$61/References!$H$64))-M36</f>
        <v>0</v>
      </c>
      <c r="T36" s="241"/>
    </row>
    <row r="37" spans="1:20">
      <c r="A37" s="358"/>
      <c r="B37" s="237">
        <v>30</v>
      </c>
      <c r="C37" s="112" t="s">
        <v>237</v>
      </c>
      <c r="D37" s="119" t="str">
        <f>VLOOKUP(C37,Mapping!$C$2:$H$157,6,FALSE)</f>
        <v>2 yard Extra</v>
      </c>
      <c r="E37" s="241">
        <f>SUMIFS(Mapping!M:M,Mapping!A:A,"Multi Family",Mapping!D:D,'DF Calculation'!C37)</f>
        <v>79</v>
      </c>
      <c r="F37" s="241">
        <f>VLOOKUP(C37,Mapping!D:L,7,FALSE)</f>
        <v>324</v>
      </c>
      <c r="G37" s="241">
        <f t="shared" si="12"/>
        <v>25596</v>
      </c>
      <c r="H37" s="236">
        <f t="shared" si="8"/>
        <v>21149.83597365089</v>
      </c>
      <c r="I37" s="241">
        <f>(References!$D$61*H37)</f>
        <v>-21.784331052860484</v>
      </c>
      <c r="J37" s="241">
        <f>I37/References!$H$64</f>
        <v>-22.288040774361043</v>
      </c>
      <c r="K37" s="312">
        <v>50.66</v>
      </c>
      <c r="L37" s="313">
        <v>50.42</v>
      </c>
      <c r="M37" s="240">
        <f t="shared" si="13"/>
        <v>-0.28212709840963346</v>
      </c>
      <c r="N37" s="263">
        <f t="shared" si="9"/>
        <v>50.377872901590365</v>
      </c>
      <c r="O37" s="263">
        <f t="shared" si="10"/>
        <v>50.13787290159037</v>
      </c>
      <c r="P37" s="120">
        <f>E37*'DF Calculation'!K37</f>
        <v>4002.14</v>
      </c>
      <c r="Q37" s="120">
        <f>(E37*'DF Calculation'!N37)</f>
        <v>3979.8519592256389</v>
      </c>
      <c r="R37" s="120">
        <f t="shared" si="14"/>
        <v>-22.288040774360979</v>
      </c>
      <c r="S37" s="245">
        <f>((F37*$D$78)*(References!$D$61/References!$H$64))-M37</f>
        <v>0</v>
      </c>
      <c r="T37" s="241"/>
    </row>
    <row r="38" spans="1:20">
      <c r="A38" s="358"/>
      <c r="B38" s="237">
        <v>30</v>
      </c>
      <c r="C38" s="112" t="s">
        <v>114</v>
      </c>
      <c r="D38" s="119" t="str">
        <f>VLOOKUP(C38,Mapping!$C$2:$H$157,6,FALSE)</f>
        <v>4 yard Regular</v>
      </c>
      <c r="E38" s="241">
        <f>SUMIFS(Mapping!M:M,Mapping!A:A,"Multi Family",Mapping!D:D,'DF Calculation'!C38)</f>
        <v>1200.4159873729091</v>
      </c>
      <c r="F38" s="241">
        <f>VLOOKUP(C38,Mapping!D:L,7,FALSE)</f>
        <v>613</v>
      </c>
      <c r="G38" s="241">
        <f t="shared" si="12"/>
        <v>735855.00025959325</v>
      </c>
      <c r="H38" s="236">
        <f t="shared" si="8"/>
        <v>608032.99561967619</v>
      </c>
      <c r="I38" s="241">
        <f>(References!$D$61*H38)</f>
        <v>-626.27398548826841</v>
      </c>
      <c r="J38" s="241">
        <f>I38/References!$H$64</f>
        <v>-640.75504960944181</v>
      </c>
      <c r="K38" s="312">
        <v>96.3</v>
      </c>
      <c r="L38" s="313">
        <v>95.85</v>
      </c>
      <c r="M38" s="240">
        <f t="shared" si="13"/>
        <v>-0.53377750408983127</v>
      </c>
      <c r="N38" s="263">
        <f t="shared" si="9"/>
        <v>95.766222495910171</v>
      </c>
      <c r="O38" s="263">
        <f t="shared" si="10"/>
        <v>95.316222495910168</v>
      </c>
      <c r="P38" s="120">
        <f>E38*'DF Calculation'!K38</f>
        <v>115600.05958401113</v>
      </c>
      <c r="Q38" s="120">
        <f>(E38*'DF Calculation'!N38)</f>
        <v>114959.3045344017</v>
      </c>
      <c r="R38" s="120">
        <f t="shared" si="14"/>
        <v>-640.75504960943363</v>
      </c>
      <c r="S38" s="245">
        <f>((F38*$D$78)*(References!$D$61/References!$H$64))-M38</f>
        <v>0</v>
      </c>
      <c r="T38" s="241"/>
    </row>
    <row r="39" spans="1:20">
      <c r="A39" s="358"/>
      <c r="B39" s="44">
        <v>30</v>
      </c>
      <c r="C39" s="112" t="s">
        <v>116</v>
      </c>
      <c r="D39" s="119" t="str">
        <f>VLOOKUP(C39,Mapping!$C$2:$H$157,6,FALSE)</f>
        <v>6 yard Regular</v>
      </c>
      <c r="E39" s="241">
        <f>SUMIFS(Mapping!M:M,Mapping!A:A,"Multi Family",Mapping!D:D,'DF Calculation'!C39)</f>
        <v>4209.8332918318738</v>
      </c>
      <c r="F39" s="241">
        <f>VLOOKUP(C39,Mapping!D:L,7,FALSE)</f>
        <v>840</v>
      </c>
      <c r="G39" s="241">
        <f t="shared" si="12"/>
        <v>3536259.9651387739</v>
      </c>
      <c r="H39" s="236">
        <f t="shared" si="8"/>
        <v>2921992.4293980892</v>
      </c>
      <c r="I39" s="241">
        <f>(References!$D$61*H39)</f>
        <v>-3009.6522022800409</v>
      </c>
      <c r="J39" s="241">
        <f>I39/References!$H$64</f>
        <v>-3079.2430962554131</v>
      </c>
      <c r="K39" s="312">
        <v>135.21</v>
      </c>
      <c r="L39" s="313">
        <v>134.58000000000001</v>
      </c>
      <c r="M39" s="240">
        <f t="shared" si="13"/>
        <v>-0.73144062550645705</v>
      </c>
      <c r="N39" s="263">
        <f t="shared" si="9"/>
        <v>134.47855937449356</v>
      </c>
      <c r="O39" s="263">
        <f t="shared" si="10"/>
        <v>133.84855937449356</v>
      </c>
      <c r="P39" s="120">
        <f>E39*'DF Calculation'!K39</f>
        <v>569211.55938858772</v>
      </c>
      <c r="Q39" s="120">
        <f>(E39*'DF Calculation'!N39)</f>
        <v>566132.31629233225</v>
      </c>
      <c r="R39" s="120">
        <f t="shared" si="14"/>
        <v>-3079.2430962554645</v>
      </c>
      <c r="S39" s="245">
        <f>((F39*$D$78)*(References!$D$61/References!$H$64))-M39</f>
        <v>0</v>
      </c>
      <c r="T39" s="241"/>
    </row>
    <row r="40" spans="1:20">
      <c r="A40" s="358"/>
      <c r="B40" s="237">
        <v>30</v>
      </c>
      <c r="C40" s="112" t="s">
        <v>239</v>
      </c>
      <c r="D40" s="119" t="str">
        <f>VLOOKUP(C40,Mapping!$C$2:$H$157,6,FALSE)</f>
        <v>6 yard Extra</v>
      </c>
      <c r="E40" s="241">
        <f>SUMIFS(Mapping!M:M,Mapping!A:A,"Multi Family",Mapping!D:D,'DF Calculation'!C40)</f>
        <v>26.621630615640598</v>
      </c>
      <c r="F40" s="241">
        <f>VLOOKUP(C40,Mapping!D:L,7,FALSE)</f>
        <v>840</v>
      </c>
      <c r="G40" s="241">
        <f t="shared" si="12"/>
        <v>22362.169717138102</v>
      </c>
      <c r="H40" s="236">
        <f t="shared" si="8"/>
        <v>18477.739550414673</v>
      </c>
      <c r="I40" s="241">
        <f>(References!$D$61*H40)</f>
        <v>-19.032071736927172</v>
      </c>
      <c r="J40" s="241">
        <f>I40/References!$H$64</f>
        <v>-19.472142149506006</v>
      </c>
      <c r="K40" s="312">
        <v>135.21</v>
      </c>
      <c r="L40" s="313">
        <v>134.58000000000001</v>
      </c>
      <c r="M40" s="240">
        <f t="shared" si="13"/>
        <v>-0.73144062550645705</v>
      </c>
      <c r="N40" s="263">
        <f t="shared" si="9"/>
        <v>134.47855937449356</v>
      </c>
      <c r="O40" s="263">
        <f t="shared" si="10"/>
        <v>133.84855937449356</v>
      </c>
      <c r="P40" s="120">
        <f>E40*'DF Calculation'!K40</f>
        <v>3599.5106755407655</v>
      </c>
      <c r="Q40" s="120">
        <f>(E40*'DF Calculation'!N40)</f>
        <v>3580.0385333912595</v>
      </c>
      <c r="R40" s="120">
        <f t="shared" si="14"/>
        <v>-19.472142149505999</v>
      </c>
      <c r="S40" s="245">
        <f>((F40*$D$78)*(References!$D$61/References!$H$64))-M40</f>
        <v>0</v>
      </c>
      <c r="T40" s="241"/>
    </row>
    <row r="41" spans="1:20" ht="15.75" thickBot="1">
      <c r="A41" s="131"/>
      <c r="B41" s="92"/>
      <c r="C41" s="109"/>
      <c r="D41" s="93" t="s">
        <v>14</v>
      </c>
      <c r="E41" s="212">
        <f>SUM(E21:E40)</f>
        <v>138245.27911767727</v>
      </c>
      <c r="F41" s="94"/>
      <c r="G41" s="212">
        <f>SUM(G21:G40)</f>
        <v>14762436.918337598</v>
      </c>
      <c r="H41" s="212">
        <f t="shared" ref="H41:J41" si="15">SUM(H21:H40)</f>
        <v>12198121.557829684</v>
      </c>
      <c r="I41" s="212">
        <f t="shared" si="15"/>
        <v>-12564.065204564611</v>
      </c>
      <c r="J41" s="212">
        <f t="shared" si="15"/>
        <v>-12854.578682795798</v>
      </c>
      <c r="K41" s="232"/>
      <c r="L41" s="309"/>
      <c r="M41" s="85"/>
      <c r="N41" s="244"/>
      <c r="O41" s="85"/>
      <c r="P41" s="212">
        <f t="shared" ref="P41:R41" si="16">SUM(P21:P40)</f>
        <v>2343040.8254504944</v>
      </c>
      <c r="Q41" s="212">
        <f t="shared" si="16"/>
        <v>2330186.2467676993</v>
      </c>
      <c r="R41" s="212">
        <f t="shared" si="16"/>
        <v>-12854.578682795702</v>
      </c>
      <c r="S41" s="84">
        <f>R41/P41</f>
        <v>-5.4862802829413627E-3</v>
      </c>
      <c r="T41" s="241"/>
    </row>
    <row r="42" spans="1:20" ht="15" customHeight="1">
      <c r="A42" s="348" t="s">
        <v>12</v>
      </c>
      <c r="B42" s="237">
        <v>34</v>
      </c>
      <c r="C42" s="112" t="s">
        <v>227</v>
      </c>
      <c r="D42" s="119" t="str">
        <f>VLOOKUP(C42,Mapping!$C$2:$H$157,6,FALSE)</f>
        <v>Extra Yardage Extra</v>
      </c>
      <c r="E42" s="241">
        <f>SUMIFS(Mapping!M:M,Mapping!A:A,"Commercial",Mapping!D:D,'DF Calculation'!C42)</f>
        <v>3374.526351188154</v>
      </c>
      <c r="F42" s="241">
        <f>VLOOKUP(C42,Mapping!D:L,7,FALSE)</f>
        <v>125</v>
      </c>
      <c r="G42" s="241">
        <f t="shared" ref="G42" si="17">E42*F42</f>
        <v>421815.79389851924</v>
      </c>
      <c r="H42" s="236">
        <f t="shared" ref="H42:H67" si="18">$D$78*G42</f>
        <v>348544.10267420742</v>
      </c>
      <c r="I42" s="241">
        <f>(References!$D$61*H42)</f>
        <v>-359.00042575443473</v>
      </c>
      <c r="J42" s="241">
        <f>I42/References!$H$64</f>
        <v>-367.30143825909016</v>
      </c>
      <c r="K42" s="312">
        <v>25.92</v>
      </c>
      <c r="L42" s="313">
        <v>25.8</v>
      </c>
      <c r="M42" s="240">
        <f t="shared" ref="M42:M67" si="19">IFERROR((J42/E42),0)</f>
        <v>-0.10884533117655612</v>
      </c>
      <c r="N42" s="263">
        <f t="shared" ref="N42:N67" si="20">+K42+M42</f>
        <v>25.811154668823445</v>
      </c>
      <c r="O42" s="263">
        <f t="shared" ref="O42:O67" si="21">M42+L42</f>
        <v>25.691154668823444</v>
      </c>
      <c r="P42" s="120">
        <f>E42*'DF Calculation'!K42</f>
        <v>87467.723022796956</v>
      </c>
      <c r="Q42" s="120">
        <f>(E42*'DF Calculation'!N42)</f>
        <v>87100.421584537864</v>
      </c>
      <c r="R42" s="120">
        <f t="shared" ref="R42" si="22">Q42-P42</f>
        <v>-367.30143825909181</v>
      </c>
      <c r="S42" s="245">
        <f>((F42*$D$78)*(References!$D$61/References!$H$64))-M42</f>
        <v>0</v>
      </c>
      <c r="T42" s="241"/>
    </row>
    <row r="43" spans="1:20">
      <c r="A43" s="349"/>
      <c r="B43" s="237">
        <v>41</v>
      </c>
      <c r="C43" s="112" t="s">
        <v>83</v>
      </c>
      <c r="D43" s="119" t="str">
        <f>VLOOKUP(C43,Mapping!$C$2:$H$157,6,FALSE)</f>
        <v>1 yard Regular</v>
      </c>
      <c r="E43" s="338">
        <f>SUMIFS(Mapping!M:M,Mapping!A:A,"Commercial",Mapping!D:D,'DF Calculation'!C43)+Mapping!M68</f>
        <v>20906.269243766859</v>
      </c>
      <c r="F43" s="241">
        <f>VLOOKUP(C43,Mapping!D:L,7,FALSE)</f>
        <v>175</v>
      </c>
      <c r="G43" s="241">
        <f>E43*F43</f>
        <v>3658597.1176592004</v>
      </c>
      <c r="H43" s="236">
        <f t="shared" si="18"/>
        <v>3023078.9549993756</v>
      </c>
      <c r="I43" s="241">
        <f>(References!$D$61*H43)</f>
        <v>-3113.7713236493664</v>
      </c>
      <c r="J43" s="241">
        <f>I43/References!$H$64</f>
        <v>-3185.7697193056747</v>
      </c>
      <c r="K43" s="312">
        <v>24.03</v>
      </c>
      <c r="L43" s="313">
        <v>23.92</v>
      </c>
      <c r="M43" s="240">
        <f>IFERROR((J43/E43),0)</f>
        <v>-0.15238346364717859</v>
      </c>
      <c r="N43" s="263">
        <f t="shared" si="20"/>
        <v>23.877616536352821</v>
      </c>
      <c r="O43" s="263">
        <f t="shared" si="21"/>
        <v>23.767616536352822</v>
      </c>
      <c r="P43" s="120">
        <f>E43*'DF Calculation'!K43</f>
        <v>502377.64992771763</v>
      </c>
      <c r="Q43" s="120">
        <f>(E43*'DF Calculation'!N43)</f>
        <v>499191.88020841195</v>
      </c>
      <c r="R43" s="120">
        <f>Q43-P43</f>
        <v>-3185.7697193056811</v>
      </c>
      <c r="S43" s="245">
        <f>((F43*$D$78)*(References!$D$61/References!$H$64))-M43</f>
        <v>0</v>
      </c>
      <c r="T43" s="235">
        <f>S43*(References!D61/References!H64)</f>
        <v>0</v>
      </c>
    </row>
    <row r="44" spans="1:20">
      <c r="A44" s="349"/>
      <c r="B44" s="237">
        <v>41</v>
      </c>
      <c r="C44" s="112" t="s">
        <v>223</v>
      </c>
      <c r="D44" s="119" t="str">
        <f>VLOOKUP(C44,Mapping!$C$2:$H$157,6,FALSE)</f>
        <v>1 yard Temp</v>
      </c>
      <c r="E44" s="241">
        <f>SUMIFS(Mapping!M:M,Mapping!A:A,"Commercial",Mapping!D:D,'DF Calculation'!C44)</f>
        <v>37.25</v>
      </c>
      <c r="F44" s="241">
        <f>VLOOKUP(C44,Mapping!D:L,7,FALSE)</f>
        <v>175</v>
      </c>
      <c r="G44" s="241">
        <f>E44*F44</f>
        <v>6518.75</v>
      </c>
      <c r="H44" s="236">
        <f t="shared" si="18"/>
        <v>5386.4077689184542</v>
      </c>
      <c r="I44" s="241">
        <f>(References!$D$61*H44)</f>
        <v>-5.5480000019860247</v>
      </c>
      <c r="J44" s="241">
        <f>I44/References!$H$64</f>
        <v>-5.6762840208574019</v>
      </c>
      <c r="K44" s="312">
        <v>26.21</v>
      </c>
      <c r="L44" s="313">
        <v>26.09</v>
      </c>
      <c r="M44" s="240">
        <f>IFERROR((J44/E44),0)</f>
        <v>-0.15238346364717859</v>
      </c>
      <c r="N44" s="263">
        <f t="shared" si="20"/>
        <v>26.057616536352821</v>
      </c>
      <c r="O44" s="263">
        <f t="shared" si="21"/>
        <v>25.93761653635282</v>
      </c>
      <c r="P44" s="120">
        <f>E44*'DF Calculation'!K44</f>
        <v>976.32249999999999</v>
      </c>
      <c r="Q44" s="120">
        <f>(E44*'DF Calculation'!N44)</f>
        <v>970.64621597914254</v>
      </c>
      <c r="R44" s="120">
        <f>Q44-P44</f>
        <v>-5.6762840208574517</v>
      </c>
      <c r="S44" s="245">
        <f>((F44*$D$78)*(References!$D$61/References!$H$64))-M44</f>
        <v>0</v>
      </c>
      <c r="T44" s="241"/>
    </row>
    <row r="45" spans="1:20">
      <c r="A45" s="349"/>
      <c r="B45" s="237">
        <v>41</v>
      </c>
      <c r="C45" s="112" t="s">
        <v>204</v>
      </c>
      <c r="D45" s="119" t="str">
        <f>VLOOKUP(C45,Mapping!$C$2:$H$157,6,FALSE)</f>
        <v>1 yard Extra</v>
      </c>
      <c r="E45" s="241">
        <f>SUMIFS(Mapping!M:M,Mapping!A:A,"Commercial",Mapping!D:D,'DF Calculation'!C45)</f>
        <v>43.487146529562978</v>
      </c>
      <c r="F45" s="241">
        <f>VLOOKUP(C45,Mapping!D:L,7,FALSE)</f>
        <v>175</v>
      </c>
      <c r="G45" s="241">
        <f>E45*F45</f>
        <v>7610.2506426735208</v>
      </c>
      <c r="H45" s="236">
        <f t="shared" si="18"/>
        <v>6288.308829931093</v>
      </c>
      <c r="I45" s="241">
        <f>(References!$D$61*H45)</f>
        <v>-6.4769580948290457</v>
      </c>
      <c r="J45" s="241">
        <f>I45/References!$H$64</f>
        <v>-6.6267220123071882</v>
      </c>
      <c r="K45" s="312">
        <v>24.03</v>
      </c>
      <c r="L45" s="313">
        <v>23.92</v>
      </c>
      <c r="M45" s="240">
        <f>IFERROR((J45/E45),0)</f>
        <v>-0.15238346364717859</v>
      </c>
      <c r="N45" s="263">
        <f t="shared" si="20"/>
        <v>23.877616536352821</v>
      </c>
      <c r="O45" s="263">
        <f t="shared" si="21"/>
        <v>23.767616536352822</v>
      </c>
      <c r="P45" s="120">
        <f>E45*'DF Calculation'!K45</f>
        <v>1044.9961311053985</v>
      </c>
      <c r="Q45" s="120">
        <f>(E45*'DF Calculation'!N45)</f>
        <v>1038.3694090930912</v>
      </c>
      <c r="R45" s="120">
        <f>Q45-P45</f>
        <v>-6.6267220123072548</v>
      </c>
      <c r="S45" s="245">
        <f>((F45*$D$78)*(References!$D$61/References!$H$64))-M45</f>
        <v>0</v>
      </c>
      <c r="T45" s="241"/>
    </row>
    <row r="46" spans="1:20">
      <c r="A46" s="349"/>
      <c r="B46" s="237">
        <v>41</v>
      </c>
      <c r="C46" s="112" t="s">
        <v>84</v>
      </c>
      <c r="D46" s="119" t="str">
        <f>VLOOKUP(C46,Mapping!$C$2:$H$157,6,FALSE)</f>
        <v>1.5 yard Regular</v>
      </c>
      <c r="E46" s="338">
        <f>SUMIFS(Mapping!M:M,Mapping!A:A,"Commercial",Mapping!D:D,'DF Calculation'!C46)+Mapping!M62</f>
        <v>4533.9167395511104</v>
      </c>
      <c r="F46" s="241">
        <f>VLOOKUP(C46,Mapping!D:L,7,FALSE)</f>
        <v>250</v>
      </c>
      <c r="G46" s="241">
        <f t="shared" ref="G46:G55" si="23">E46*F46</f>
        <v>1133479.1848877775</v>
      </c>
      <c r="H46" s="236">
        <f t="shared" si="18"/>
        <v>936587.70276308828</v>
      </c>
      <c r="I46" s="241">
        <f>(References!$D$61*H46)</f>
        <v>-964.68533384598391</v>
      </c>
      <c r="J46" s="241">
        <f>I46/References!$H$64</f>
        <v>-986.99133808674424</v>
      </c>
      <c r="K46" s="312">
        <v>33.25</v>
      </c>
      <c r="L46" s="313">
        <v>33.1</v>
      </c>
      <c r="M46" s="240">
        <f t="shared" ref="M46:M55" si="24">IFERROR((J46/E46),0)</f>
        <v>-0.21769066235311221</v>
      </c>
      <c r="N46" s="263">
        <f t="shared" si="20"/>
        <v>33.032309337646886</v>
      </c>
      <c r="O46" s="263">
        <f t="shared" si="21"/>
        <v>32.882309337646888</v>
      </c>
      <c r="P46" s="120">
        <f>E46*'DF Calculation'!K46</f>
        <v>150752.73159007443</v>
      </c>
      <c r="Q46" s="120">
        <f>(E46*'DF Calculation'!N46)</f>
        <v>149765.74025198768</v>
      </c>
      <c r="R46" s="120">
        <f t="shared" ref="R46:R56" si="25">Q46-P46</f>
        <v>-986.99133808675106</v>
      </c>
      <c r="S46" s="245">
        <f>((F46*$D$78)*(References!$D$61/References!$H$64))-M46</f>
        <v>0</v>
      </c>
      <c r="T46" s="241"/>
    </row>
    <row r="47" spans="1:20">
      <c r="A47" s="349"/>
      <c r="B47" s="237">
        <v>41</v>
      </c>
      <c r="C47" s="112" t="s">
        <v>139</v>
      </c>
      <c r="D47" s="119" t="str">
        <f>VLOOKUP(C47,Mapping!$C$2:$H$157,6,FALSE)</f>
        <v>1.5 yard Temp</v>
      </c>
      <c r="E47" s="241">
        <f>SUMIFS(Mapping!M:M,Mapping!A:A,"Commercial",Mapping!D:D,'DF Calculation'!C47)</f>
        <v>6</v>
      </c>
      <c r="F47" s="241">
        <f>VLOOKUP(C47,Mapping!D:L,7,FALSE)</f>
        <v>250</v>
      </c>
      <c r="G47" s="241">
        <f t="shared" si="23"/>
        <v>1500</v>
      </c>
      <c r="H47" s="236">
        <f t="shared" si="18"/>
        <v>1239.441864372415</v>
      </c>
      <c r="I47" s="241">
        <f>(References!$D$61*H47)</f>
        <v>-1.2766251203035914</v>
      </c>
      <c r="J47" s="241">
        <f>I47/References!$H$64</f>
        <v>-1.3061439741186733</v>
      </c>
      <c r="K47" s="312">
        <v>35.46</v>
      </c>
      <c r="L47" s="313">
        <v>35.29</v>
      </c>
      <c r="M47" s="240">
        <f t="shared" si="24"/>
        <v>-0.21769066235311221</v>
      </c>
      <c r="N47" s="263">
        <f t="shared" si="20"/>
        <v>35.242309337646887</v>
      </c>
      <c r="O47" s="263">
        <f t="shared" si="21"/>
        <v>35.072309337646885</v>
      </c>
      <c r="P47" s="120">
        <f>E47*'DF Calculation'!K47</f>
        <v>212.76</v>
      </c>
      <c r="Q47" s="120">
        <f>(E47*'DF Calculation'!N47)</f>
        <v>211.45385602588132</v>
      </c>
      <c r="R47" s="120">
        <f t="shared" si="25"/>
        <v>-1.3061439741186689</v>
      </c>
      <c r="S47" s="245">
        <f>((F47*$D$78)*(References!$D$61/References!$H$64))-M47</f>
        <v>0</v>
      </c>
      <c r="T47" s="241"/>
    </row>
    <row r="48" spans="1:20">
      <c r="A48" s="349"/>
      <c r="B48" s="237">
        <v>41</v>
      </c>
      <c r="C48" s="112" t="s">
        <v>220</v>
      </c>
      <c r="D48" s="119" t="str">
        <f>VLOOKUP(C48,Mapping!$C$2:$H$157,6,FALSE)</f>
        <v>1.5 yard Extra</v>
      </c>
      <c r="E48" s="241">
        <f>SUMIFS(Mapping!M:M,Mapping!A:A,"Commercial",Mapping!D:D,'DF Calculation'!C48)</f>
        <v>2</v>
      </c>
      <c r="F48" s="241">
        <f>VLOOKUP(C48,Mapping!D:L,7,FALSE)</f>
        <v>250</v>
      </c>
      <c r="G48" s="241">
        <f t="shared" si="23"/>
        <v>500</v>
      </c>
      <c r="H48" s="236">
        <f t="shared" si="18"/>
        <v>413.14728812413836</v>
      </c>
      <c r="I48" s="241">
        <f>(References!$D$61*H48)</f>
        <v>-0.42554170676786379</v>
      </c>
      <c r="J48" s="241">
        <f>I48/References!$H$64</f>
        <v>-0.43538132470622443</v>
      </c>
      <c r="K48" s="312">
        <v>33.25</v>
      </c>
      <c r="L48" s="313">
        <v>33.1</v>
      </c>
      <c r="M48" s="240">
        <f t="shared" si="24"/>
        <v>-0.21769066235311221</v>
      </c>
      <c r="N48" s="263">
        <f t="shared" si="20"/>
        <v>33.032309337646886</v>
      </c>
      <c r="O48" s="263">
        <f t="shared" si="21"/>
        <v>32.882309337646888</v>
      </c>
      <c r="P48" s="120">
        <f>E48*'DF Calculation'!K48</f>
        <v>66.5</v>
      </c>
      <c r="Q48" s="120">
        <f>(E48*'DF Calculation'!N48)</f>
        <v>66.064618675293772</v>
      </c>
      <c r="R48" s="120">
        <f t="shared" si="25"/>
        <v>-0.4353813247062277</v>
      </c>
      <c r="S48" s="245">
        <f>((F48*$D$78)*(References!$D$61/References!$H$64))-M48</f>
        <v>0</v>
      </c>
      <c r="T48" s="241"/>
    </row>
    <row r="49" spans="1:20">
      <c r="A49" s="349"/>
      <c r="B49" s="237">
        <v>41</v>
      </c>
      <c r="C49" s="112" t="s">
        <v>85</v>
      </c>
      <c r="D49" s="119" t="str">
        <f>VLOOKUP(C49,Mapping!$C$2:$H$157,6,FALSE)</f>
        <v>2 yard Regular</v>
      </c>
      <c r="E49" s="241">
        <f>SUMIFS(Mapping!M:M,Mapping!A:A,"Commercial",Mapping!D:D,'DF Calculation'!C49)</f>
        <v>38720.211202163395</v>
      </c>
      <c r="F49" s="241">
        <f>VLOOKUP(C49,Mapping!D:L,7,FALSE)</f>
        <v>324</v>
      </c>
      <c r="G49" s="241">
        <f t="shared" si="23"/>
        <v>12545348.429500939</v>
      </c>
      <c r="H49" s="236">
        <f t="shared" si="18"/>
        <v>10366153.364441462</v>
      </c>
      <c r="I49" s="241">
        <f>(References!$D$61*H49)</f>
        <v>-10677.137965374739</v>
      </c>
      <c r="J49" s="241">
        <f>I49/References!$H$64</f>
        <v>-10924.020836274543</v>
      </c>
      <c r="K49" s="312">
        <v>41.5</v>
      </c>
      <c r="L49" s="313">
        <v>41.31</v>
      </c>
      <c r="M49" s="240">
        <f t="shared" si="24"/>
        <v>-0.28212709840963346</v>
      </c>
      <c r="N49" s="263">
        <f t="shared" si="20"/>
        <v>41.217872901590368</v>
      </c>
      <c r="O49" s="263">
        <f t="shared" si="21"/>
        <v>41.027872901590371</v>
      </c>
      <c r="P49" s="120">
        <f>E49*'DF Calculation'!K49</f>
        <v>1606888.7648897809</v>
      </c>
      <c r="Q49" s="120">
        <f>(E49*'DF Calculation'!N49)</f>
        <v>1595964.7440535065</v>
      </c>
      <c r="R49" s="120">
        <f t="shared" si="25"/>
        <v>-10924.020836274372</v>
      </c>
      <c r="S49" s="245">
        <f>((F49*$D$78)*(References!$D$61/References!$H$64))-M49</f>
        <v>0</v>
      </c>
      <c r="T49" s="241"/>
    </row>
    <row r="50" spans="1:20" ht="13.5" customHeight="1">
      <c r="A50" s="349"/>
      <c r="B50" s="237">
        <v>41</v>
      </c>
      <c r="C50" s="112" t="s">
        <v>140</v>
      </c>
      <c r="D50" s="119" t="str">
        <f>VLOOKUP(C50,Mapping!$C$2:$H$157,6,FALSE)</f>
        <v>2 yard Temp</v>
      </c>
      <c r="E50" s="241">
        <f>SUMIFS(Mapping!M:M,Mapping!A:A,"Commercial",Mapping!D:D,'DF Calculation'!C50)</f>
        <v>140.97697962342016</v>
      </c>
      <c r="F50" s="241">
        <f>VLOOKUP(C50,Mapping!D:L,7,FALSE)</f>
        <v>324</v>
      </c>
      <c r="G50" s="241">
        <f t="shared" si="23"/>
        <v>45676.541397988134</v>
      </c>
      <c r="H50" s="236">
        <f t="shared" si="18"/>
        <v>37742.278418937472</v>
      </c>
      <c r="I50" s="241">
        <f>(References!$D$61*H50)</f>
        <v>-38.874546771505713</v>
      </c>
      <c r="J50" s="241">
        <f>I50/References!$H$64</f>
        <v>-39.773426203709548</v>
      </c>
      <c r="K50" s="312">
        <v>43.69</v>
      </c>
      <c r="L50" s="313">
        <v>43.49</v>
      </c>
      <c r="M50" s="240">
        <f t="shared" si="24"/>
        <v>-0.28212709840963346</v>
      </c>
      <c r="N50" s="263">
        <f t="shared" si="20"/>
        <v>43.407872901590366</v>
      </c>
      <c r="O50" s="263">
        <f t="shared" si="21"/>
        <v>43.20787290159037</v>
      </c>
      <c r="P50" s="120">
        <f>E50*'DF Calculation'!K50</f>
        <v>6159.2842397472268</v>
      </c>
      <c r="Q50" s="120">
        <f>(E50*'DF Calculation'!N50)</f>
        <v>6119.5108135435175</v>
      </c>
      <c r="R50" s="120">
        <f t="shared" si="25"/>
        <v>-39.773426203709278</v>
      </c>
      <c r="S50" s="245">
        <f>((F50*$D$78)*(References!$D$61/References!$H$64))-M50</f>
        <v>0</v>
      </c>
      <c r="T50" s="241"/>
    </row>
    <row r="51" spans="1:20" ht="13.5" customHeight="1">
      <c r="A51" s="349"/>
      <c r="B51" s="237">
        <v>41</v>
      </c>
      <c r="C51" s="112" t="s">
        <v>205</v>
      </c>
      <c r="D51" s="119" t="str">
        <f>VLOOKUP(C51,Mapping!$C$2:$H$157,6,FALSE)</f>
        <v>2 yard Extra</v>
      </c>
      <c r="E51" s="241">
        <f>SUMIFS(Mapping!M:M,Mapping!A:A,"Commercial",Mapping!D:D,'DF Calculation'!C51)</f>
        <v>101.78204797523858</v>
      </c>
      <c r="F51" s="241">
        <f>VLOOKUP(C51,Mapping!D:L,7,FALSE)</f>
        <v>324</v>
      </c>
      <c r="G51" s="241">
        <f t="shared" si="23"/>
        <v>32977.383543977303</v>
      </c>
      <c r="H51" s="236">
        <f t="shared" si="18"/>
        <v>27249.033161247618</v>
      </c>
      <c r="I51" s="241">
        <f>(References!$D$61*H51)</f>
        <v>-28.066504156085131</v>
      </c>
      <c r="J51" s="241">
        <f>I51/References!$H$64</f>
        <v>-28.715473865444167</v>
      </c>
      <c r="K51" s="312">
        <v>41.5</v>
      </c>
      <c r="L51" s="313">
        <v>41.31</v>
      </c>
      <c r="M51" s="240">
        <f t="shared" si="24"/>
        <v>-0.28212709840963346</v>
      </c>
      <c r="N51" s="263">
        <f t="shared" si="20"/>
        <v>41.217872901590368</v>
      </c>
      <c r="O51" s="263">
        <f t="shared" si="21"/>
        <v>41.027872901590371</v>
      </c>
      <c r="P51" s="120">
        <f>E51*'DF Calculation'!K51</f>
        <v>4223.954990972401</v>
      </c>
      <c r="Q51" s="120">
        <f>(E51*'DF Calculation'!N51)</f>
        <v>4195.2395171069575</v>
      </c>
      <c r="R51" s="120">
        <f t="shared" si="25"/>
        <v>-28.715473865443528</v>
      </c>
      <c r="S51" s="245">
        <f>((F51*$D$78)*(References!$D$61/References!$H$64))-M51</f>
        <v>0</v>
      </c>
      <c r="T51" s="241"/>
    </row>
    <row r="52" spans="1:20">
      <c r="A52" s="349"/>
      <c r="B52" s="237">
        <v>41</v>
      </c>
      <c r="C52" s="112" t="s">
        <v>123</v>
      </c>
      <c r="D52" s="119" t="str">
        <f>VLOOKUP(C52,Mapping!$C$2:$H$157,6,FALSE)</f>
        <v>4 yard Regular</v>
      </c>
      <c r="E52" s="241">
        <f>SUMIFS(Mapping!M:M,Mapping!A:A,"Commercial",Mapping!D:D,'DF Calculation'!C52)</f>
        <v>14253.51136496065</v>
      </c>
      <c r="F52" s="241">
        <f>VLOOKUP(C52,Mapping!D:L,7,FALSE)</f>
        <v>613</v>
      </c>
      <c r="G52" s="241">
        <f t="shared" si="23"/>
        <v>8737402.4667208791</v>
      </c>
      <c r="H52" s="236">
        <f t="shared" si="18"/>
        <v>7219668.2687497763</v>
      </c>
      <c r="I52" s="241">
        <f>(References!$D$61*H52)</f>
        <v>-7436.2583168122919</v>
      </c>
      <c r="J52" s="241">
        <f>I52/References!$H$64</f>
        <v>-7608.2037209047385</v>
      </c>
      <c r="K52" s="312">
        <v>77.98</v>
      </c>
      <c r="L52" s="313">
        <v>77.62</v>
      </c>
      <c r="M52" s="240">
        <f t="shared" si="24"/>
        <v>-0.53377750408983116</v>
      </c>
      <c r="N52" s="263">
        <f t="shared" si="20"/>
        <v>77.446222495910177</v>
      </c>
      <c r="O52" s="263">
        <f t="shared" si="21"/>
        <v>77.086222495910178</v>
      </c>
      <c r="P52" s="120">
        <f>E52*'DF Calculation'!K52</f>
        <v>1111488.8162396315</v>
      </c>
      <c r="Q52" s="120">
        <f>(E52*'DF Calculation'!N52)</f>
        <v>1103880.6125187268</v>
      </c>
      <c r="R52" s="120">
        <f t="shared" si="25"/>
        <v>-7608.2037209046539</v>
      </c>
      <c r="S52" s="245">
        <f>((F52*$D$78)*(References!$D$61/References!$H$64))-M52</f>
        <v>0</v>
      </c>
      <c r="T52" s="241"/>
    </row>
    <row r="53" spans="1:20">
      <c r="A53" s="349"/>
      <c r="B53" s="237">
        <v>41</v>
      </c>
      <c r="C53" s="112" t="s">
        <v>207</v>
      </c>
      <c r="D53" s="119" t="str">
        <f>VLOOKUP(C53,Mapping!$C$2:$H$157,6,FALSE)</f>
        <v>4 yard Extra</v>
      </c>
      <c r="E53" s="241">
        <f>SUMIFS(Mapping!M:M,Mapping!A:A,"Commercial",Mapping!D:D,'DF Calculation'!C53)</f>
        <v>73.354066985645929</v>
      </c>
      <c r="F53" s="241">
        <f>VLOOKUP(C53,Mapping!D:L,7,FALSE)</f>
        <v>613</v>
      </c>
      <c r="G53" s="241">
        <f t="shared" si="23"/>
        <v>44966.043062200952</v>
      </c>
      <c r="H53" s="236">
        <f t="shared" si="18"/>
        <v>37155.197497643101</v>
      </c>
      <c r="I53" s="241">
        <f>(References!$D$61*H53)</f>
        <v>-38.26985342257251</v>
      </c>
      <c r="J53" s="241">
        <f>I53/References!$H$64</f>
        <v>-39.154750790436367</v>
      </c>
      <c r="K53" s="312">
        <v>77.98</v>
      </c>
      <c r="L53" s="313">
        <v>77.62</v>
      </c>
      <c r="M53" s="240">
        <f t="shared" si="24"/>
        <v>-0.53377750408983116</v>
      </c>
      <c r="N53" s="263">
        <f t="shared" si="20"/>
        <v>77.446222495910177</v>
      </c>
      <c r="O53" s="263">
        <f t="shared" si="21"/>
        <v>77.086222495910178</v>
      </c>
      <c r="P53" s="120">
        <f>E53*'DF Calculation'!K53</f>
        <v>5720.1501435406699</v>
      </c>
      <c r="Q53" s="120">
        <f>(E53*'DF Calculation'!N53)</f>
        <v>5680.9953927502338</v>
      </c>
      <c r="R53" s="120">
        <f t="shared" si="25"/>
        <v>-39.154750790436083</v>
      </c>
      <c r="S53" s="245">
        <f>((F53*$D$78)*(References!$D$61/References!$H$64))-M53</f>
        <v>0</v>
      </c>
      <c r="T53" s="241"/>
    </row>
    <row r="54" spans="1:20">
      <c r="A54" s="349"/>
      <c r="B54" s="237">
        <v>41</v>
      </c>
      <c r="C54" s="112" t="s">
        <v>126</v>
      </c>
      <c r="D54" s="119" t="str">
        <f>VLOOKUP(C54,Mapping!$C$2:$H$157,6,FALSE)</f>
        <v>6 yard Regular</v>
      </c>
      <c r="E54" s="241">
        <f>SUMIFS(Mapping!M:M,Mapping!A:A,"Commercial",Mapping!D:D,'DF Calculation'!C54)</f>
        <v>21745.819055516371</v>
      </c>
      <c r="F54" s="241">
        <f>VLOOKUP(C54,Mapping!D:L,7,FALSE)</f>
        <v>840</v>
      </c>
      <c r="G54" s="241">
        <f t="shared" si="23"/>
        <v>18266488.006633751</v>
      </c>
      <c r="H54" s="236">
        <f t="shared" si="18"/>
        <v>15093499.966985665</v>
      </c>
      <c r="I54" s="241">
        <f>(References!$D$61*H54)</f>
        <v>-15546.304965995283</v>
      </c>
      <c r="J54" s="241">
        <f>I54/References!$H$64</f>
        <v>-15905.775492117129</v>
      </c>
      <c r="K54" s="312">
        <v>107.76</v>
      </c>
      <c r="L54" s="313">
        <v>107.26</v>
      </c>
      <c r="M54" s="240">
        <f t="shared" si="24"/>
        <v>-0.73144062550645716</v>
      </c>
      <c r="N54" s="263">
        <f t="shared" si="20"/>
        <v>107.02855937449355</v>
      </c>
      <c r="O54" s="263">
        <f t="shared" si="21"/>
        <v>106.52855937449355</v>
      </c>
      <c r="P54" s="120">
        <f>E54*'DF Calculation'!K54</f>
        <v>2343329.4614224443</v>
      </c>
      <c r="Q54" s="120">
        <f>(E54*'DF Calculation'!N54)</f>
        <v>2327423.685930327</v>
      </c>
      <c r="R54" s="120">
        <f t="shared" si="25"/>
        <v>-15905.775492117275</v>
      </c>
      <c r="S54" s="245">
        <f>((F54*$D$78)*(References!$D$61/References!$H$64))-M54</f>
        <v>0</v>
      </c>
      <c r="T54" s="241"/>
    </row>
    <row r="55" spans="1:20">
      <c r="A55" s="349"/>
      <c r="B55" s="237">
        <v>41</v>
      </c>
      <c r="C55" s="112" t="s">
        <v>208</v>
      </c>
      <c r="D55" s="119" t="str">
        <f>VLOOKUP(C55,Mapping!$C$2:$H$157,6,FALSE)</f>
        <v>6 yard Extra</v>
      </c>
      <c r="E55" s="241">
        <f>SUMIFS(Mapping!M:M,Mapping!A:A,"Commercial",Mapping!D:D,'DF Calculation'!C55)</f>
        <v>144.03324440796223</v>
      </c>
      <c r="F55" s="241">
        <f>VLOOKUP(C55,Mapping!D:L,7,FALSE)</f>
        <v>840</v>
      </c>
      <c r="G55" s="241">
        <f t="shared" si="23"/>
        <v>120987.92530268827</v>
      </c>
      <c r="H55" s="236">
        <f t="shared" si="18"/>
        <v>99971.666469142961</v>
      </c>
      <c r="I55" s="241">
        <f>(References!$D$61*H55)</f>
        <v>-102.97081646321756</v>
      </c>
      <c r="J55" s="241">
        <f>I55/References!$H$64</f>
        <v>-105.3517663834843</v>
      </c>
      <c r="K55" s="312">
        <v>107.76</v>
      </c>
      <c r="L55" s="313">
        <v>107.26</v>
      </c>
      <c r="M55" s="240">
        <f t="shared" si="24"/>
        <v>-0.73144062550645705</v>
      </c>
      <c r="N55" s="263">
        <f t="shared" si="20"/>
        <v>107.02855937449355</v>
      </c>
      <c r="O55" s="263">
        <f t="shared" si="21"/>
        <v>106.52855937449355</v>
      </c>
      <c r="P55" s="120">
        <f>E55*'DF Calculation'!K55</f>
        <v>15521.022417402011</v>
      </c>
      <c r="Q55" s="120">
        <f>(E55*'DF Calculation'!N55)</f>
        <v>15415.670651018527</v>
      </c>
      <c r="R55" s="120">
        <f t="shared" si="25"/>
        <v>-105.35176638348457</v>
      </c>
      <c r="S55" s="245">
        <f>((F55*$D$78)*(References!$D$61/References!$H$64))-M55</f>
        <v>0</v>
      </c>
      <c r="T55" s="241"/>
    </row>
    <row r="56" spans="1:20">
      <c r="A56" s="349"/>
      <c r="B56" s="237">
        <v>42</v>
      </c>
      <c r="C56" s="112" t="s">
        <v>199</v>
      </c>
      <c r="D56" s="308" t="str">
        <f>Mapping!H99</f>
        <v>20 Gallon Cart Minimum</v>
      </c>
      <c r="E56" s="241">
        <f>SUMIFS(Mapping!M:M,Mapping!A:A,"Commercial",Mapping!D:D,'DF Calculation'!C56)</f>
        <v>56.77450323732976</v>
      </c>
      <c r="F56" s="241">
        <f>VLOOKUP(C56,Mapping!D:L,7,FALSE)</f>
        <v>20</v>
      </c>
      <c r="G56" s="241">
        <f>E56*F56</f>
        <v>1135.4900647465952</v>
      </c>
      <c r="H56" s="236">
        <f t="shared" si="18"/>
        <v>938.24928188391618</v>
      </c>
      <c r="I56" s="241">
        <f>(References!$D$61*H56)</f>
        <v>-0.96639676034043664</v>
      </c>
      <c r="J56" s="241">
        <f>I56/References!$H$64</f>
        <v>-0.98874233716025839</v>
      </c>
      <c r="K56" s="312">
        <v>17.2</v>
      </c>
      <c r="L56" s="313">
        <v>17.12</v>
      </c>
      <c r="M56" s="240">
        <f>IFERROR((J56/E56),0)*References!$C$11</f>
        <v>-7.5466096282412229E-2</v>
      </c>
      <c r="N56" s="263">
        <f t="shared" si="20"/>
        <v>17.124533903717587</v>
      </c>
      <c r="O56" s="263">
        <f t="shared" si="21"/>
        <v>17.044533903717589</v>
      </c>
      <c r="P56" s="120">
        <f>(E56/References!$C$11)*'DF Calculation'!K56</f>
        <v>225.35110515740121</v>
      </c>
      <c r="Q56" s="120">
        <f>(E56/References!$C$11)*'DF Calculation'!N56</f>
        <v>224.36236282024095</v>
      </c>
      <c r="R56" s="120">
        <f t="shared" si="25"/>
        <v>-0.98874233716026083</v>
      </c>
      <c r="S56" s="245">
        <f>(((F56*$D$78)*(References!$D$61/References!$H$64))*References!$C$11)-M56</f>
        <v>0</v>
      </c>
      <c r="T56" s="300" t="s">
        <v>820</v>
      </c>
    </row>
    <row r="57" spans="1:20">
      <c r="A57" s="349"/>
      <c r="B57" s="237">
        <v>42</v>
      </c>
      <c r="C57" s="112" t="s">
        <v>200</v>
      </c>
      <c r="D57" s="308" t="str">
        <f>Mapping!H101</f>
        <v>35 Gallon Cart Minimum</v>
      </c>
      <c r="E57" s="241">
        <f>SUMIFS(Mapping!M:M,Mapping!A:A,"Commercial",Mapping!D:D,'DF Calculation'!C57)</f>
        <v>5073.5961064321491</v>
      </c>
      <c r="F57" s="241">
        <f>VLOOKUP(C57,Mapping!D:L,7,FALSE)</f>
        <v>34</v>
      </c>
      <c r="G57" s="241">
        <f t="shared" ref="G57:G59" si="26">E57*F57</f>
        <v>172502.26761869306</v>
      </c>
      <c r="H57" s="236">
        <f t="shared" si="18"/>
        <v>142537.68812385481</v>
      </c>
      <c r="I57" s="241">
        <f>(References!$D$61*H57)</f>
        <v>-146.81381876757089</v>
      </c>
      <c r="J57" s="241">
        <f>I57/References!$H$64</f>
        <v>-150.20853158130845</v>
      </c>
      <c r="K57" s="312">
        <v>21.64</v>
      </c>
      <c r="L57" s="313">
        <v>21.54</v>
      </c>
      <c r="M57" s="240">
        <f>IFERROR((J57/E57),0)*References!$C$11</f>
        <v>-0.12829236368010077</v>
      </c>
      <c r="N57" s="263">
        <f t="shared" si="20"/>
        <v>21.511707636319901</v>
      </c>
      <c r="O57" s="263">
        <f t="shared" si="21"/>
        <v>21.4117076363199</v>
      </c>
      <c r="P57" s="120">
        <f>(E57/References!$C$11)*'DF Calculation'!K57</f>
        <v>25336.758402275012</v>
      </c>
      <c r="Q57" s="120">
        <f>(E57/References!$C$11)*'DF Calculation'!N57</f>
        <v>25186.549870693703</v>
      </c>
      <c r="R57" s="120">
        <f t="shared" ref="R57:R59" si="27">Q57-P57</f>
        <v>-150.20853158130922</v>
      </c>
      <c r="S57" s="245">
        <f>(((F57*$D$78)*(References!$D$61/References!$H$64))*References!$C$11)-M57</f>
        <v>0</v>
      </c>
      <c r="T57" s="300" t="s">
        <v>820</v>
      </c>
    </row>
    <row r="58" spans="1:20">
      <c r="A58" s="349"/>
      <c r="B58" s="237">
        <v>42</v>
      </c>
      <c r="C58" s="112" t="s">
        <v>201</v>
      </c>
      <c r="D58" s="308" t="str">
        <f>Mapping!H103</f>
        <v>65 Gallon Cart Minimum</v>
      </c>
      <c r="E58" s="241">
        <f>SUMIFS(Mapping!M:M,Mapping!A:A,"Commercial",Mapping!D:D,'DF Calculation'!C58)</f>
        <v>3249.1384475354157</v>
      </c>
      <c r="F58" s="241">
        <f>VLOOKUP(C58,Mapping!D:L,7,FALSE)</f>
        <v>47</v>
      </c>
      <c r="G58" s="241">
        <f t="shared" si="26"/>
        <v>152709.50703416453</v>
      </c>
      <c r="H58" s="236">
        <f t="shared" si="18"/>
        <v>126183.03740387822</v>
      </c>
      <c r="I58" s="241">
        <f>(References!$D$61*H58)</f>
        <v>-129.96852852599497</v>
      </c>
      <c r="J58" s="241">
        <f>I58/References!$H$64</f>
        <v>-132.97373493553812</v>
      </c>
      <c r="K58" s="312">
        <v>32.31</v>
      </c>
      <c r="L58" s="313">
        <v>32.159999999999997</v>
      </c>
      <c r="M58" s="240">
        <f>IFERROR((J58/E58),0)*References!$C$11</f>
        <v>-0.17734532626366875</v>
      </c>
      <c r="N58" s="263">
        <f t="shared" si="20"/>
        <v>32.132654673736333</v>
      </c>
      <c r="O58" s="263">
        <f t="shared" si="21"/>
        <v>31.982654673736327</v>
      </c>
      <c r="P58" s="120">
        <f>(E58/References!$C$11)*'DF Calculation'!K58</f>
        <v>24226.076132277532</v>
      </c>
      <c r="Q58" s="120">
        <f>(E58/References!$C$11)*'DF Calculation'!N58</f>
        <v>24093.102397341994</v>
      </c>
      <c r="R58" s="120">
        <f t="shared" si="27"/>
        <v>-132.97373493553823</v>
      </c>
      <c r="S58" s="245">
        <f>(((F58*$D$78)*(References!$D$61/References!$H$64))*References!$C$11)-M58</f>
        <v>0</v>
      </c>
      <c r="T58" s="300" t="s">
        <v>820</v>
      </c>
    </row>
    <row r="59" spans="1:20">
      <c r="A59" s="349"/>
      <c r="B59" s="237">
        <v>42</v>
      </c>
      <c r="C59" s="112" t="s">
        <v>202</v>
      </c>
      <c r="D59" s="308" t="str">
        <f>Mapping!H105</f>
        <v>95 Gallon Cart Minimum</v>
      </c>
      <c r="E59" s="241">
        <f>SUMIFS(Mapping!M:M,Mapping!A:A,"Commercial",Mapping!D:D,'DF Calculation'!C59)</f>
        <v>2017.2153463060906</v>
      </c>
      <c r="F59" s="241">
        <f>VLOOKUP(C59,Mapping!D:L,7,FALSE)</f>
        <v>68</v>
      </c>
      <c r="G59" s="241">
        <f t="shared" si="26"/>
        <v>137170.64354881417</v>
      </c>
      <c r="H59" s="236">
        <f t="shared" si="18"/>
        <v>113343.35878487083</v>
      </c>
      <c r="I59" s="241">
        <f>(References!$D$61*H59)</f>
        <v>-116.74365954841731</v>
      </c>
      <c r="J59" s="241">
        <f>I59/References!$H$64</f>
        <v>-119.44307299817609</v>
      </c>
      <c r="K59" s="312">
        <v>45.25</v>
      </c>
      <c r="L59" s="313">
        <v>45.04</v>
      </c>
      <c r="M59" s="240">
        <f>IFERROR((J59/E59),0)*References!$C$11</f>
        <v>-0.25658472736020166</v>
      </c>
      <c r="N59" s="263">
        <f t="shared" si="20"/>
        <v>44.993415272639801</v>
      </c>
      <c r="O59" s="263">
        <f t="shared" si="21"/>
        <v>44.7834152726398</v>
      </c>
      <c r="P59" s="120">
        <f>(E59/References!$C$11)*'DF Calculation'!K59</f>
        <v>21064.383327773216</v>
      </c>
      <c r="Q59" s="120">
        <f>(E59/References!$C$11)*'DF Calculation'!N59</f>
        <v>20944.940254775043</v>
      </c>
      <c r="R59" s="120">
        <f t="shared" si="27"/>
        <v>-119.44307299817228</v>
      </c>
      <c r="S59" s="245">
        <f>(((F59*$D$78)*(References!$D$61/References!$H$64))*References!$C$11)-M59</f>
        <v>0</v>
      </c>
      <c r="T59" s="300" t="s">
        <v>820</v>
      </c>
    </row>
    <row r="60" spans="1:20">
      <c r="A60" s="349"/>
      <c r="B60" s="237">
        <v>42</v>
      </c>
      <c r="C60" s="112" t="s">
        <v>226</v>
      </c>
      <c r="D60" s="119" t="str">
        <f>VLOOKUP(C60,Mapping!$C$2:$H$157,6,FALSE)</f>
        <v>Can Extra</v>
      </c>
      <c r="E60" s="241">
        <f>SUMIFS(Mapping!M:M,Mapping!A:A,"Commercial",Mapping!D:D,'DF Calculation'!C60)</f>
        <v>5523.700418286985</v>
      </c>
      <c r="F60" s="241">
        <f>VLOOKUP(C60,Mapping!D:L,7,FALSE)</f>
        <v>29</v>
      </c>
      <c r="G60" s="241">
        <f t="shared" ref="G60:G67" si="28">E60*F60</f>
        <v>160187.31213032256</v>
      </c>
      <c r="H60" s="236">
        <f t="shared" si="18"/>
        <v>132361.90719707531</v>
      </c>
      <c r="I60" s="241">
        <f>(References!$D$61*H60)</f>
        <v>-136.33276441298798</v>
      </c>
      <c r="J60" s="241">
        <f>I60/References!$H$64</f>
        <v>-139.48512831285859</v>
      </c>
      <c r="K60" s="312">
        <v>4.82</v>
      </c>
      <c r="L60" s="313">
        <v>4.8</v>
      </c>
      <c r="M60" s="240">
        <f t="shared" si="19"/>
        <v>-2.5252116832961018E-2</v>
      </c>
      <c r="N60" s="263">
        <f t="shared" si="20"/>
        <v>4.7947478831670391</v>
      </c>
      <c r="O60" s="263">
        <f t="shared" si="21"/>
        <v>4.7747478831670387</v>
      </c>
      <c r="P60" s="120">
        <f>E60*'DF Calculation'!K60</f>
        <v>26624.23601614327</v>
      </c>
      <c r="Q60" s="120">
        <f>(E60*'DF Calculation'!N60)</f>
        <v>26484.750887830411</v>
      </c>
      <c r="R60" s="120">
        <f t="shared" ref="R60:R67" si="29">Q60-P60</f>
        <v>-139.48512831285916</v>
      </c>
      <c r="S60" s="245">
        <f>((F60*$D$78)*(References!$D$61/References!$H$64))-M60</f>
        <v>0</v>
      </c>
      <c r="T60" s="241"/>
    </row>
    <row r="61" spans="1:20">
      <c r="A61" s="349"/>
      <c r="B61" s="237">
        <v>44</v>
      </c>
      <c r="C61" s="112" t="s">
        <v>210</v>
      </c>
      <c r="D61" s="119" t="str">
        <f>VLOOKUP(C61,Mapping!$C$2:$H$157,6,FALSE)</f>
        <v>2 yard Regular</v>
      </c>
      <c r="E61" s="241">
        <f>SUMIFS(Mapping!M:M,Mapping!A:A,"Commercial",Mapping!D:D,'DF Calculation'!C61)</f>
        <v>52</v>
      </c>
      <c r="F61" s="241">
        <f>VLOOKUP(C61,Mapping!D:L,7,FALSE)</f>
        <v>729</v>
      </c>
      <c r="G61" s="241">
        <f t="shared" si="28"/>
        <v>37908</v>
      </c>
      <c r="H61" s="236">
        <f t="shared" si="18"/>
        <v>31323.174796419673</v>
      </c>
      <c r="I61" s="241">
        <f>(References!$D$61*H61)</f>
        <v>-32.262870040312364</v>
      </c>
      <c r="J61" s="241">
        <f>I61/References!$H$64</f>
        <v>-33.008870513927114</v>
      </c>
      <c r="K61" s="312">
        <v>88.63</v>
      </c>
      <c r="L61" s="313">
        <v>88.22</v>
      </c>
      <c r="M61" s="240">
        <f t="shared" si="19"/>
        <v>-0.63478597142167525</v>
      </c>
      <c r="N61" s="263">
        <f t="shared" si="20"/>
        <v>87.995214028578317</v>
      </c>
      <c r="O61" s="263">
        <f t="shared" si="21"/>
        <v>87.585214028578321</v>
      </c>
      <c r="P61" s="120">
        <f>E61*'DF Calculation'!K61</f>
        <v>4608.76</v>
      </c>
      <c r="Q61" s="120">
        <f>(E61*'DF Calculation'!N61)</f>
        <v>4575.7511294860724</v>
      </c>
      <c r="R61" s="120">
        <f t="shared" si="29"/>
        <v>-33.008870513927832</v>
      </c>
      <c r="S61" s="245">
        <f>((F61*$D$78)*(References!$D$61/References!$H$64))-M61</f>
        <v>0</v>
      </c>
      <c r="T61" s="241"/>
    </row>
    <row r="62" spans="1:20">
      <c r="A62" s="349"/>
      <c r="B62" s="237">
        <v>44</v>
      </c>
      <c r="C62" s="112" t="s">
        <v>211</v>
      </c>
      <c r="D62" s="119" t="str">
        <f>VLOOKUP(C62,Mapping!$C$2:$H$157,6,FALSE)</f>
        <v>4 yard Regular</v>
      </c>
      <c r="E62" s="241">
        <f>SUMIFS(Mapping!M:M,Mapping!A:A,"Commercial",Mapping!D:D,'DF Calculation'!C62)</f>
        <v>52</v>
      </c>
      <c r="F62" s="241">
        <f>VLOOKUP(C62,Mapping!D:L,7,FALSE)</f>
        <v>1379.25</v>
      </c>
      <c r="G62" s="241">
        <f t="shared" si="28"/>
        <v>71721</v>
      </c>
      <c r="H62" s="236">
        <f t="shared" si="18"/>
        <v>59262.673303102652</v>
      </c>
      <c r="I62" s="241">
        <f>(References!$D$61*H62)</f>
        <v>-61.04055350219592</v>
      </c>
      <c r="J62" s="241">
        <f>I62/References!$H$64</f>
        <v>-62.451967978510247</v>
      </c>
      <c r="K62" s="312">
        <v>161.09</v>
      </c>
      <c r="L62" s="313">
        <v>160.34</v>
      </c>
      <c r="M62" s="240">
        <f t="shared" si="19"/>
        <v>-1.20099938420212</v>
      </c>
      <c r="N62" s="263">
        <f t="shared" si="20"/>
        <v>159.8890006157979</v>
      </c>
      <c r="O62" s="263">
        <f t="shared" si="21"/>
        <v>159.1390006157979</v>
      </c>
      <c r="P62" s="120">
        <f>E62*'DF Calculation'!K62</f>
        <v>8376.68</v>
      </c>
      <c r="Q62" s="120">
        <f>(E62*'DF Calculation'!N62)</f>
        <v>8314.2280320214904</v>
      </c>
      <c r="R62" s="120">
        <f t="shared" si="29"/>
        <v>-62.451967978509856</v>
      </c>
      <c r="S62" s="245">
        <f>((F62*$D$78)*(References!$D$61/References!$H$64))-M62</f>
        <v>0</v>
      </c>
      <c r="T62" s="241"/>
    </row>
    <row r="63" spans="1:20">
      <c r="A63" s="349"/>
      <c r="B63" s="44">
        <v>45</v>
      </c>
      <c r="C63" s="112" t="s">
        <v>251</v>
      </c>
      <c r="D63" s="119" t="str">
        <f>VLOOKUP(C63,Mapping!$C$2:$H$157,6,FALSE)</f>
        <v>6 yard Regular</v>
      </c>
      <c r="E63" s="241">
        <f>SUMIFS(Mapping!M:M,Mapping!A:A,"Commercial",Mapping!D:D,'DF Calculation'!C63)</f>
        <v>156</v>
      </c>
      <c r="F63" s="241">
        <f>VLOOKUP(C63,Mapping!D:L,7,FALSE)</f>
        <v>2520</v>
      </c>
      <c r="G63" s="104">
        <f>E63*F63</f>
        <v>393120</v>
      </c>
      <c r="H63" s="43">
        <f t="shared" si="18"/>
        <v>324832.92381472257</v>
      </c>
      <c r="I63" s="104">
        <f>(References!$D$61*H63)</f>
        <v>-334.57791152916525</v>
      </c>
      <c r="J63" s="104">
        <f>I63/References!$H$64</f>
        <v>-342.31421273702193</v>
      </c>
      <c r="K63" s="312">
        <v>285.02</v>
      </c>
      <c r="L63" s="313">
        <v>283.69</v>
      </c>
      <c r="M63" s="117">
        <f>IFERROR((J63/E63),0)</f>
        <v>-2.1943218765193713</v>
      </c>
      <c r="N63" s="263">
        <f t="shared" si="20"/>
        <v>282.8256781234806</v>
      </c>
      <c r="O63" s="263">
        <f t="shared" si="21"/>
        <v>281.49567812348062</v>
      </c>
      <c r="P63" s="120">
        <f>E63*'DF Calculation'!K63</f>
        <v>44463.119999999995</v>
      </c>
      <c r="Q63" s="120">
        <f>(E63*'DF Calculation'!N63)</f>
        <v>44120.805787262972</v>
      </c>
      <c r="R63" s="120">
        <f>Q63-P63</f>
        <v>-342.3142127370229</v>
      </c>
      <c r="S63" s="245">
        <f>((F63*$D$78)*(References!$D$61/References!$H$64))-M63</f>
        <v>0</v>
      </c>
      <c r="T63" s="241"/>
    </row>
    <row r="64" spans="1:20">
      <c r="A64" s="349"/>
      <c r="B64" s="237">
        <v>46</v>
      </c>
      <c r="C64" s="112" t="s">
        <v>212</v>
      </c>
      <c r="D64" s="119" t="str">
        <f>VLOOKUP(C64,Mapping!$C$2:$H$157,6,FALSE)</f>
        <v>4 yard Regular</v>
      </c>
      <c r="E64" s="241">
        <f>SUMIFS(Mapping!M:M,Mapping!A:A,"Commercial",Mapping!D:D,'DF Calculation'!C64)</f>
        <v>52</v>
      </c>
      <c r="F64" s="241">
        <f>VLOOKUP(C64,Mapping!D:L,7,FALSE)</f>
        <v>2452</v>
      </c>
      <c r="G64" s="241">
        <f t="shared" si="28"/>
        <v>127504</v>
      </c>
      <c r="H64" s="236">
        <f t="shared" si="18"/>
        <v>105355.86364996027</v>
      </c>
      <c r="I64" s="241">
        <f>(References!$D$61*H64)</f>
        <v>-108.51653955945942</v>
      </c>
      <c r="J64" s="241">
        <f>I64/References!$H$64</f>
        <v>-111.02572085068489</v>
      </c>
      <c r="K64" s="312">
        <v>258.56</v>
      </c>
      <c r="L64" s="313">
        <v>257.36</v>
      </c>
      <c r="M64" s="240">
        <f t="shared" si="19"/>
        <v>-2.1351100163593246</v>
      </c>
      <c r="N64" s="263">
        <f t="shared" si="20"/>
        <v>256.4248899836407</v>
      </c>
      <c r="O64" s="263">
        <f t="shared" si="21"/>
        <v>255.22488998364068</v>
      </c>
      <c r="P64" s="120">
        <f>E64*'DF Calculation'!K64</f>
        <v>13445.12</v>
      </c>
      <c r="Q64" s="120">
        <f>(E64*'DF Calculation'!N64)</f>
        <v>13334.094279149316</v>
      </c>
      <c r="R64" s="120">
        <f t="shared" si="29"/>
        <v>-111.02572085068459</v>
      </c>
      <c r="S64" s="245">
        <f>((F64*$D$78)*(References!$D$61/References!$H$64))-M64</f>
        <v>0</v>
      </c>
      <c r="T64" s="241"/>
    </row>
    <row r="65" spans="1:20">
      <c r="A65" s="349"/>
      <c r="B65" s="237">
        <v>46</v>
      </c>
      <c r="C65" s="112" t="s">
        <v>249</v>
      </c>
      <c r="D65" s="119" t="str">
        <f>VLOOKUP(C65,Mapping!$C$2:$H$157,6,FALSE)</f>
        <v>6 yard Regular</v>
      </c>
      <c r="E65" s="241">
        <f>SUMIFS(Mapping!M:M,Mapping!A:A,"Commercial",Mapping!D:D,'DF Calculation'!C65)</f>
        <v>156</v>
      </c>
      <c r="F65" s="241">
        <f>VLOOKUP(C65,Mapping!D:L,7,FALSE)</f>
        <v>3360</v>
      </c>
      <c r="G65" s="241">
        <f>E65*F65</f>
        <v>524160</v>
      </c>
      <c r="H65" s="236">
        <f t="shared" si="18"/>
        <v>433110.56508629676</v>
      </c>
      <c r="I65" s="241">
        <f>(References!$D$61*H65)</f>
        <v>-446.10388203888704</v>
      </c>
      <c r="J65" s="241">
        <f>I65/References!$H$64</f>
        <v>-456.41895031602928</v>
      </c>
      <c r="K65" s="312">
        <v>367.69</v>
      </c>
      <c r="L65" s="313">
        <v>365.98</v>
      </c>
      <c r="M65" s="240">
        <f>IFERROR((J65/E65),0)</f>
        <v>-2.9257625020258287</v>
      </c>
      <c r="N65" s="263">
        <f t="shared" si="20"/>
        <v>364.76423749797419</v>
      </c>
      <c r="O65" s="263">
        <f t="shared" si="21"/>
        <v>363.05423749797421</v>
      </c>
      <c r="P65" s="120">
        <f>E65*'DF Calculation'!K65</f>
        <v>57359.64</v>
      </c>
      <c r="Q65" s="120">
        <f>(E65*'DF Calculation'!N65)</f>
        <v>56903.221049683976</v>
      </c>
      <c r="R65" s="120">
        <f>Q65-P65</f>
        <v>-456.41895031602326</v>
      </c>
      <c r="S65" s="245">
        <f>((F65*$D$78)*(References!$D$61/References!$H$64))-M65</f>
        <v>0</v>
      </c>
      <c r="T65" s="241"/>
    </row>
    <row r="66" spans="1:20">
      <c r="A66" s="349"/>
      <c r="B66" s="237">
        <v>47</v>
      </c>
      <c r="C66" s="112" t="s">
        <v>213</v>
      </c>
      <c r="D66" s="119" t="str">
        <f>VLOOKUP(C66,Mapping!$C$2:$H$157,6,FALSE)</f>
        <v>4 yard Regular</v>
      </c>
      <c r="E66" s="241">
        <f>SUMIFS(Mapping!M:M,Mapping!A:A,"Commercial",Mapping!D:D,'DF Calculation'!C66)</f>
        <v>52.000039114095813</v>
      </c>
      <c r="F66" s="241">
        <f>VLOOKUP(C66,Mapping!D:L,7,FALSE)</f>
        <v>3065</v>
      </c>
      <c r="G66" s="241">
        <f t="shared" si="28"/>
        <v>159380.11988470366</v>
      </c>
      <c r="H66" s="236">
        <f t="shared" si="18"/>
        <v>131694.92862253074</v>
      </c>
      <c r="I66" s="241">
        <f>(References!$D$61*H66)</f>
        <v>-135.64577648120709</v>
      </c>
      <c r="J66" s="241">
        <f>I66/References!$H$64</f>
        <v>-138.7822554544783</v>
      </c>
      <c r="K66" s="312">
        <v>292.83999999999997</v>
      </c>
      <c r="L66" s="313">
        <v>291.48</v>
      </c>
      <c r="M66" s="240">
        <f t="shared" si="19"/>
        <v>-2.668887520449156</v>
      </c>
      <c r="N66" s="263">
        <f t="shared" si="20"/>
        <v>290.1711124795508</v>
      </c>
      <c r="O66" s="263">
        <f t="shared" si="21"/>
        <v>288.81111247955084</v>
      </c>
      <c r="P66" s="120">
        <f>E66*'DF Calculation'!K66</f>
        <v>15227.691454171816</v>
      </c>
      <c r="Q66" s="120">
        <f>(E66*'DF Calculation'!N66)</f>
        <v>15088.909198717338</v>
      </c>
      <c r="R66" s="120">
        <f t="shared" si="29"/>
        <v>-138.78225545447822</v>
      </c>
      <c r="S66" s="245">
        <f>((F66*$D$78)*(References!$D$61/References!$H$64))-M66</f>
        <v>0</v>
      </c>
      <c r="T66" s="241"/>
    </row>
    <row r="67" spans="1:20" ht="15.75" thickBot="1">
      <c r="A67" s="350"/>
      <c r="B67" s="237">
        <v>47</v>
      </c>
      <c r="C67" s="112" t="s">
        <v>215</v>
      </c>
      <c r="D67" s="119" t="str">
        <f>VLOOKUP(C67,Mapping!$C$2:$H$157,6,FALSE)</f>
        <v>4 yard Special and Temporary</v>
      </c>
      <c r="E67" s="241">
        <f>SUMIFS(Mapping!M:M,Mapping!A:A,"Commercial",Mapping!D:D,'DF Calculation'!C67)</f>
        <v>13</v>
      </c>
      <c r="F67" s="241">
        <f>VLOOKUP(C67,Mapping!D:L,7,FALSE)</f>
        <v>3065</v>
      </c>
      <c r="G67" s="241">
        <f t="shared" si="28"/>
        <v>39845</v>
      </c>
      <c r="H67" s="236">
        <f t="shared" si="18"/>
        <v>32923.707390612588</v>
      </c>
      <c r="I67" s="241">
        <f>(References!$D$61*H67)</f>
        <v>-33.911418612331069</v>
      </c>
      <c r="J67" s="241">
        <f>I67/References!$H$64</f>
        <v>-34.695537765839028</v>
      </c>
      <c r="K67" s="312">
        <v>299.41000000000003</v>
      </c>
      <c r="L67" s="313">
        <v>298.02</v>
      </c>
      <c r="M67" s="240">
        <f t="shared" si="19"/>
        <v>-2.668887520449156</v>
      </c>
      <c r="N67" s="263">
        <f t="shared" si="20"/>
        <v>296.74111247955085</v>
      </c>
      <c r="O67" s="263">
        <f t="shared" si="21"/>
        <v>295.35111247955081</v>
      </c>
      <c r="P67" s="120">
        <f>E67*'DF Calculation'!K67</f>
        <v>3892.3300000000004</v>
      </c>
      <c r="Q67" s="120">
        <f>(E67*'DF Calculation'!N67)</f>
        <v>3857.6344622341612</v>
      </c>
      <c r="R67" s="120">
        <f t="shared" si="29"/>
        <v>-34.695537765839163</v>
      </c>
      <c r="S67" s="245">
        <f>((F67*$D$78)*(References!$D$61/References!$H$64))-M67</f>
        <v>0</v>
      </c>
      <c r="T67" s="241"/>
    </row>
    <row r="68" spans="1:20">
      <c r="A68" s="132"/>
      <c r="B68" s="228"/>
      <c r="C68" s="228"/>
      <c r="D68" s="229" t="s">
        <v>14</v>
      </c>
      <c r="E68" s="232">
        <f>SUM(E42:E67)</f>
        <v>120536.56230358045</v>
      </c>
      <c r="F68" s="231"/>
      <c r="G68" s="232">
        <f>SUM(G42:G67)</f>
        <v>47001211.233532056</v>
      </c>
      <c r="H68" s="232">
        <f>SUM(H42:H67)</f>
        <v>38836845.91936709</v>
      </c>
      <c r="I68" s="232">
        <f>SUM(I42:I67)</f>
        <v>-40001.951296948246</v>
      </c>
      <c r="J68" s="232">
        <f>SUM(J42:J67)</f>
        <v>-40926.89921930452</v>
      </c>
      <c r="K68" s="232"/>
      <c r="L68" s="230"/>
      <c r="M68" s="230"/>
      <c r="N68" s="244"/>
      <c r="O68" s="244"/>
      <c r="P68" s="232">
        <f>SUM(P42:P67)</f>
        <v>6081080.283953011</v>
      </c>
      <c r="Q68" s="232">
        <f>SUM(Q42:Q67)</f>
        <v>6040153.3847337095</v>
      </c>
      <c r="R68" s="232">
        <f>SUM(R42:R67)</f>
        <v>-40926.899219304403</v>
      </c>
      <c r="S68" s="84">
        <f>R68/P68</f>
        <v>-6.7302020871692616E-3</v>
      </c>
    </row>
    <row r="69" spans="1:20">
      <c r="A69" s="132"/>
      <c r="B69" s="105"/>
      <c r="C69" s="105"/>
      <c r="D69" s="46" t="s">
        <v>1</v>
      </c>
      <c r="E69" s="47">
        <f>E68+E41+E20</f>
        <v>3181014.5072205332</v>
      </c>
      <c r="F69" s="48"/>
      <c r="G69" s="213">
        <f>G68+G41+G20</f>
        <v>173144009.21418896</v>
      </c>
      <c r="H69" s="213">
        <f>H68+H41+H20</f>
        <v>143067955.72356597</v>
      </c>
      <c r="I69" s="213">
        <f>I68+I41+I20</f>
        <v>-147359.99439527342</v>
      </c>
      <c r="J69" s="213">
        <f>J68+J41+J20</f>
        <v>-150767.33619324066</v>
      </c>
      <c r="K69" s="213"/>
      <c r="L69" s="47"/>
      <c r="M69" s="47"/>
      <c r="N69" s="238"/>
      <c r="O69" s="238"/>
      <c r="P69" s="47">
        <f>P68+P41+P20</f>
        <v>25162984.02259272</v>
      </c>
      <c r="Q69" s="47">
        <f>Q68+Q41+Q20</f>
        <v>25012216.686399482</v>
      </c>
      <c r="R69" s="232">
        <f>R68+R41+R20</f>
        <v>-150767.336193241</v>
      </c>
      <c r="S69" s="84">
        <f>R69/P69</f>
        <v>-5.9916318373796108E-3</v>
      </c>
    </row>
    <row r="70" spans="1:20" ht="18.75" customHeight="1">
      <c r="E70" s="34"/>
      <c r="G70" s="63"/>
      <c r="I70" s="49"/>
      <c r="J70" s="38"/>
      <c r="K70" s="38"/>
    </row>
    <row r="71" spans="1:20">
      <c r="E71" s="65"/>
      <c r="I71" s="49"/>
      <c r="P71" s="38"/>
      <c r="Q71" s="38"/>
    </row>
    <row r="72" spans="1:20">
      <c r="A72" s="133"/>
      <c r="B72" s="44"/>
      <c r="C72" s="44"/>
      <c r="D72" s="61"/>
      <c r="E72" s="63"/>
      <c r="F72" s="62"/>
      <c r="G72" s="62"/>
      <c r="H72" s="43"/>
      <c r="I72" s="117"/>
      <c r="J72" s="117"/>
      <c r="K72" s="240"/>
      <c r="L72" s="117"/>
      <c r="M72" s="117"/>
      <c r="N72" s="240"/>
      <c r="O72" s="240"/>
      <c r="P72" s="118"/>
      <c r="Q72" s="118"/>
      <c r="R72" s="106"/>
    </row>
    <row r="73" spans="1:20" ht="15" customHeight="1">
      <c r="B73" s="354" t="s">
        <v>80</v>
      </c>
      <c r="C73" s="355"/>
      <c r="D73" s="356"/>
      <c r="E73" s="57"/>
      <c r="G73" s="81"/>
      <c r="H73" s="104"/>
      <c r="I73" s="354" t="s">
        <v>798</v>
      </c>
      <c r="J73" s="355"/>
      <c r="K73" s="355"/>
      <c r="L73" s="356"/>
      <c r="P73" s="117"/>
      <c r="Q73" s="117"/>
      <c r="R73" s="64"/>
      <c r="S73" s="118"/>
    </row>
    <row r="74" spans="1:20" s="268" customFormat="1" ht="25.5" customHeight="1">
      <c r="A74" s="266"/>
      <c r="B74" s="267"/>
      <c r="C74" s="267"/>
      <c r="D74" s="129" t="s">
        <v>14</v>
      </c>
      <c r="E74" s="266"/>
      <c r="F74" s="267"/>
      <c r="H74" s="269"/>
      <c r="I74" s="274" t="s">
        <v>799</v>
      </c>
      <c r="J74" s="273" t="s">
        <v>8</v>
      </c>
      <c r="K74" s="273"/>
      <c r="L74" s="273" t="s">
        <v>149</v>
      </c>
      <c r="M74" s="267"/>
      <c r="N74" s="267"/>
      <c r="P74" s="270"/>
      <c r="Q74" s="270"/>
      <c r="R74" s="271"/>
      <c r="T74" s="272"/>
    </row>
    <row r="75" spans="1:20">
      <c r="B75" s="103" t="s">
        <v>29</v>
      </c>
      <c r="C75" s="103"/>
      <c r="D75" s="322">
        <v>71533.977861783002</v>
      </c>
      <c r="E75" s="97" t="s">
        <v>184</v>
      </c>
      <c r="F75" s="40"/>
      <c r="G75" s="58"/>
      <c r="H75" s="215" t="s">
        <v>256</v>
      </c>
      <c r="I75" s="120">
        <f>P20</f>
        <v>16738862.913189214</v>
      </c>
      <c r="J75" s="214">
        <f>(L75-I75)/I75</f>
        <v>-5.794052964895182E-3</v>
      </c>
      <c r="K75" s="214"/>
      <c r="L75" s="120">
        <f>Q20</f>
        <v>16641877.054898076</v>
      </c>
      <c r="M75" s="311">
        <f t="shared" ref="M75:M77" si="30">L75-I75</f>
        <v>-96985.858291137964</v>
      </c>
      <c r="P75" s="117"/>
      <c r="Q75" s="117"/>
      <c r="R75" s="64"/>
      <c r="S75" s="118"/>
    </row>
    <row r="76" spans="1:20">
      <c r="B76" s="103" t="s">
        <v>30</v>
      </c>
      <c r="C76" s="103"/>
      <c r="D76" s="34">
        <f>D75*References!$H$20</f>
        <v>143067955.723566</v>
      </c>
      <c r="E76" s="34"/>
      <c r="F76" s="34"/>
      <c r="G76" s="82"/>
      <c r="H76" s="215" t="s">
        <v>800</v>
      </c>
      <c r="I76" s="120">
        <f>P41</f>
        <v>2343040.8254504944</v>
      </c>
      <c r="J76" s="214">
        <f>(L76-I76)/I76</f>
        <v>-5.4862802829411337E-3</v>
      </c>
      <c r="K76" s="214"/>
      <c r="L76" s="120">
        <f>Q41</f>
        <v>2330186.2467676993</v>
      </c>
      <c r="M76" s="311">
        <f t="shared" si="30"/>
        <v>-12854.578682795167</v>
      </c>
      <c r="P76" s="117"/>
      <c r="Q76" s="117"/>
      <c r="R76" s="64"/>
      <c r="S76" s="118"/>
    </row>
    <row r="77" spans="1:20">
      <c r="B77" s="103" t="s">
        <v>3</v>
      </c>
      <c r="C77" s="103"/>
      <c r="D77" s="215">
        <f>E69</f>
        <v>3181014.5072205332</v>
      </c>
      <c r="E77" s="50"/>
      <c r="F77" s="50"/>
      <c r="G77" s="83"/>
      <c r="H77" s="215" t="s">
        <v>801</v>
      </c>
      <c r="I77" s="120">
        <f>P68</f>
        <v>6081080.283953011</v>
      </c>
      <c r="J77" s="214">
        <f t="shared" ref="J77" si="31">(L77-I77)/I77</f>
        <v>-6.7302020871687898E-3</v>
      </c>
      <c r="K77" s="214"/>
      <c r="L77" s="120">
        <f>Q68</f>
        <v>6040153.3847337095</v>
      </c>
      <c r="M77" s="311">
        <f t="shared" si="30"/>
        <v>-40926.899219301529</v>
      </c>
      <c r="P77" s="117"/>
      <c r="Q77" s="117"/>
      <c r="R77" s="64"/>
      <c r="S77" s="118"/>
    </row>
    <row r="78" spans="1:20">
      <c r="B78" s="107" t="s">
        <v>10</v>
      </c>
      <c r="C78" s="107"/>
      <c r="D78" s="218">
        <f>D76/$G$69</f>
        <v>0.82629457624827674</v>
      </c>
      <c r="E78" s="33"/>
      <c r="F78" s="33"/>
      <c r="G78" s="84"/>
      <c r="H78" s="215" t="s">
        <v>14</v>
      </c>
      <c r="I78" s="216">
        <f>SUM(I75:I77)</f>
        <v>25162984.02259272</v>
      </c>
      <c r="J78" s="84">
        <f>(L78-I78)/I78</f>
        <v>-5.9916318373793211E-3</v>
      </c>
      <c r="K78" s="84"/>
      <c r="L78" s="216">
        <f>SUM(L75:L77)</f>
        <v>25012216.686399486</v>
      </c>
      <c r="M78" s="311">
        <f>L78-I78</f>
        <v>-150767.33619323373</v>
      </c>
      <c r="N78" s="311"/>
      <c r="O78" s="234"/>
      <c r="P78" s="117"/>
      <c r="Q78" s="117"/>
      <c r="R78" s="64"/>
      <c r="S78" s="118"/>
    </row>
    <row r="79" spans="1:20">
      <c r="F79" s="39"/>
      <c r="G79" s="30"/>
      <c r="H79" s="104"/>
      <c r="I79" s="108"/>
      <c r="L79" s="38"/>
      <c r="O79" s="120"/>
      <c r="P79" s="117"/>
      <c r="Q79" s="117"/>
      <c r="R79" s="64"/>
      <c r="S79" s="118"/>
    </row>
    <row r="80" spans="1:20" ht="15" customHeight="1">
      <c r="E80" s="32"/>
      <c r="F80" s="39"/>
      <c r="G80" s="30"/>
      <c r="H80" s="215" t="s">
        <v>151</v>
      </c>
      <c r="I80" s="323">
        <v>28979.45</v>
      </c>
      <c r="J80" s="95" t="s">
        <v>184</v>
      </c>
      <c r="K80" s="95"/>
      <c r="L80" s="217" t="s">
        <v>802</v>
      </c>
      <c r="P80" s="117"/>
      <c r="Q80" s="117"/>
      <c r="R80" s="64"/>
      <c r="S80" s="118"/>
    </row>
    <row r="81" spans="1:20">
      <c r="E81" s="32"/>
      <c r="F81" s="39"/>
      <c r="G81" s="31"/>
      <c r="I81" s="37"/>
      <c r="L81" s="38"/>
      <c r="O81" s="120"/>
      <c r="P81" s="117"/>
      <c r="Q81" s="117"/>
      <c r="R81" s="64"/>
      <c r="S81" s="118"/>
    </row>
    <row r="82" spans="1:20">
      <c r="E82" s="103"/>
      <c r="H82" s="215" t="s">
        <v>809</v>
      </c>
      <c r="I82" s="255">
        <f>I80*References!C61</f>
        <v>-59697.667000000067</v>
      </c>
      <c r="P82" s="117"/>
      <c r="Q82" s="117"/>
      <c r="R82" s="64"/>
      <c r="S82" s="118"/>
    </row>
    <row r="83" spans="1:20" ht="15.75">
      <c r="B83" s="295" t="s">
        <v>819</v>
      </c>
      <c r="E83" s="103"/>
      <c r="H83" s="103"/>
      <c r="P83" s="117"/>
      <c r="Q83" s="117"/>
      <c r="R83" s="64"/>
      <c r="S83" s="118"/>
    </row>
    <row r="84" spans="1:20" ht="70.5" customHeight="1" thickBot="1">
      <c r="A84" s="254"/>
      <c r="B84" s="121" t="s">
        <v>13</v>
      </c>
      <c r="C84" s="121" t="s">
        <v>185</v>
      </c>
      <c r="D84" s="121" t="s">
        <v>302</v>
      </c>
      <c r="E84" s="121" t="s">
        <v>303</v>
      </c>
      <c r="F84" s="121" t="s">
        <v>9</v>
      </c>
      <c r="G84" s="121" t="s">
        <v>31</v>
      </c>
      <c r="H84" s="122" t="s">
        <v>32</v>
      </c>
      <c r="I84" s="121" t="s">
        <v>8</v>
      </c>
      <c r="J84" s="121" t="s">
        <v>0</v>
      </c>
      <c r="K84" s="121" t="str">
        <f>+K6</f>
        <v>Company Current Tariff  with COVID Recovery</v>
      </c>
      <c r="L84" s="265" t="str">
        <f>+L6</f>
        <v>Company Current Tariff - Post COVID Recovery</v>
      </c>
      <c r="M84" s="121" t="s">
        <v>34</v>
      </c>
      <c r="N84" s="121" t="s">
        <v>828</v>
      </c>
      <c r="O84" s="264" t="s">
        <v>828</v>
      </c>
      <c r="P84" s="121" t="s">
        <v>33</v>
      </c>
      <c r="Q84" s="121" t="s">
        <v>149</v>
      </c>
      <c r="R84" s="123" t="s">
        <v>35</v>
      </c>
      <c r="S84" s="118"/>
    </row>
    <row r="85" spans="1:20">
      <c r="A85" s="351" t="s">
        <v>256</v>
      </c>
      <c r="B85" s="44">
        <v>24</v>
      </c>
      <c r="C85" s="112" t="s">
        <v>283</v>
      </c>
      <c r="D85" s="119" t="str">
        <f>VLOOKUP(C85,Mapping!$C$2:$H$157,6,FALSE)</f>
        <v>20 Gallon Cart  On Call</v>
      </c>
      <c r="E85" s="104">
        <f>SUMIFS(Mapping!M:M,Mapping!A:A,"Residential",Mapping!D:D,'DF Calculation'!C85)</f>
        <v>12</v>
      </c>
      <c r="F85" s="104">
        <f>References!C17</f>
        <v>20</v>
      </c>
      <c r="G85" s="104">
        <f>E85*F85</f>
        <v>240</v>
      </c>
      <c r="H85" s="43">
        <f>$D$78*G85</f>
        <v>198.31069829958642</v>
      </c>
      <c r="I85" s="104">
        <f>(References!$D$61*H85)</f>
        <v>-0.20426001924857465</v>
      </c>
      <c r="J85" s="104">
        <f>I85/References!$H$64</f>
        <v>-0.20898303585898775</v>
      </c>
      <c r="K85" s="312">
        <v>11.28</v>
      </c>
      <c r="L85" s="313">
        <v>11.23</v>
      </c>
      <c r="M85" s="240">
        <f>IFERROR((J85/E85),0)</f>
        <v>-1.7415252988248978E-2</v>
      </c>
      <c r="N85" s="263">
        <f t="shared" ref="N85" si="32">+K85+M85</f>
        <v>11.262584747011751</v>
      </c>
      <c r="O85" s="263">
        <f>M85+L85</f>
        <v>11.212584747011752</v>
      </c>
      <c r="P85" s="120">
        <f>(E85/References!$C$11)*'DF Calculation'!K85</f>
        <v>31.23692307692308</v>
      </c>
      <c r="Q85" s="120">
        <f>(E85/References!$C$11)*'DF Calculation'!N85</f>
        <v>31.188696222494084</v>
      </c>
      <c r="R85" s="120">
        <f>Q85-P85</f>
        <v>-4.8226854428996546E-2</v>
      </c>
      <c r="S85" s="245">
        <f>((F85*$D$78)*(References!$D$61/References!$H$64))-M85</f>
        <v>0</v>
      </c>
      <c r="T85" s="241"/>
    </row>
    <row r="86" spans="1:20">
      <c r="A86" s="352"/>
      <c r="B86" s="44">
        <v>24</v>
      </c>
      <c r="C86" s="112" t="s">
        <v>282</v>
      </c>
      <c r="D86" s="119" t="str">
        <f>VLOOKUP(C86,Mapping!$C$2:$H$157,6,FALSE)</f>
        <v>35 Gallon Cart On Call</v>
      </c>
      <c r="E86" s="104">
        <f>SUMIFS(Mapping!M:M,Mapping!A:A,"Residential",Mapping!D:D,'DF Calculation'!C86)</f>
        <v>12</v>
      </c>
      <c r="F86" s="104">
        <f>References!C18</f>
        <v>34</v>
      </c>
      <c r="G86" s="104">
        <f>E86*F86</f>
        <v>408</v>
      </c>
      <c r="H86" s="43">
        <f>$D$78*G86</f>
        <v>337.1281871092969</v>
      </c>
      <c r="I86" s="104">
        <f>(References!$D$61*H86)</f>
        <v>-0.34724203272257687</v>
      </c>
      <c r="J86" s="104">
        <f>I86/References!$H$64</f>
        <v>-0.35527116096027916</v>
      </c>
      <c r="K86" s="312">
        <v>14.03</v>
      </c>
      <c r="L86" s="313">
        <v>13.97</v>
      </c>
      <c r="M86" s="240">
        <f t="shared" ref="M86:M88" si="33">IFERROR((J86/E86),0)</f>
        <v>-2.9605930080023265E-2</v>
      </c>
      <c r="N86" s="263">
        <f t="shared" ref="N86:N88" si="34">+K86+M86</f>
        <v>14.000394069919976</v>
      </c>
      <c r="O86" s="263">
        <f t="shared" ref="O86:O88" si="35">M86+L86</f>
        <v>13.940394069919977</v>
      </c>
      <c r="P86" s="120">
        <f>(E86/References!$C$11)*'DF Calculation'!K86</f>
        <v>38.852307692307697</v>
      </c>
      <c r="Q86" s="120">
        <f>(E86/References!$C$11)*'DF Calculation'!N86</f>
        <v>38.770322039778399</v>
      </c>
      <c r="R86" s="120">
        <f t="shared" ref="R86:R88" si="36">Q86-P86</f>
        <v>-8.1985652529297681E-2</v>
      </c>
      <c r="S86" s="245">
        <f>((F86*$D$78)*(References!$D$61/References!$H$64))-M86</f>
        <v>0</v>
      </c>
      <c r="T86" s="241"/>
    </row>
    <row r="87" spans="1:20">
      <c r="A87" s="352"/>
      <c r="B87" s="44">
        <v>24</v>
      </c>
      <c r="C87" s="112" t="s">
        <v>284</v>
      </c>
      <c r="D87" s="119" t="str">
        <f>VLOOKUP(C87,Mapping!$C$2:$H$157,6,FALSE)</f>
        <v>65 Gallon Cart On Call</v>
      </c>
      <c r="E87" s="104">
        <f>SUMIFS(Mapping!M:M,Mapping!A:A,"Residential",Mapping!D:D,'DF Calculation'!C87)</f>
        <v>12</v>
      </c>
      <c r="F87" s="241">
        <f>References!C25</f>
        <v>47</v>
      </c>
      <c r="G87" s="104">
        <f>E87*F87</f>
        <v>564</v>
      </c>
      <c r="H87" s="43">
        <f>$D$78*G87</f>
        <v>466.03014100402805</v>
      </c>
      <c r="I87" s="104">
        <f>(References!$D$61*H87)</f>
        <v>-0.48001104523415034</v>
      </c>
      <c r="J87" s="104">
        <f>I87/References!$H$64</f>
        <v>-0.49111013426862116</v>
      </c>
      <c r="K87" s="312">
        <v>20.98</v>
      </c>
      <c r="L87" s="313">
        <v>20.88</v>
      </c>
      <c r="M87" s="240">
        <f t="shared" si="33"/>
        <v>-4.0925844522385096E-2</v>
      </c>
      <c r="N87" s="263">
        <f t="shared" si="34"/>
        <v>20.939074155477616</v>
      </c>
      <c r="O87" s="263">
        <f t="shared" si="35"/>
        <v>20.839074155477615</v>
      </c>
      <c r="P87" s="120">
        <f>(E87/References!$C$11)*'DF Calculation'!K87</f>
        <v>58.098461538461549</v>
      </c>
      <c r="Q87" s="120">
        <f>(E87/References!$C$11)*'DF Calculation'!N87</f>
        <v>57.985128430553409</v>
      </c>
      <c r="R87" s="120">
        <f t="shared" si="36"/>
        <v>-0.11333310790814011</v>
      </c>
      <c r="S87" s="245">
        <f>((F87*$D$78)*(References!$D$61/References!$H$64))-M87</f>
        <v>0</v>
      </c>
      <c r="T87" s="241"/>
    </row>
    <row r="88" spans="1:20" ht="15.75" thickBot="1">
      <c r="A88" s="353"/>
      <c r="B88" s="44">
        <v>24</v>
      </c>
      <c r="C88" s="112" t="s">
        <v>285</v>
      </c>
      <c r="D88" s="119" t="str">
        <f>VLOOKUP(C88,Mapping!$C$2:$H$157,6,FALSE)</f>
        <v>95 Gallon Cart On Call</v>
      </c>
      <c r="E88" s="104">
        <f>SUMIFS(Mapping!M:M,Mapping!A:A,"Residential",Mapping!D:D,'DF Calculation'!C88)</f>
        <v>12</v>
      </c>
      <c r="F88" s="241">
        <f>References!C26</f>
        <v>68</v>
      </c>
      <c r="G88" s="104">
        <f>E88*F88</f>
        <v>816</v>
      </c>
      <c r="H88" s="43">
        <f>$D$78*G88</f>
        <v>674.25637421859381</v>
      </c>
      <c r="I88" s="104">
        <f>(References!$D$61*H88)</f>
        <v>-0.69448406544515373</v>
      </c>
      <c r="J88" s="104">
        <f>I88/References!$H$64</f>
        <v>-0.71054232192055833</v>
      </c>
      <c r="K88" s="312">
        <v>29.35</v>
      </c>
      <c r="L88" s="313">
        <v>29.21</v>
      </c>
      <c r="M88" s="240">
        <f t="shared" si="33"/>
        <v>-5.921186016004653E-2</v>
      </c>
      <c r="N88" s="263">
        <f t="shared" si="34"/>
        <v>29.290788139839954</v>
      </c>
      <c r="O88" s="263">
        <f t="shared" si="35"/>
        <v>29.150788139839953</v>
      </c>
      <c r="P88" s="120">
        <f>(E88/References!$C$11)*'DF Calculation'!K88</f>
        <v>81.276923076923097</v>
      </c>
      <c r="Q88" s="120">
        <f>(E88/References!$C$11)*'DF Calculation'!N88</f>
        <v>81.112951771864502</v>
      </c>
      <c r="R88" s="120">
        <f t="shared" si="36"/>
        <v>-0.16397130505859536</v>
      </c>
      <c r="S88" s="245">
        <f>((F88*$D$78)*(References!$D$61/References!$H$64))-M88</f>
        <v>0</v>
      </c>
      <c r="T88" s="241"/>
    </row>
    <row r="89" spans="1:20" ht="15.75" thickBot="1">
      <c r="A89" s="131"/>
      <c r="B89" s="92"/>
      <c r="C89" s="109"/>
      <c r="D89" s="93" t="s">
        <v>14</v>
      </c>
      <c r="E89" s="85">
        <f>SUM(E85:E88)</f>
        <v>48</v>
      </c>
      <c r="F89" s="94"/>
      <c r="G89" s="85">
        <f t="shared" ref="G89:I89" si="37">SUM(G85:G88)</f>
        <v>2028</v>
      </c>
      <c r="H89" s="85">
        <f t="shared" si="37"/>
        <v>1675.7254006315052</v>
      </c>
      <c r="I89" s="85">
        <f t="shared" si="37"/>
        <v>-1.7259971626504558</v>
      </c>
      <c r="J89" s="85">
        <f>SUM(J85:J88)</f>
        <v>-1.7659066530084466</v>
      </c>
      <c r="K89" s="244"/>
      <c r="L89" s="309"/>
      <c r="M89" s="85"/>
      <c r="N89" s="244"/>
      <c r="O89" s="212"/>
      <c r="P89" s="85">
        <f t="shared" ref="P89:R89" si="38">SUM(P85:P88)</f>
        <v>209.4646153846154</v>
      </c>
      <c r="Q89" s="85">
        <f t="shared" si="38"/>
        <v>209.0570984646904</v>
      </c>
      <c r="R89" s="85">
        <f t="shared" si="38"/>
        <v>-0.4075169199250297</v>
      </c>
      <c r="S89" s="84">
        <f>R89/P89</f>
        <v>-1.9455167603213267E-3</v>
      </c>
      <c r="T89" s="241"/>
    </row>
    <row r="90" spans="1:20" ht="15" customHeight="1">
      <c r="A90" s="357" t="s">
        <v>141</v>
      </c>
      <c r="B90" s="44">
        <v>27</v>
      </c>
      <c r="C90" s="112" t="s">
        <v>254</v>
      </c>
      <c r="D90" s="119" t="str">
        <f>VLOOKUP(C90,Mapping!$C$2:$H$157,6,FALSE)</f>
        <v>20 Gallon Cart WG-R</v>
      </c>
      <c r="E90" s="104">
        <f>SUMIFS(Mapping!M:M,Mapping!A:A,"Multi Family",Mapping!D:D,'DF Calculation'!C90)</f>
        <v>52</v>
      </c>
      <c r="F90" s="104">
        <f>VLOOKUP(C90,Mapping!D:L,7,FALSE)</f>
        <v>20</v>
      </c>
      <c r="G90" s="104">
        <f t="shared" ref="G90" si="39">E90*F90</f>
        <v>1040</v>
      </c>
      <c r="H90" s="43">
        <f t="shared" ref="H90:H125" si="40">$D$78*G90</f>
        <v>859.34635929820786</v>
      </c>
      <c r="I90" s="104">
        <f>(References!$D$61*H90)</f>
        <v>-0.8851267500771568</v>
      </c>
      <c r="J90" s="104">
        <f>I90/References!$H$64</f>
        <v>-0.90559315538894691</v>
      </c>
      <c r="K90" s="312">
        <v>18.16</v>
      </c>
      <c r="L90" s="313">
        <v>18.079999999999998</v>
      </c>
      <c r="M90" s="240">
        <f>IFERROR((J90/E90),0)*References!$C$11</f>
        <v>-7.5466096282412229E-2</v>
      </c>
      <c r="N90" s="263">
        <f t="shared" ref="N90:N125" si="41">+K90+M90</f>
        <v>18.084533903717588</v>
      </c>
      <c r="O90" s="263">
        <f t="shared" ref="O90:O125" si="42">M90+L90</f>
        <v>18.004533903717586</v>
      </c>
      <c r="P90" s="120">
        <f>(E90/References!$C$11)*'DF Calculation'!K90</f>
        <v>217.92000000000002</v>
      </c>
      <c r="Q90" s="120">
        <f>(E90/References!$C$11)*'DF Calculation'!N90</f>
        <v>217.01440684461107</v>
      </c>
      <c r="R90" s="120">
        <f t="shared" ref="R90:R125" si="43">Q90-P90</f>
        <v>-0.90559315538894225</v>
      </c>
      <c r="S90" s="245">
        <f>(((F90*$D$78)*(References!$D$61/References!$H$64))*References!$C$11)-M90</f>
        <v>0</v>
      </c>
      <c r="T90" s="300" t="s">
        <v>820</v>
      </c>
    </row>
    <row r="91" spans="1:20">
      <c r="A91" s="358"/>
      <c r="B91" s="44">
        <v>27</v>
      </c>
      <c r="C91" s="112" t="s">
        <v>255</v>
      </c>
      <c r="D91" s="119" t="str">
        <f>VLOOKUP(C91,Mapping!$C$2:$H$157,6,FALSE)</f>
        <v>20 Gallon Cart WG-NR</v>
      </c>
      <c r="E91" s="104">
        <f>SUMIFS(Mapping!M:M,Mapping!A:A,"Multi Family",Mapping!D:D,'DF Calculation'!C91)</f>
        <v>52</v>
      </c>
      <c r="F91" s="241">
        <f>VLOOKUP(C91,Mapping!D:L,7,FALSE)</f>
        <v>20</v>
      </c>
      <c r="G91" s="104">
        <f t="shared" ref="G91:G115" si="44">E91*F91</f>
        <v>1040</v>
      </c>
      <c r="H91" s="43">
        <f t="shared" si="40"/>
        <v>859.34635929820786</v>
      </c>
      <c r="I91" s="104">
        <f>(References!$D$61*H91)</f>
        <v>-0.8851267500771568</v>
      </c>
      <c r="J91" s="104">
        <f>I91/References!$H$64</f>
        <v>-0.90559315538894691</v>
      </c>
      <c r="K91" s="312">
        <v>18.91</v>
      </c>
      <c r="L91" s="313">
        <v>18.829999999999998</v>
      </c>
      <c r="M91" s="240">
        <f>IFERROR((J91/E91),0)*References!$C$11</f>
        <v>-7.5466096282412229E-2</v>
      </c>
      <c r="N91" s="263">
        <f t="shared" si="41"/>
        <v>18.834533903717588</v>
      </c>
      <c r="O91" s="263">
        <f t="shared" si="42"/>
        <v>18.754533903717586</v>
      </c>
      <c r="P91" s="120">
        <f>(E91/References!$C$11)*'DF Calculation'!K91</f>
        <v>226.92000000000002</v>
      </c>
      <c r="Q91" s="120">
        <f>(E91/References!$C$11)*'DF Calculation'!N91</f>
        <v>226.01440684461107</v>
      </c>
      <c r="R91" s="120">
        <f t="shared" si="43"/>
        <v>-0.90559315538894225</v>
      </c>
      <c r="S91" s="245">
        <f>(((F91*$D$78)*(References!$D$61/References!$H$64))*References!$C$11)-M91</f>
        <v>0</v>
      </c>
      <c r="T91" s="300" t="s">
        <v>820</v>
      </c>
    </row>
    <row r="92" spans="1:20">
      <c r="A92" s="358"/>
      <c r="B92" s="44">
        <v>27</v>
      </c>
      <c r="C92" s="112" t="s">
        <v>231</v>
      </c>
      <c r="D92" s="119" t="str">
        <f>VLOOKUP(C92,Mapping!$C$2:$H$157,6,FALSE)</f>
        <v>65 Gallon Cart WG-NR</v>
      </c>
      <c r="E92" s="104">
        <f>SUMIFS(Mapping!M:M,Mapping!A:A,"Multi Family",Mapping!D:D,'DF Calculation'!C92)</f>
        <v>-8.5568418856904422</v>
      </c>
      <c r="F92" s="241">
        <f>VLOOKUP(C92,Mapping!D:L,7,FALSE)</f>
        <v>47</v>
      </c>
      <c r="G92" s="104">
        <f t="shared" si="44"/>
        <v>-402.17156862745077</v>
      </c>
      <c r="H92" s="43">
        <f t="shared" si="40"/>
        <v>-332.31218587812418</v>
      </c>
      <c r="I92" s="104">
        <f>(References!$D$61*H92)</f>
        <v>0.34228155145446892</v>
      </c>
      <c r="J92" s="104">
        <f>I92/References!$H$64</f>
        <v>0.35019598061639956</v>
      </c>
      <c r="K92" s="312">
        <v>36.880000000000003</v>
      </c>
      <c r="L92" s="313">
        <v>36.71</v>
      </c>
      <c r="M92" s="240">
        <f>IFERROR((J92/E92),0)*References!$C$11</f>
        <v>-0.17734532626366875</v>
      </c>
      <c r="N92" s="263">
        <f t="shared" si="41"/>
        <v>36.702654673736333</v>
      </c>
      <c r="O92" s="263">
        <f t="shared" si="42"/>
        <v>36.532654673736332</v>
      </c>
      <c r="P92" s="120">
        <f>(E92/References!$C$11)*'DF Calculation'!K92</f>
        <v>-72.825306633291589</v>
      </c>
      <c r="Q92" s="120">
        <f>(E92/References!$C$11)*'DF Calculation'!N92</f>
        <v>-72.475110652675184</v>
      </c>
      <c r="R92" s="120">
        <f t="shared" si="43"/>
        <v>0.35019598061640522</v>
      </c>
      <c r="S92" s="245">
        <f>(((F92*$D$78)*(References!$D$61/References!$H$64))*References!$C$11)-M92</f>
        <v>0</v>
      </c>
      <c r="T92" s="300" t="s">
        <v>820</v>
      </c>
    </row>
    <row r="93" spans="1:20">
      <c r="A93" s="358"/>
      <c r="B93" s="44">
        <v>28</v>
      </c>
      <c r="C93" s="112" t="s">
        <v>176</v>
      </c>
      <c r="D93" s="119" t="str">
        <f>VLOOKUP(C93,Mapping!$C$2:$H$157,6,FALSE)</f>
        <v>20 Gallon Cart  On Call</v>
      </c>
      <c r="E93" s="104">
        <f>SUMIFS(Mapping!M:M,Mapping!A:A,"Multi Family",Mapping!D:D,'DF Calculation'!C93)</f>
        <v>12</v>
      </c>
      <c r="F93" s="241">
        <f>VLOOKUP(C93,Mapping!D:L,7,FALSE)</f>
        <v>20</v>
      </c>
      <c r="G93" s="104">
        <f t="shared" si="44"/>
        <v>240</v>
      </c>
      <c r="H93" s="43">
        <f t="shared" si="40"/>
        <v>198.31069829958642</v>
      </c>
      <c r="I93" s="104">
        <f>(References!$D$61*H93)</f>
        <v>-0.20426001924857465</v>
      </c>
      <c r="J93" s="104">
        <f>I93/References!$H$64</f>
        <v>-0.20898303585898775</v>
      </c>
      <c r="K93" s="312">
        <v>15.91</v>
      </c>
      <c r="L93" s="313">
        <v>15.84</v>
      </c>
      <c r="M93" s="117">
        <f t="shared" ref="M93:M115" si="45">IFERROR((J93/E93),0)</f>
        <v>-1.7415252988248978E-2</v>
      </c>
      <c r="N93" s="263">
        <f t="shared" si="41"/>
        <v>15.892584747011751</v>
      </c>
      <c r="O93" s="263">
        <f t="shared" si="42"/>
        <v>15.822584747011751</v>
      </c>
      <c r="P93" s="120">
        <f>(E93/References!$C$11)*'DF Calculation'!K93</f>
        <v>44.058461538461543</v>
      </c>
      <c r="Q93" s="120">
        <f>(E93/References!$C$11)*'DF Calculation'!N93</f>
        <v>44.010234684032547</v>
      </c>
      <c r="R93" s="120">
        <f t="shared" si="43"/>
        <v>-4.8226854428996546E-2</v>
      </c>
      <c r="S93" s="245">
        <f>((F93*$D$78)*(References!$D$61/References!$H$64))-M93</f>
        <v>0</v>
      </c>
      <c r="T93" s="241"/>
    </row>
    <row r="94" spans="1:20">
      <c r="A94" s="358"/>
      <c r="B94" s="44">
        <v>28</v>
      </c>
      <c r="C94" s="112" t="s">
        <v>178</v>
      </c>
      <c r="D94" s="119" t="str">
        <f>VLOOKUP(C94,Mapping!$C$2:$H$157,6,FALSE)</f>
        <v>35 Gallon Cart On Call</v>
      </c>
      <c r="E94" s="104">
        <f>SUMIFS(Mapping!M:M,Mapping!A:A,"Multi Family",Mapping!D:D,'DF Calculation'!C94)</f>
        <v>12</v>
      </c>
      <c r="F94" s="241">
        <f>VLOOKUP(C94,Mapping!D:L,7,FALSE)</f>
        <v>34</v>
      </c>
      <c r="G94" s="104">
        <f t="shared" si="44"/>
        <v>408</v>
      </c>
      <c r="H94" s="43">
        <f t="shared" si="40"/>
        <v>337.1281871092969</v>
      </c>
      <c r="I94" s="104">
        <f>(References!$D$61*H94)</f>
        <v>-0.34724203272257687</v>
      </c>
      <c r="J94" s="104">
        <f>I94/References!$H$64</f>
        <v>-0.35527116096027916</v>
      </c>
      <c r="K94" s="312">
        <v>19.84</v>
      </c>
      <c r="L94" s="313">
        <v>19.75</v>
      </c>
      <c r="M94" s="117">
        <f t="shared" si="45"/>
        <v>-2.9605930080023265E-2</v>
      </c>
      <c r="N94" s="263">
        <f t="shared" si="41"/>
        <v>19.810394069919976</v>
      </c>
      <c r="O94" s="263">
        <f t="shared" si="42"/>
        <v>19.720394069919976</v>
      </c>
      <c r="P94" s="120">
        <f>(E94/References!$C$11)*'DF Calculation'!K94</f>
        <v>54.941538461538471</v>
      </c>
      <c r="Q94" s="120">
        <f>(E94/References!$C$11)*'DF Calculation'!N94</f>
        <v>54.859552809009173</v>
      </c>
      <c r="R94" s="120">
        <f t="shared" si="43"/>
        <v>-8.1985652529297681E-2</v>
      </c>
      <c r="S94" s="245">
        <f>((F94*$D$78)*(References!$D$61/References!$H$64))-M94</f>
        <v>0</v>
      </c>
      <c r="T94" s="241"/>
    </row>
    <row r="95" spans="1:20">
      <c r="A95" s="358"/>
      <c r="B95" s="44">
        <v>28</v>
      </c>
      <c r="C95" s="112" t="s">
        <v>177</v>
      </c>
      <c r="D95" s="119" t="str">
        <f>VLOOKUP(C95,Mapping!$C$2:$H$157,6,FALSE)</f>
        <v>65 Gallon Cart On Call</v>
      </c>
      <c r="E95" s="104">
        <f>SUMIFS(Mapping!M:M,Mapping!A:A,"Multi Family",Mapping!D:D,'DF Calculation'!C95)</f>
        <v>12</v>
      </c>
      <c r="F95" s="241">
        <f>VLOOKUP(C95,Mapping!D:L,7,FALSE)</f>
        <v>47</v>
      </c>
      <c r="G95" s="104">
        <f t="shared" si="44"/>
        <v>564</v>
      </c>
      <c r="H95" s="43">
        <f t="shared" si="40"/>
        <v>466.03014100402805</v>
      </c>
      <c r="I95" s="104">
        <f>(References!$D$61*H95)</f>
        <v>-0.48001104523415034</v>
      </c>
      <c r="J95" s="104">
        <f>I95/References!$H$64</f>
        <v>-0.49111013426862116</v>
      </c>
      <c r="K95" s="312">
        <v>26.69</v>
      </c>
      <c r="L95" s="313">
        <v>29.55</v>
      </c>
      <c r="M95" s="117">
        <f t="shared" si="45"/>
        <v>-4.0925844522385096E-2</v>
      </c>
      <c r="N95" s="263">
        <f t="shared" si="41"/>
        <v>26.649074155477617</v>
      </c>
      <c r="O95" s="263">
        <f t="shared" si="42"/>
        <v>29.509074155477617</v>
      </c>
      <c r="P95" s="120">
        <f>(E95/References!$C$11)*'DF Calculation'!K95</f>
        <v>73.910769230769247</v>
      </c>
      <c r="Q95" s="120">
        <f>(E95/References!$C$11)*'DF Calculation'!N95</f>
        <v>73.7974361228611</v>
      </c>
      <c r="R95" s="120">
        <f t="shared" si="43"/>
        <v>-0.11333310790814721</v>
      </c>
      <c r="S95" s="245">
        <f>((F95*$D$78)*(References!$D$61/References!$H$64))-M95</f>
        <v>0</v>
      </c>
      <c r="T95" s="241"/>
    </row>
    <row r="96" spans="1:20">
      <c r="A96" s="358"/>
      <c r="B96" s="44">
        <v>28</v>
      </c>
      <c r="C96" s="112" t="s">
        <v>179</v>
      </c>
      <c r="D96" s="119" t="str">
        <f>VLOOKUP(C96,Mapping!$C$2:$H$157,6,FALSE)</f>
        <v>95 Gallon Cart On Call</v>
      </c>
      <c r="E96" s="104">
        <f>SUMIFS(Mapping!M:M,Mapping!A:A,"Multi Family",Mapping!D:D,'DF Calculation'!C96)</f>
        <v>12</v>
      </c>
      <c r="F96" s="241">
        <f>VLOOKUP(C96,Mapping!D:L,7,FALSE)</f>
        <v>68</v>
      </c>
      <c r="G96" s="104">
        <f t="shared" si="44"/>
        <v>816</v>
      </c>
      <c r="H96" s="43">
        <f t="shared" si="40"/>
        <v>674.25637421859381</v>
      </c>
      <c r="I96" s="104">
        <f>(References!$D$61*H96)</f>
        <v>-0.69448406544515373</v>
      </c>
      <c r="J96" s="104">
        <f>I96/References!$H$64</f>
        <v>-0.71054232192055833</v>
      </c>
      <c r="K96" s="312">
        <v>41.56</v>
      </c>
      <c r="L96" s="313">
        <v>41.37</v>
      </c>
      <c r="M96" s="117">
        <f t="shared" si="45"/>
        <v>-5.921186016004653E-2</v>
      </c>
      <c r="N96" s="263">
        <f t="shared" si="41"/>
        <v>41.500788139839955</v>
      </c>
      <c r="O96" s="263">
        <f t="shared" si="42"/>
        <v>41.31078813983995</v>
      </c>
      <c r="P96" s="120">
        <f>(E96/References!$C$11)*'DF Calculation'!K96</f>
        <v>115.0892307692308</v>
      </c>
      <c r="Q96" s="120">
        <f>(E96/References!$C$11)*'DF Calculation'!N96</f>
        <v>114.9252594641722</v>
      </c>
      <c r="R96" s="120">
        <f t="shared" si="43"/>
        <v>-0.16397130505859536</v>
      </c>
      <c r="S96" s="245">
        <f>((F96*$D$78)*(References!$D$61/References!$H$64))-M96</f>
        <v>0</v>
      </c>
      <c r="T96" s="241"/>
    </row>
    <row r="97" spans="1:20" ht="14.25" customHeight="1">
      <c r="A97" s="358"/>
      <c r="B97" s="44">
        <v>29</v>
      </c>
      <c r="C97" s="112" t="s">
        <v>246</v>
      </c>
      <c r="D97" s="119" t="str">
        <f>VLOOKUP(C97,Mapping!$C$2:$H$157,6,FALSE)</f>
        <v>20 Gallon Cart Count Regular</v>
      </c>
      <c r="E97" s="104">
        <f>SUMIFS(Mapping!M:M,Mapping!A:A,"Multi Family",Mapping!D:D,'DF Calculation'!C97)</f>
        <v>12</v>
      </c>
      <c r="F97" s="241">
        <f>VLOOKUP(C97,Mapping!D:L,7,FALSE)</f>
        <v>20</v>
      </c>
      <c r="G97" s="104">
        <f t="shared" si="44"/>
        <v>240</v>
      </c>
      <c r="H97" s="43">
        <f t="shared" si="40"/>
        <v>198.31069829958642</v>
      </c>
      <c r="I97" s="104">
        <f>(References!$D$61*H97)</f>
        <v>-0.20426001924857465</v>
      </c>
      <c r="J97" s="104">
        <f>I97/References!$H$64</f>
        <v>-0.20898303585898775</v>
      </c>
      <c r="K97" s="312">
        <v>3.9</v>
      </c>
      <c r="L97" s="313">
        <v>3.88</v>
      </c>
      <c r="M97" s="117">
        <f t="shared" si="45"/>
        <v>-1.7415252988248978E-2</v>
      </c>
      <c r="N97" s="263">
        <f t="shared" si="41"/>
        <v>3.8825847470117507</v>
      </c>
      <c r="O97" s="263">
        <f t="shared" si="42"/>
        <v>3.8625847470117507</v>
      </c>
      <c r="P97" s="120">
        <f>(E97/References!$C$11)*'DF Calculation'!K97</f>
        <v>10.8</v>
      </c>
      <c r="Q97" s="120">
        <f>(E97/References!$C$11)*'DF Calculation'!N97</f>
        <v>10.751773145571004</v>
      </c>
      <c r="R97" s="120">
        <f t="shared" si="43"/>
        <v>-4.8226854428996546E-2</v>
      </c>
      <c r="S97" s="245">
        <f>((F97*$D$78)*(References!$D$61/References!$H$64))-M97</f>
        <v>0</v>
      </c>
      <c r="T97" s="241"/>
    </row>
    <row r="98" spans="1:20">
      <c r="A98" s="358"/>
      <c r="B98" s="237">
        <v>30</v>
      </c>
      <c r="C98" s="112" t="s">
        <v>120</v>
      </c>
      <c r="D98" s="119" t="str">
        <f>VLOOKUP(C98,Mapping!$C$2:$H$157,6,FALSE)</f>
        <v>1.5 yard Temp</v>
      </c>
      <c r="E98" s="241">
        <f>SUMIFS(Mapping!M:M,Mapping!A:A,"Multi Family",Mapping!D:D,'DF Calculation'!C98)</f>
        <v>12</v>
      </c>
      <c r="F98" s="241">
        <f>VLOOKUP(C98,Mapping!D:L,7,FALSE)</f>
        <v>250</v>
      </c>
      <c r="G98" s="241">
        <f t="shared" si="44"/>
        <v>3000</v>
      </c>
      <c r="H98" s="236">
        <f t="shared" si="40"/>
        <v>2478.88372874483</v>
      </c>
      <c r="I98" s="241">
        <f>(References!$D$61*H98)</f>
        <v>-2.5532502406071829</v>
      </c>
      <c r="J98" s="241">
        <f>I98/References!$H$64</f>
        <v>-2.6122879482373467</v>
      </c>
      <c r="K98" s="312">
        <v>42.33</v>
      </c>
      <c r="L98" s="313">
        <v>42.13</v>
      </c>
      <c r="M98" s="240">
        <f t="shared" si="45"/>
        <v>-0.21769066235311221</v>
      </c>
      <c r="N98" s="263">
        <f t="shared" si="41"/>
        <v>42.112309337646884</v>
      </c>
      <c r="O98" s="263">
        <f t="shared" si="42"/>
        <v>41.912309337646889</v>
      </c>
      <c r="P98" s="120">
        <f>(E98/References!$C$11)*'DF Calculation'!K98</f>
        <v>117.22153846153847</v>
      </c>
      <c r="Q98" s="120">
        <f>(E98/References!$C$11)*'DF Calculation'!N98</f>
        <v>116.618702781176</v>
      </c>
      <c r="R98" s="120">
        <f t="shared" si="43"/>
        <v>-0.60283568036247459</v>
      </c>
      <c r="S98" s="245">
        <f>((F98*$D$78)*(References!$D$61/References!$H$64))-M98</f>
        <v>0</v>
      </c>
      <c r="T98" s="241"/>
    </row>
    <row r="99" spans="1:20">
      <c r="A99" s="358"/>
      <c r="B99" s="237">
        <v>30</v>
      </c>
      <c r="C99" s="112" t="s">
        <v>244</v>
      </c>
      <c r="D99" s="119" t="str">
        <f>VLOOKUP(C99,Mapping!$C$2:$H$157,6,FALSE)</f>
        <v>4 yard Temp</v>
      </c>
      <c r="E99" s="241">
        <f>SUMIFS(Mapping!M:M,Mapping!A:A,"Multi Family",Mapping!D:D,'DF Calculation'!C99)</f>
        <v>12</v>
      </c>
      <c r="F99" s="241">
        <f>VLOOKUP(C99,Mapping!D:L,7,FALSE)</f>
        <v>613</v>
      </c>
      <c r="G99" s="241">
        <f t="shared" si="44"/>
        <v>7356</v>
      </c>
      <c r="H99" s="236">
        <f t="shared" si="40"/>
        <v>6078.222902882324</v>
      </c>
      <c r="I99" s="241">
        <f>(References!$D$61*H99)</f>
        <v>-6.2605695899688127</v>
      </c>
      <c r="J99" s="241">
        <f>I99/References!$H$64</f>
        <v>-6.4053300490779748</v>
      </c>
      <c r="K99" s="312">
        <v>98.48</v>
      </c>
      <c r="L99" s="313">
        <v>98.02</v>
      </c>
      <c r="M99" s="240">
        <f t="shared" si="45"/>
        <v>-0.53377750408983127</v>
      </c>
      <c r="N99" s="263">
        <f t="shared" si="41"/>
        <v>97.946222495910177</v>
      </c>
      <c r="O99" s="263">
        <f t="shared" si="42"/>
        <v>97.48622249591017</v>
      </c>
      <c r="P99" s="120">
        <f>(E99/References!$C$11)*'DF Calculation'!K99</f>
        <v>272.71384615384619</v>
      </c>
      <c r="Q99" s="120">
        <f>(E99/References!$C$11)*'DF Calculation'!N99</f>
        <v>271.23569306559745</v>
      </c>
      <c r="R99" s="120">
        <f t="shared" si="43"/>
        <v>-1.4781530882487459</v>
      </c>
      <c r="S99" s="245">
        <f>((F99*$D$78)*(References!$D$61/References!$H$64))-M99</f>
        <v>0</v>
      </c>
      <c r="T99" s="241"/>
    </row>
    <row r="100" spans="1:20">
      <c r="A100" s="358"/>
      <c r="B100" s="237">
        <v>30</v>
      </c>
      <c r="C100" s="253" t="s">
        <v>238</v>
      </c>
      <c r="D100" s="119" t="str">
        <f>VLOOKUP(C100,Mapping!$C$2:$H$157,6,FALSE)</f>
        <v>4 yard Extra</v>
      </c>
      <c r="E100" s="241">
        <f>SUMIFS(Mapping!M:M,Mapping!A:A,"Multi Family",Mapping!D:D,'DF Calculation'!C100)</f>
        <v>12</v>
      </c>
      <c r="F100" s="241">
        <f>VLOOKUP(C100,Mapping!D:L,7,FALSE)</f>
        <v>613</v>
      </c>
      <c r="G100" s="241">
        <f t="shared" si="44"/>
        <v>7356</v>
      </c>
      <c r="H100" s="236">
        <f t="shared" si="40"/>
        <v>6078.222902882324</v>
      </c>
      <c r="I100" s="241">
        <f>(References!$D$61*H100)</f>
        <v>-6.2605695899688127</v>
      </c>
      <c r="J100" s="241">
        <f>I100/References!$H$64</f>
        <v>-6.4053300490779748</v>
      </c>
      <c r="K100" s="312">
        <v>96.3</v>
      </c>
      <c r="L100" s="313">
        <v>95.85</v>
      </c>
      <c r="M100" s="240">
        <f t="shared" si="45"/>
        <v>-0.53377750408983127</v>
      </c>
      <c r="N100" s="263">
        <f t="shared" si="41"/>
        <v>95.766222495910171</v>
      </c>
      <c r="O100" s="263">
        <f t="shared" si="42"/>
        <v>95.316222495910168</v>
      </c>
      <c r="P100" s="120">
        <f>(E100/References!$C$11)*'DF Calculation'!K100</f>
        <v>266.67692307692312</v>
      </c>
      <c r="Q100" s="120">
        <f>(E100/References!$C$11)*'DF Calculation'!N100</f>
        <v>265.19876998867437</v>
      </c>
      <c r="R100" s="120">
        <f t="shared" si="43"/>
        <v>-1.4781530882487459</v>
      </c>
      <c r="S100" s="245">
        <f>((F100*$D$78)*(References!$D$61/References!$H$64))-M100</f>
        <v>0</v>
      </c>
      <c r="T100" s="241"/>
    </row>
    <row r="101" spans="1:20">
      <c r="A101" s="358"/>
      <c r="B101" s="237">
        <v>30</v>
      </c>
      <c r="C101" s="253" t="s">
        <v>245</v>
      </c>
      <c r="D101" s="119" t="str">
        <f>VLOOKUP(C101,Mapping!$C$2:$H$157,6,FALSE)</f>
        <v>6 yard Temp</v>
      </c>
      <c r="E101" s="241">
        <f>SUMIFS(Mapping!M:M,Mapping!A:A,"Multi Family",Mapping!D:D,'DF Calculation'!C101)</f>
        <v>12</v>
      </c>
      <c r="F101" s="241">
        <f>VLOOKUP(C101,Mapping!D:L,7,FALSE)</f>
        <v>840</v>
      </c>
      <c r="G101" s="241">
        <f t="shared" si="44"/>
        <v>10080</v>
      </c>
      <c r="H101" s="236">
        <f t="shared" si="40"/>
        <v>8329.0493285826287</v>
      </c>
      <c r="I101" s="241">
        <f>(References!$D$61*H101)</f>
        <v>-8.5789208084401345</v>
      </c>
      <c r="J101" s="241">
        <f>I101/References!$H$64</f>
        <v>-8.7772875060774851</v>
      </c>
      <c r="K101" s="312">
        <v>137.41</v>
      </c>
      <c r="L101" s="313">
        <v>136.77000000000001</v>
      </c>
      <c r="M101" s="240">
        <f t="shared" si="45"/>
        <v>-0.73144062550645705</v>
      </c>
      <c r="N101" s="263">
        <f t="shared" si="41"/>
        <v>136.67855937449355</v>
      </c>
      <c r="O101" s="263">
        <f t="shared" si="42"/>
        <v>136.03855937449356</v>
      </c>
      <c r="P101" s="120">
        <f>(E101/References!$C$11)*'DF Calculation'!K101</f>
        <v>380.52000000000004</v>
      </c>
      <c r="Q101" s="120">
        <f>(E101/References!$C$11)*'DF Calculation'!N101</f>
        <v>378.49447211398217</v>
      </c>
      <c r="R101" s="120">
        <f t="shared" si="43"/>
        <v>-2.0255278860178692</v>
      </c>
      <c r="S101" s="245">
        <f>((F101*$D$78)*(References!$D$61/References!$H$64))-M101</f>
        <v>0</v>
      </c>
      <c r="T101" s="241"/>
    </row>
    <row r="102" spans="1:20">
      <c r="A102" s="358"/>
      <c r="B102" s="237">
        <v>48</v>
      </c>
      <c r="C102" s="253" t="s">
        <v>290</v>
      </c>
      <c r="D102" s="119" t="str">
        <f>VLOOKUP(C102,Mapping!$C$2:$H$157,6,FALSE)</f>
        <v>2 yard Special and Temporary</v>
      </c>
      <c r="E102" s="241">
        <f>SUMIFS(Mapping!M:M,Mapping!A:A,"Multi Family",Mapping!D:D,'DF Calculation'!C102)</f>
        <v>12</v>
      </c>
      <c r="F102" s="241">
        <f>VLOOKUP(C102,Mapping!D:L,7,FALSE)</f>
        <v>729</v>
      </c>
      <c r="G102" s="241">
        <f t="shared" si="44"/>
        <v>8748</v>
      </c>
      <c r="H102" s="236">
        <f t="shared" si="40"/>
        <v>7228.4249530199249</v>
      </c>
      <c r="I102" s="241">
        <f>(References!$D$61*H102)</f>
        <v>-7.4452777016105456</v>
      </c>
      <c r="J102" s="241">
        <f>I102/References!$H$64</f>
        <v>-7.6174316570601039</v>
      </c>
      <c r="K102" s="312">
        <v>113.76</v>
      </c>
      <c r="L102" s="313">
        <v>113.23</v>
      </c>
      <c r="M102" s="240">
        <f t="shared" si="45"/>
        <v>-0.63478597142167537</v>
      </c>
      <c r="N102" s="263">
        <f t="shared" si="41"/>
        <v>113.12521402857833</v>
      </c>
      <c r="O102" s="263">
        <f t="shared" si="42"/>
        <v>112.59521402857833</v>
      </c>
      <c r="P102" s="120">
        <f>(E102/References!$C$11)*'DF Calculation'!K102</f>
        <v>315.02769230769235</v>
      </c>
      <c r="Q102" s="120">
        <f>(E102/References!$C$11)*'DF Calculation'!N102</f>
        <v>313.26982346375542</v>
      </c>
      <c r="R102" s="120">
        <f t="shared" si="43"/>
        <v>-1.757868843936933</v>
      </c>
      <c r="S102" s="245">
        <f>((F102*$D$78)*(References!$D$61/References!$H$64))-M102</f>
        <v>0</v>
      </c>
      <c r="T102" s="241"/>
    </row>
    <row r="103" spans="1:20">
      <c r="A103" s="358"/>
      <c r="B103" s="237">
        <v>48</v>
      </c>
      <c r="C103" s="253" t="s">
        <v>288</v>
      </c>
      <c r="D103" s="119" t="str">
        <f>VLOOKUP(C103,Mapping!$C$2:$H$157,6,FALSE)</f>
        <v>4 yard Special and Temporary</v>
      </c>
      <c r="E103" s="241">
        <f>SUMIFS(Mapping!M:M,Mapping!A:A,"Multi Family",Mapping!D:D,'DF Calculation'!C103)</f>
        <v>12</v>
      </c>
      <c r="F103" s="241">
        <f>VLOOKUP(C103,Mapping!D:L,7,FALSE)</f>
        <v>1379.25</v>
      </c>
      <c r="G103" s="241">
        <f t="shared" si="44"/>
        <v>16551</v>
      </c>
      <c r="H103" s="236">
        <f t="shared" si="40"/>
        <v>13676.001531485228</v>
      </c>
      <c r="I103" s="241">
        <f>(References!$D$61*H103)</f>
        <v>-14.086281577429828</v>
      </c>
      <c r="J103" s="241">
        <f>I103/References!$H$64</f>
        <v>-14.411992610425443</v>
      </c>
      <c r="K103" s="312">
        <v>204.72</v>
      </c>
      <c r="L103" s="313">
        <v>203.77</v>
      </c>
      <c r="M103" s="240">
        <f t="shared" si="45"/>
        <v>-1.2009993842021203</v>
      </c>
      <c r="N103" s="263">
        <f t="shared" si="41"/>
        <v>203.51900061579789</v>
      </c>
      <c r="O103" s="263">
        <f t="shared" si="42"/>
        <v>202.5690006157979</v>
      </c>
      <c r="P103" s="120">
        <f>(E103/References!$C$11)*'DF Calculation'!K103</f>
        <v>566.91692307692313</v>
      </c>
      <c r="Q103" s="120">
        <f>(E103/References!$C$11)*'DF Calculation'!N103</f>
        <v>563.59107862836345</v>
      </c>
      <c r="R103" s="120">
        <f t="shared" si="43"/>
        <v>-3.3258444485596783</v>
      </c>
      <c r="S103" s="245">
        <f>((F103*$D$78)*(References!$D$61/References!$H$64))-M103</f>
        <v>0</v>
      </c>
      <c r="T103" s="241"/>
    </row>
    <row r="104" spans="1:20">
      <c r="A104" s="358"/>
      <c r="B104" s="237">
        <v>48</v>
      </c>
      <c r="C104" s="253" t="s">
        <v>248</v>
      </c>
      <c r="D104" s="119" t="str">
        <f>VLOOKUP(C104,Mapping!$C$2:$H$157,6,FALSE)</f>
        <v>6 yard Regular</v>
      </c>
      <c r="E104" s="241">
        <f>SUMIFS(Mapping!M:M,Mapping!A:A,"Multi Family",Mapping!D:D,'DF Calculation'!C104)</f>
        <v>52</v>
      </c>
      <c r="F104" s="241">
        <f>VLOOKUP(C104,Mapping!D:L,7,FALSE)</f>
        <v>1890</v>
      </c>
      <c r="G104" s="241">
        <f t="shared" si="44"/>
        <v>98280</v>
      </c>
      <c r="H104" s="236">
        <f t="shared" si="40"/>
        <v>81208.230953680642</v>
      </c>
      <c r="I104" s="241">
        <f>(References!$D$61*H104)</f>
        <v>-83.644477882291312</v>
      </c>
      <c r="J104" s="241">
        <f>I104/References!$H$64</f>
        <v>-85.578553184255483</v>
      </c>
      <c r="K104" s="312">
        <v>281.87</v>
      </c>
      <c r="L104" s="313">
        <v>280.56</v>
      </c>
      <c r="M104" s="240">
        <f t="shared" si="45"/>
        <v>-1.6457414073895285</v>
      </c>
      <c r="N104" s="263">
        <f t="shared" si="41"/>
        <v>280.22425859261045</v>
      </c>
      <c r="O104" s="263">
        <f t="shared" si="42"/>
        <v>278.91425859261045</v>
      </c>
      <c r="P104" s="120">
        <f>(E104/References!$C$11)*'DF Calculation'!K104</f>
        <v>3382.44</v>
      </c>
      <c r="Q104" s="120">
        <f>(E104/References!$C$11)*'DF Calculation'!N104</f>
        <v>3362.6911031113254</v>
      </c>
      <c r="R104" s="120">
        <f t="shared" si="43"/>
        <v>-19.748896888674608</v>
      </c>
      <c r="S104" s="245">
        <f>((F104*$D$78)*(References!$D$61/References!$H$64))-M104</f>
        <v>0</v>
      </c>
      <c r="T104" s="241"/>
    </row>
    <row r="105" spans="1:20">
      <c r="A105" s="358"/>
      <c r="B105" s="237">
        <v>48</v>
      </c>
      <c r="C105" s="253" t="s">
        <v>289</v>
      </c>
      <c r="D105" s="119" t="str">
        <f>VLOOKUP(C105,Mapping!$C$2:$H$157,6,FALSE)</f>
        <v>6 yard Special and Temporary</v>
      </c>
      <c r="E105" s="241">
        <f>SUMIFS(Mapping!M:M,Mapping!A:A,"Multi Family",Mapping!D:D,'DF Calculation'!C105)</f>
        <v>12</v>
      </c>
      <c r="F105" s="241">
        <f>VLOOKUP(C105,Mapping!D:L,7,FALSE)</f>
        <v>1890</v>
      </c>
      <c r="G105" s="241">
        <f t="shared" si="44"/>
        <v>22680</v>
      </c>
      <c r="H105" s="236">
        <f t="shared" si="40"/>
        <v>18740.360989310917</v>
      </c>
      <c r="I105" s="241">
        <f>(References!$D$61*H105)</f>
        <v>-19.302571818990302</v>
      </c>
      <c r="J105" s="241">
        <f>I105/References!$H$64</f>
        <v>-19.748896888674341</v>
      </c>
      <c r="K105" s="312">
        <v>288.45</v>
      </c>
      <c r="L105" s="313">
        <v>287.11</v>
      </c>
      <c r="M105" s="240">
        <f t="shared" si="45"/>
        <v>-1.6457414073895285</v>
      </c>
      <c r="N105" s="263">
        <f t="shared" si="41"/>
        <v>286.80425859261044</v>
      </c>
      <c r="O105" s="263">
        <f t="shared" si="42"/>
        <v>285.46425859261046</v>
      </c>
      <c r="P105" s="120">
        <f>(E105/References!$C$11)*'DF Calculation'!K105</f>
        <v>798.78461538461545</v>
      </c>
      <c r="Q105" s="120">
        <f>(E105/References!$C$11)*'DF Calculation'!N105</f>
        <v>794.22717764107517</v>
      </c>
      <c r="R105" s="120">
        <f t="shared" si="43"/>
        <v>-4.5574377435402766</v>
      </c>
      <c r="S105" s="245">
        <f>((F105*$D$78)*(References!$D$61/References!$H$64))-M105</f>
        <v>0</v>
      </c>
      <c r="T105" s="241"/>
    </row>
    <row r="106" spans="1:20">
      <c r="A106" s="358"/>
      <c r="B106" s="237">
        <v>48</v>
      </c>
      <c r="C106" s="253" t="s">
        <v>210</v>
      </c>
      <c r="D106" s="119" t="str">
        <f>VLOOKUP(C106,Mapping!$C$2:$H$157,6,FALSE)</f>
        <v>2 yard Regular</v>
      </c>
      <c r="E106" s="241">
        <f>SUMIFS(Mapping!M:M,Mapping!A:A,"Multi Family",Mapping!D:D,'DF Calculation'!C106)</f>
        <v>52</v>
      </c>
      <c r="F106" s="241">
        <f>VLOOKUP(C106,Mapping!D:L,7,FALSE)</f>
        <v>729</v>
      </c>
      <c r="G106" s="241">
        <f t="shared" si="44"/>
        <v>37908</v>
      </c>
      <c r="H106" s="236">
        <f t="shared" si="40"/>
        <v>31323.174796419673</v>
      </c>
      <c r="I106" s="241">
        <f>(References!$D$61*H106)</f>
        <v>-32.262870040312364</v>
      </c>
      <c r="J106" s="241">
        <f>I106/References!$H$64</f>
        <v>-33.008870513927114</v>
      </c>
      <c r="K106" s="312">
        <v>107.19</v>
      </c>
      <c r="L106" s="313">
        <v>106.69</v>
      </c>
      <c r="M106" s="240">
        <f t="shared" si="45"/>
        <v>-0.63478597142167525</v>
      </c>
      <c r="N106" s="263">
        <f t="shared" si="41"/>
        <v>106.55521402857832</v>
      </c>
      <c r="O106" s="263">
        <f t="shared" si="42"/>
        <v>106.05521402857832</v>
      </c>
      <c r="P106" s="120">
        <f>(E106/References!$C$11)*'DF Calculation'!K106</f>
        <v>1286.28</v>
      </c>
      <c r="Q106" s="120">
        <f>(E106/References!$C$11)*'DF Calculation'!N106</f>
        <v>1278.6625683429397</v>
      </c>
      <c r="R106" s="120">
        <f t="shared" si="43"/>
        <v>-7.6174316570602514</v>
      </c>
      <c r="S106" s="245">
        <f>((F106*$D$78)*(References!$D$61/References!$H$64))-M106</f>
        <v>0</v>
      </c>
      <c r="T106" s="241"/>
    </row>
    <row r="107" spans="1:20">
      <c r="A107" s="358"/>
      <c r="B107" s="237">
        <v>48</v>
      </c>
      <c r="C107" s="253" t="s">
        <v>211</v>
      </c>
      <c r="D107" s="119" t="str">
        <f>VLOOKUP(C107,Mapping!$C$2:$H$157,6,FALSE)</f>
        <v>4 yard Regular</v>
      </c>
      <c r="E107" s="241">
        <f>SUMIFS(Mapping!M:M,Mapping!A:A,"Multi Family",Mapping!D:D,'DF Calculation'!C107)</f>
        <v>52</v>
      </c>
      <c r="F107" s="241">
        <f>VLOOKUP(C107,Mapping!D:L,7,FALSE)</f>
        <v>1379.25</v>
      </c>
      <c r="G107" s="241">
        <f t="shared" si="44"/>
        <v>71721</v>
      </c>
      <c r="H107" s="236">
        <f t="shared" si="40"/>
        <v>59262.673303102652</v>
      </c>
      <c r="I107" s="241">
        <f>(References!$D$61*H107)</f>
        <v>-61.04055350219592</v>
      </c>
      <c r="J107" s="241">
        <f>I107/References!$H$64</f>
        <v>-62.451967978510247</v>
      </c>
      <c r="K107" s="312">
        <v>198.16</v>
      </c>
      <c r="L107" s="313">
        <v>197.24</v>
      </c>
      <c r="M107" s="240">
        <f t="shared" si="45"/>
        <v>-1.20099938420212</v>
      </c>
      <c r="N107" s="263">
        <f t="shared" si="41"/>
        <v>196.95900061579789</v>
      </c>
      <c r="O107" s="263">
        <f t="shared" si="42"/>
        <v>196.0390006157979</v>
      </c>
      <c r="P107" s="120">
        <f>(E107/References!$C$11)*'DF Calculation'!K107</f>
        <v>2377.92</v>
      </c>
      <c r="Q107" s="120">
        <f>(E107/References!$C$11)*'DF Calculation'!N107</f>
        <v>2363.5080073895747</v>
      </c>
      <c r="R107" s="120">
        <f t="shared" si="43"/>
        <v>-14.411992610425386</v>
      </c>
      <c r="S107" s="245">
        <f>((F107*$D$78)*(References!$D$61/References!$H$64))-M107</f>
        <v>0</v>
      </c>
      <c r="T107" s="241"/>
    </row>
    <row r="108" spans="1:20">
      <c r="A108" s="358"/>
      <c r="B108" s="237">
        <v>49</v>
      </c>
      <c r="C108" s="253" t="s">
        <v>257</v>
      </c>
      <c r="D108" s="119" t="str">
        <f>VLOOKUP(C108,Mapping!$C$2:$H$157,6,FALSE)</f>
        <v>2 yard Regular</v>
      </c>
      <c r="E108" s="241">
        <f>SUMIFS(Mapping!M:M,Mapping!A:A,"Multi Family",Mapping!D:D,'DF Calculation'!C108)</f>
        <v>52</v>
      </c>
      <c r="F108" s="241">
        <f>VLOOKUP(C108,Mapping!D:L,7,FALSE)</f>
        <v>972</v>
      </c>
      <c r="G108" s="241">
        <f t="shared" si="44"/>
        <v>50544</v>
      </c>
      <c r="H108" s="236">
        <f t="shared" si="40"/>
        <v>41764.233061892897</v>
      </c>
      <c r="I108" s="241">
        <f>(References!$D$61*H108)</f>
        <v>-43.017160053749812</v>
      </c>
      <c r="J108" s="241">
        <f>I108/References!$H$64</f>
        <v>-44.011827351902816</v>
      </c>
      <c r="K108" s="312">
        <v>137.72</v>
      </c>
      <c r="L108" s="313">
        <v>137.08000000000001</v>
      </c>
      <c r="M108" s="240">
        <f t="shared" si="45"/>
        <v>-0.84638129522890027</v>
      </c>
      <c r="N108" s="263">
        <f t="shared" si="41"/>
        <v>136.8736187047711</v>
      </c>
      <c r="O108" s="263">
        <f t="shared" si="42"/>
        <v>136.23361870477112</v>
      </c>
      <c r="P108" s="120">
        <f>(E108/References!$C$11)*'DF Calculation'!K108</f>
        <v>1652.6399999999999</v>
      </c>
      <c r="Q108" s="120">
        <f>(E108/References!$C$11)*'DF Calculation'!N108</f>
        <v>1642.4834244572532</v>
      </c>
      <c r="R108" s="120">
        <f t="shared" si="43"/>
        <v>-10.156575542746623</v>
      </c>
      <c r="S108" s="245">
        <f>((F108*$D$78)*(References!$D$61/References!$H$64))-M108</f>
        <v>0</v>
      </c>
      <c r="T108" s="241"/>
    </row>
    <row r="109" spans="1:20">
      <c r="A109" s="358"/>
      <c r="B109" s="237">
        <v>49</v>
      </c>
      <c r="C109" s="253" t="s">
        <v>291</v>
      </c>
      <c r="D109" s="119" t="str">
        <f>VLOOKUP(C109,Mapping!$C$2:$H$157,6,FALSE)</f>
        <v>2 yard Special and Temporary</v>
      </c>
      <c r="E109" s="241">
        <f>SUMIFS(Mapping!M:M,Mapping!A:A,"Multi Family",Mapping!D:D,'DF Calculation'!C109)</f>
        <v>12</v>
      </c>
      <c r="F109" s="241">
        <f>VLOOKUP(C109,Mapping!D:L,7,FALSE)</f>
        <v>972</v>
      </c>
      <c r="G109" s="241">
        <f t="shared" si="44"/>
        <v>11664</v>
      </c>
      <c r="H109" s="236">
        <f t="shared" si="40"/>
        <v>9637.8999373598999</v>
      </c>
      <c r="I109" s="241">
        <f>(References!$D$61*H109)</f>
        <v>-9.9270369354807269</v>
      </c>
      <c r="J109" s="241">
        <f>I109/References!$H$64</f>
        <v>-10.156575542746804</v>
      </c>
      <c r="K109" s="312">
        <v>144.29</v>
      </c>
      <c r="L109" s="313">
        <v>143.62</v>
      </c>
      <c r="M109" s="240">
        <f t="shared" si="45"/>
        <v>-0.84638129522890038</v>
      </c>
      <c r="N109" s="263">
        <f t="shared" si="41"/>
        <v>143.4436187047711</v>
      </c>
      <c r="O109" s="263">
        <f t="shared" si="42"/>
        <v>142.77361870477111</v>
      </c>
      <c r="P109" s="120">
        <f>(E109/References!$C$11)*'DF Calculation'!K109</f>
        <v>399.57230769230773</v>
      </c>
      <c r="Q109" s="120">
        <f>(E109/References!$C$11)*'DF Calculation'!N109</f>
        <v>397.22848256705845</v>
      </c>
      <c r="R109" s="120">
        <f t="shared" si="43"/>
        <v>-2.3438251252492819</v>
      </c>
      <c r="S109" s="245">
        <f>((F109*$D$78)*(References!$D$61/References!$H$64))-M109</f>
        <v>0</v>
      </c>
      <c r="T109" s="241"/>
    </row>
    <row r="110" spans="1:20">
      <c r="A110" s="358"/>
      <c r="B110" s="237">
        <v>49</v>
      </c>
      <c r="C110" s="253" t="s">
        <v>258</v>
      </c>
      <c r="D110" s="119" t="str">
        <f>VLOOKUP(C110,Mapping!$C$2:$H$157,6,FALSE)</f>
        <v>3 yard Regular</v>
      </c>
      <c r="E110" s="241">
        <f>SUMIFS(Mapping!M:M,Mapping!A:A,"Multi Family",Mapping!D:D,'DF Calculation'!C110)</f>
        <v>52</v>
      </c>
      <c r="F110" s="241">
        <f>VLOOKUP(C110,Mapping!D:L,7,FALSE)</f>
        <v>1419</v>
      </c>
      <c r="G110" s="241">
        <f t="shared" si="44"/>
        <v>73788</v>
      </c>
      <c r="H110" s="236">
        <f t="shared" si="40"/>
        <v>60970.624192207841</v>
      </c>
      <c r="I110" s="241">
        <f>(References!$D$61*H110)</f>
        <v>-62.799742917974264</v>
      </c>
      <c r="J110" s="241">
        <f>I110/References!$H$64</f>
        <v>-64.251834374845771</v>
      </c>
      <c r="K110" s="312">
        <v>191.73</v>
      </c>
      <c r="L110" s="313">
        <v>190.84</v>
      </c>
      <c r="M110" s="240">
        <f t="shared" si="45"/>
        <v>-1.2356121995162648</v>
      </c>
      <c r="N110" s="263">
        <f t="shared" si="41"/>
        <v>190.49438780048374</v>
      </c>
      <c r="O110" s="263">
        <f t="shared" si="42"/>
        <v>189.60438780048375</v>
      </c>
      <c r="P110" s="120">
        <f>(E110/References!$C$11)*'DF Calculation'!K110</f>
        <v>2300.7599999999998</v>
      </c>
      <c r="Q110" s="120">
        <f>(E110/References!$C$11)*'DF Calculation'!N110</f>
        <v>2285.9326536058047</v>
      </c>
      <c r="R110" s="120">
        <f t="shared" si="43"/>
        <v>-14.827346394195047</v>
      </c>
      <c r="S110" s="245">
        <f>((F110*$D$78)*(References!$D$61/References!$H$64))-M110</f>
        <v>0</v>
      </c>
      <c r="T110" s="241"/>
    </row>
    <row r="111" spans="1:20">
      <c r="A111" s="358"/>
      <c r="B111" s="237">
        <v>49</v>
      </c>
      <c r="C111" s="253" t="s">
        <v>292</v>
      </c>
      <c r="D111" s="119" t="str">
        <f>VLOOKUP(C111,Mapping!$C$2:$H$157,6,FALSE)</f>
        <v>3 yard Special and Temporary</v>
      </c>
      <c r="E111" s="241">
        <f>SUMIFS(Mapping!M:M,Mapping!A:A,"Multi Family",Mapping!D:D,'DF Calculation'!C111)</f>
        <v>12</v>
      </c>
      <c r="F111" s="241">
        <f>VLOOKUP(C111,Mapping!D:L,7,FALSE)</f>
        <v>1419</v>
      </c>
      <c r="G111" s="241">
        <f t="shared" si="44"/>
        <v>17028</v>
      </c>
      <c r="H111" s="236">
        <f t="shared" si="40"/>
        <v>14070.144044355657</v>
      </c>
      <c r="I111" s="241">
        <f>(References!$D$61*H111)</f>
        <v>-14.49224836568637</v>
      </c>
      <c r="J111" s="241">
        <f>I111/References!$H$64</f>
        <v>-14.82734639419518</v>
      </c>
      <c r="K111" s="312">
        <v>198.31</v>
      </c>
      <c r="L111" s="313">
        <v>197.39</v>
      </c>
      <c r="M111" s="240">
        <f t="shared" si="45"/>
        <v>-1.235612199516265</v>
      </c>
      <c r="N111" s="263">
        <f t="shared" si="41"/>
        <v>197.07438780048375</v>
      </c>
      <c r="O111" s="263">
        <f t="shared" si="42"/>
        <v>196.15438780048373</v>
      </c>
      <c r="P111" s="120">
        <f>(E111/References!$C$11)*'DF Calculation'!K111</f>
        <v>549.16615384615397</v>
      </c>
      <c r="Q111" s="120">
        <f>(E111/References!$C$11)*'DF Calculation'!N111</f>
        <v>545.74445852441659</v>
      </c>
      <c r="R111" s="120">
        <f t="shared" si="43"/>
        <v>-3.4216953217373884</v>
      </c>
      <c r="S111" s="245">
        <f>((F111*$D$78)*(References!$D$61/References!$H$64))-M111</f>
        <v>0</v>
      </c>
      <c r="T111" s="241"/>
    </row>
    <row r="112" spans="1:20">
      <c r="A112" s="358"/>
      <c r="B112" s="237">
        <v>49</v>
      </c>
      <c r="C112" s="253" t="s">
        <v>259</v>
      </c>
      <c r="D112" s="119" t="str">
        <f>VLOOKUP(C112,Mapping!$C$2:$H$157,6,FALSE)</f>
        <v>4 yard Regular</v>
      </c>
      <c r="E112" s="241">
        <f>SUMIFS(Mapping!M:M,Mapping!A:A,"Multi Family",Mapping!D:D,'DF Calculation'!C112)</f>
        <v>52</v>
      </c>
      <c r="F112" s="241">
        <f>VLOOKUP(C112,Mapping!D:L,7,FALSE)</f>
        <v>1839</v>
      </c>
      <c r="G112" s="241">
        <f t="shared" si="44"/>
        <v>95628</v>
      </c>
      <c r="H112" s="236">
        <f t="shared" si="40"/>
        <v>79016.897737470208</v>
      </c>
      <c r="I112" s="241">
        <f>(References!$D$61*H112)</f>
        <v>-81.387404669594559</v>
      </c>
      <c r="J112" s="241">
        <f>I112/References!$H$64</f>
        <v>-83.269290638013658</v>
      </c>
      <c r="K112" s="312">
        <v>241.64</v>
      </c>
      <c r="L112" s="313">
        <v>240.51</v>
      </c>
      <c r="M112" s="240">
        <f t="shared" si="45"/>
        <v>-1.6013325122694935</v>
      </c>
      <c r="N112" s="263">
        <f t="shared" si="41"/>
        <v>240.03866748773049</v>
      </c>
      <c r="O112" s="263">
        <f t="shared" si="42"/>
        <v>238.9086674877305</v>
      </c>
      <c r="P112" s="120">
        <f>(E112/References!$C$11)*'DF Calculation'!K112</f>
        <v>2899.68</v>
      </c>
      <c r="Q112" s="120">
        <f>(E112/References!$C$11)*'DF Calculation'!N112</f>
        <v>2880.4640098527661</v>
      </c>
      <c r="R112" s="120">
        <f t="shared" si="43"/>
        <v>-19.215990147233697</v>
      </c>
      <c r="S112" s="245">
        <f>((F112*$D$78)*(References!$D$61/References!$H$64))-M112</f>
        <v>0</v>
      </c>
      <c r="T112" s="241"/>
    </row>
    <row r="113" spans="1:20">
      <c r="A113" s="358"/>
      <c r="B113" s="237">
        <v>49</v>
      </c>
      <c r="C113" s="253" t="s">
        <v>287</v>
      </c>
      <c r="D113" s="119" t="str">
        <f>VLOOKUP(C113,Mapping!$C$2:$H$157,6,FALSE)</f>
        <v>4 yard Special and Temporary</v>
      </c>
      <c r="E113" s="241">
        <f>SUMIFS(Mapping!M:M,Mapping!A:A,"Multi Family",Mapping!D:D,'DF Calculation'!C113)</f>
        <v>12</v>
      </c>
      <c r="F113" s="241">
        <f>VLOOKUP(C113,Mapping!D:L,7,FALSE)</f>
        <v>1839</v>
      </c>
      <c r="G113" s="241">
        <f t="shared" si="44"/>
        <v>22068</v>
      </c>
      <c r="H113" s="236">
        <f t="shared" si="40"/>
        <v>18234.668708646972</v>
      </c>
      <c r="I113" s="241">
        <f>(References!$D$61*H113)</f>
        <v>-18.781708769906437</v>
      </c>
      <c r="J113" s="241">
        <f>I113/References!$H$64</f>
        <v>-19.215990147233924</v>
      </c>
      <c r="K113" s="312">
        <v>248.2</v>
      </c>
      <c r="L113" s="313">
        <v>247.04</v>
      </c>
      <c r="M113" s="240">
        <f t="shared" si="45"/>
        <v>-1.6013325122694937</v>
      </c>
      <c r="N113" s="263">
        <f t="shared" si="41"/>
        <v>246.59866748773049</v>
      </c>
      <c r="O113" s="263">
        <f t="shared" si="42"/>
        <v>245.4386674877305</v>
      </c>
      <c r="P113" s="120">
        <f>(E113/References!$C$11)*'DF Calculation'!K113</f>
        <v>687.323076923077</v>
      </c>
      <c r="Q113" s="120">
        <f>(E113/References!$C$11)*'DF Calculation'!N113</f>
        <v>682.88861765833065</v>
      </c>
      <c r="R113" s="120">
        <f t="shared" si="43"/>
        <v>-4.4344592647463514</v>
      </c>
      <c r="S113" s="245">
        <f>((F113*$D$78)*(References!$D$61/References!$H$64))-M113</f>
        <v>0</v>
      </c>
      <c r="T113" s="241"/>
    </row>
    <row r="114" spans="1:20">
      <c r="A114" s="358"/>
      <c r="B114" s="237">
        <v>49</v>
      </c>
      <c r="C114" s="253" t="s">
        <v>251</v>
      </c>
      <c r="D114" s="119" t="str">
        <f>VLOOKUP(C114,Mapping!$C$2:$H$157,6,FALSE)</f>
        <v>6 yard Regular</v>
      </c>
      <c r="E114" s="241">
        <f>SUMIFS(Mapping!M:M,Mapping!A:A,"Multi Family",Mapping!D:D,'DF Calculation'!C114)</f>
        <v>52</v>
      </c>
      <c r="F114" s="241">
        <f>VLOOKUP(C114,Mapping!D:L,7,FALSE)</f>
        <v>2520</v>
      </c>
      <c r="G114" s="241">
        <f t="shared" si="44"/>
        <v>131040</v>
      </c>
      <c r="H114" s="236">
        <f t="shared" si="40"/>
        <v>108277.64127157419</v>
      </c>
      <c r="I114" s="241">
        <f>(References!$D$61*H114)</f>
        <v>-111.52597050972176</v>
      </c>
      <c r="J114" s="241">
        <f>I114/References!$H$64</f>
        <v>-114.10473757900732</v>
      </c>
      <c r="K114" s="312">
        <v>359.14</v>
      </c>
      <c r="L114" s="313">
        <v>357.47</v>
      </c>
      <c r="M114" s="240">
        <f t="shared" si="45"/>
        <v>-2.1943218765193717</v>
      </c>
      <c r="N114" s="263">
        <f t="shared" si="41"/>
        <v>356.9456781234806</v>
      </c>
      <c r="O114" s="263">
        <f t="shared" si="42"/>
        <v>355.27567812348065</v>
      </c>
      <c r="P114" s="120">
        <f>(E114/References!$C$11)*'DF Calculation'!K114</f>
        <v>4309.68</v>
      </c>
      <c r="Q114" s="120">
        <f>(E114/References!$C$11)*'DF Calculation'!N114</f>
        <v>4283.3481374817675</v>
      </c>
      <c r="R114" s="120">
        <f t="shared" si="43"/>
        <v>-26.331862518232811</v>
      </c>
      <c r="S114" s="245">
        <f>((F114*$D$78)*(References!$D$61/References!$H$64))-M114</f>
        <v>0</v>
      </c>
      <c r="T114" s="241"/>
    </row>
    <row r="115" spans="1:20">
      <c r="A115" s="358"/>
      <c r="B115" s="237">
        <v>49</v>
      </c>
      <c r="C115" s="253" t="s">
        <v>293</v>
      </c>
      <c r="D115" s="119" t="str">
        <f>VLOOKUP(C115,Mapping!$C$2:$H$157,6,FALSE)</f>
        <v>6 yard Special and Temporary</v>
      </c>
      <c r="E115" s="241">
        <f>SUMIFS(Mapping!M:M,Mapping!A:A,"Multi Family",Mapping!D:D,'DF Calculation'!C115)</f>
        <v>12</v>
      </c>
      <c r="F115" s="241">
        <f>VLOOKUP(C115,Mapping!D:L,7,FALSE)</f>
        <v>2520</v>
      </c>
      <c r="G115" s="241">
        <f t="shared" si="44"/>
        <v>30240</v>
      </c>
      <c r="H115" s="236">
        <f t="shared" si="40"/>
        <v>24987.147985747888</v>
      </c>
      <c r="I115" s="241">
        <f>(References!$D$61*H115)</f>
        <v>-25.736762425320403</v>
      </c>
      <c r="J115" s="241">
        <f>I115/References!$H$64</f>
        <v>-26.331862518232455</v>
      </c>
      <c r="K115" s="312">
        <v>365.71</v>
      </c>
      <c r="L115" s="313">
        <v>364.01</v>
      </c>
      <c r="M115" s="240">
        <f t="shared" si="45"/>
        <v>-2.1943218765193713</v>
      </c>
      <c r="N115" s="263">
        <f t="shared" si="41"/>
        <v>363.5156781234806</v>
      </c>
      <c r="O115" s="263">
        <f t="shared" si="42"/>
        <v>361.81567812348061</v>
      </c>
      <c r="P115" s="120">
        <f>(E115/References!$C$11)*'DF Calculation'!K115</f>
        <v>1012.7353846153846</v>
      </c>
      <c r="Q115" s="120">
        <f>(E115/References!$C$11)*'DF Calculation'!N115</f>
        <v>1006.658800957331</v>
      </c>
      <c r="R115" s="120">
        <f t="shared" si="43"/>
        <v>-6.0765836580536643</v>
      </c>
      <c r="S115" s="245">
        <f>((F115*$D$78)*(References!$D$61/References!$H$64))-M115</f>
        <v>0</v>
      </c>
      <c r="T115" s="241"/>
    </row>
    <row r="116" spans="1:20">
      <c r="A116" s="358"/>
      <c r="B116" s="237">
        <v>50</v>
      </c>
      <c r="C116" s="253" t="s">
        <v>250</v>
      </c>
      <c r="D116" s="119" t="str">
        <f>VLOOKUP(C116,Mapping!$C$2:$H$157,6,FALSE)</f>
        <v>3 yard Regular</v>
      </c>
      <c r="E116" s="241">
        <f>SUMIFS(Mapping!M:M,Mapping!A:A,"Multi Family",Mapping!D:D,'DF Calculation'!C116)</f>
        <v>52</v>
      </c>
      <c r="F116" s="241">
        <f>VLOOKUP(C116,Mapping!D:L,7,FALSE)</f>
        <v>1892</v>
      </c>
      <c r="G116" s="241">
        <f t="shared" ref="G116" si="46">E116*F116</f>
        <v>98384</v>
      </c>
      <c r="H116" s="236">
        <f t="shared" si="40"/>
        <v>81294.165589610464</v>
      </c>
      <c r="I116" s="241">
        <f>(References!$D$61*H116)</f>
        <v>-83.732990557299033</v>
      </c>
      <c r="J116" s="241">
        <f>I116/References!$H$64</f>
        <v>-85.66911249979438</v>
      </c>
      <c r="K116" s="312">
        <v>236.52</v>
      </c>
      <c r="L116" s="313">
        <v>235.42</v>
      </c>
      <c r="M116" s="240">
        <f t="shared" ref="M116" si="47">IFERROR((J116/E116),0)</f>
        <v>-1.6474829326883536</v>
      </c>
      <c r="N116" s="263">
        <f t="shared" si="41"/>
        <v>234.87251706731166</v>
      </c>
      <c r="O116" s="263">
        <f t="shared" si="42"/>
        <v>233.77251706731164</v>
      </c>
      <c r="P116" s="120">
        <f>(E116/References!$C$11)*'DF Calculation'!K116</f>
        <v>2838.2400000000002</v>
      </c>
      <c r="Q116" s="120">
        <f>(E116/References!$C$11)*'DF Calculation'!N116</f>
        <v>2818.4702048077397</v>
      </c>
      <c r="R116" s="120">
        <f t="shared" si="43"/>
        <v>-19.769795192260517</v>
      </c>
      <c r="S116" s="245">
        <f>((F116*$D$78)*(References!$D$61/References!$H$64))-M116</f>
        <v>0</v>
      </c>
      <c r="T116" s="241"/>
    </row>
    <row r="117" spans="1:20">
      <c r="A117" s="358"/>
      <c r="B117" s="237">
        <v>50</v>
      </c>
      <c r="C117" s="253" t="s">
        <v>294</v>
      </c>
      <c r="D117" s="119" t="str">
        <f>VLOOKUP(C117,Mapping!$C$2:$H$157,6,FALSE)</f>
        <v>3 yard Special and Temporary</v>
      </c>
      <c r="E117" s="241">
        <f>SUMIFS(Mapping!M:M,Mapping!A:A,"Multi Family",Mapping!D:D,'DF Calculation'!C117)</f>
        <v>12</v>
      </c>
      <c r="F117" s="241">
        <f>VLOOKUP(C117,Mapping!D:L,7,FALSE)</f>
        <v>1892</v>
      </c>
      <c r="G117" s="241">
        <f t="shared" ref="G117:G125" si="48">E117*F117</f>
        <v>22704</v>
      </c>
      <c r="H117" s="236">
        <f t="shared" si="40"/>
        <v>18760.192059140874</v>
      </c>
      <c r="I117" s="241">
        <f>(References!$D$61*H117)</f>
        <v>-19.322997820915159</v>
      </c>
      <c r="J117" s="241">
        <f>I117/References!$H$64</f>
        <v>-19.76979519226024</v>
      </c>
      <c r="K117" s="312">
        <v>243.09</v>
      </c>
      <c r="L117" s="313">
        <v>241.96</v>
      </c>
      <c r="M117" s="240">
        <f t="shared" ref="M117:M125" si="49">IFERROR((J117/E117),0)</f>
        <v>-1.6474829326883533</v>
      </c>
      <c r="N117" s="263">
        <f t="shared" si="41"/>
        <v>241.44251706731166</v>
      </c>
      <c r="O117" s="263">
        <f t="shared" si="42"/>
        <v>240.31251706731166</v>
      </c>
      <c r="P117" s="120">
        <f>(E117/References!$C$11)*'DF Calculation'!K117</f>
        <v>673.17230769230775</v>
      </c>
      <c r="Q117" s="120">
        <f>(E117/References!$C$11)*'DF Calculation'!N117</f>
        <v>668.61004726332465</v>
      </c>
      <c r="R117" s="120">
        <f t="shared" si="43"/>
        <v>-4.5622604289831088</v>
      </c>
      <c r="S117" s="245">
        <f>((F117*$D$78)*(References!$D$61/References!$H$64))-M117</f>
        <v>0</v>
      </c>
      <c r="T117" s="241"/>
    </row>
    <row r="118" spans="1:20">
      <c r="A118" s="358"/>
      <c r="B118" s="237">
        <v>50</v>
      </c>
      <c r="C118" s="253" t="s">
        <v>297</v>
      </c>
      <c r="D118" s="119" t="str">
        <f>VLOOKUP(C118,Mapping!$C$2:$H$157,6,FALSE)</f>
        <v>4 yard Regular</v>
      </c>
      <c r="E118" s="241">
        <f>SUMIFS(Mapping!M:M,Mapping!A:A,"Multi Family",Mapping!D:D,'DF Calculation'!C118)</f>
        <v>52</v>
      </c>
      <c r="F118" s="241">
        <f>VLOOKUP(C118,Mapping!D:L,7,FALSE)</f>
        <v>2452</v>
      </c>
      <c r="G118" s="241">
        <f t="shared" si="48"/>
        <v>127504</v>
      </c>
      <c r="H118" s="236">
        <f t="shared" si="40"/>
        <v>105355.86364996027</v>
      </c>
      <c r="I118" s="241">
        <f>(References!$D$61*H118)</f>
        <v>-108.51653955945942</v>
      </c>
      <c r="J118" s="241">
        <f>I118/References!$H$64</f>
        <v>-111.02572085068489</v>
      </c>
      <c r="K118" s="312">
        <v>311.98</v>
      </c>
      <c r="L118" s="313">
        <v>310.52999999999997</v>
      </c>
      <c r="M118" s="240">
        <f t="shared" si="49"/>
        <v>-2.1351100163593246</v>
      </c>
      <c r="N118" s="263">
        <f t="shared" si="41"/>
        <v>309.84488998364071</v>
      </c>
      <c r="O118" s="263">
        <f t="shared" si="42"/>
        <v>308.39488998364067</v>
      </c>
      <c r="P118" s="120">
        <f>(E118/References!$C$11)*'DF Calculation'!K118</f>
        <v>3743.76</v>
      </c>
      <c r="Q118" s="120">
        <f>(E118/References!$C$11)*'DF Calculation'!N118</f>
        <v>3718.1386798036883</v>
      </c>
      <c r="R118" s="120">
        <f t="shared" si="43"/>
        <v>-25.621320196311899</v>
      </c>
      <c r="S118" s="245">
        <f>((F118*$D$78)*(References!$D$61/References!$H$64))-M118</f>
        <v>0</v>
      </c>
      <c r="T118" s="241"/>
    </row>
    <row r="119" spans="1:20">
      <c r="A119" s="358"/>
      <c r="B119" s="237">
        <v>50</v>
      </c>
      <c r="C119" s="253" t="s">
        <v>286</v>
      </c>
      <c r="D119" s="119" t="str">
        <f>VLOOKUP(C119,Mapping!$C$2:$H$157,6,FALSE)</f>
        <v>4 yard Special and Temporary</v>
      </c>
      <c r="E119" s="241">
        <f>SUMIFS(Mapping!M:M,Mapping!A:A,"Multi Family",Mapping!D:D,'DF Calculation'!C119)</f>
        <v>12</v>
      </c>
      <c r="F119" s="241">
        <f>VLOOKUP(C119,Mapping!D:L,7,FALSE)</f>
        <v>2452</v>
      </c>
      <c r="G119" s="241">
        <f t="shared" si="48"/>
        <v>29424</v>
      </c>
      <c r="H119" s="236">
        <f t="shared" si="40"/>
        <v>24312.891611529296</v>
      </c>
      <c r="I119" s="241">
        <f>(References!$D$61*H119)</f>
        <v>-25.042278359875251</v>
      </c>
      <c r="J119" s="241">
        <f>I119/References!$H$64</f>
        <v>-25.621320196311899</v>
      </c>
      <c r="K119" s="312">
        <v>318.55</v>
      </c>
      <c r="L119" s="313">
        <v>317.07</v>
      </c>
      <c r="M119" s="240">
        <f t="shared" si="49"/>
        <v>-2.1351100163593251</v>
      </c>
      <c r="N119" s="263">
        <f t="shared" si="41"/>
        <v>316.41488998364071</v>
      </c>
      <c r="O119" s="263">
        <f t="shared" si="42"/>
        <v>314.93488998364069</v>
      </c>
      <c r="P119" s="120">
        <f>(E119/References!$C$11)*'DF Calculation'!K119</f>
        <v>882.13846153846168</v>
      </c>
      <c r="Q119" s="120">
        <f>(E119/References!$C$11)*'DF Calculation'!N119</f>
        <v>876.2258491854667</v>
      </c>
      <c r="R119" s="120">
        <f t="shared" si="43"/>
        <v>-5.9126123529949837</v>
      </c>
      <c r="S119" s="245">
        <f>((F119*$D$78)*(References!$D$61/References!$H$64))-M119</f>
        <v>0</v>
      </c>
      <c r="T119" s="241"/>
    </row>
    <row r="120" spans="1:20">
      <c r="A120" s="358"/>
      <c r="B120" s="237">
        <v>50</v>
      </c>
      <c r="C120" s="253" t="s">
        <v>249</v>
      </c>
      <c r="D120" s="119" t="str">
        <f>VLOOKUP(C120,Mapping!$C$2:$H$157,6,FALSE)</f>
        <v>6 yard Regular</v>
      </c>
      <c r="E120" s="241">
        <f>SUMIFS(Mapping!M:M,Mapping!A:A,"Multi Family",Mapping!D:D,'DF Calculation'!C120)</f>
        <v>52</v>
      </c>
      <c r="F120" s="241">
        <f>VLOOKUP(C120,Mapping!D:L,7,FALSE)</f>
        <v>3360</v>
      </c>
      <c r="G120" s="241">
        <f t="shared" si="48"/>
        <v>174720</v>
      </c>
      <c r="H120" s="236">
        <f t="shared" si="40"/>
        <v>144370.18836209891</v>
      </c>
      <c r="I120" s="241">
        <f>(References!$D$61*H120)</f>
        <v>-148.70129401296234</v>
      </c>
      <c r="J120" s="241">
        <f>I120/References!$H$64</f>
        <v>-152.13965010534309</v>
      </c>
      <c r="K120" s="312">
        <v>459.48</v>
      </c>
      <c r="L120" s="313">
        <v>457.34</v>
      </c>
      <c r="M120" s="240">
        <f t="shared" si="49"/>
        <v>-2.9257625020258287</v>
      </c>
      <c r="N120" s="263">
        <f t="shared" si="41"/>
        <v>456.55423749797421</v>
      </c>
      <c r="O120" s="263">
        <f t="shared" si="42"/>
        <v>454.41423749797417</v>
      </c>
      <c r="P120" s="120">
        <f>(E120/References!$C$11)*'DF Calculation'!K120</f>
        <v>5513.76</v>
      </c>
      <c r="Q120" s="120">
        <f>(E120/References!$C$11)*'DF Calculation'!N120</f>
        <v>5478.650849975691</v>
      </c>
      <c r="R120" s="120">
        <f t="shared" si="43"/>
        <v>-35.109150024309201</v>
      </c>
      <c r="S120" s="245">
        <f>((F120*$D$78)*(References!$D$61/References!$H$64))-M120</f>
        <v>0</v>
      </c>
      <c r="T120" s="241"/>
    </row>
    <row r="121" spans="1:20">
      <c r="A121" s="358"/>
      <c r="B121" s="237">
        <v>50</v>
      </c>
      <c r="C121" s="253" t="s">
        <v>295</v>
      </c>
      <c r="D121" s="119" t="str">
        <f>VLOOKUP(C121,Mapping!$C$2:$H$157,6,FALSE)</f>
        <v>6 yard Special and Temporary</v>
      </c>
      <c r="E121" s="241">
        <f>SUMIFS(Mapping!M:M,Mapping!A:A,"Multi Family",Mapping!D:D,'DF Calculation'!C121)</f>
        <v>12</v>
      </c>
      <c r="F121" s="241">
        <f>VLOOKUP(C121,Mapping!D:L,7,FALSE)</f>
        <v>3360</v>
      </c>
      <c r="G121" s="241">
        <f t="shared" si="48"/>
        <v>40320</v>
      </c>
      <c r="H121" s="236">
        <f t="shared" si="40"/>
        <v>33316.197314330515</v>
      </c>
      <c r="I121" s="241">
        <f>(References!$D$61*H121)</f>
        <v>-34.315683233760538</v>
      </c>
      <c r="J121" s="241">
        <f>I121/References!$H$64</f>
        <v>-35.10915002430994</v>
      </c>
      <c r="K121" s="312">
        <v>456</v>
      </c>
      <c r="L121" s="313">
        <v>453.88</v>
      </c>
      <c r="M121" s="240">
        <f t="shared" si="49"/>
        <v>-2.9257625020258282</v>
      </c>
      <c r="N121" s="263">
        <f t="shared" si="41"/>
        <v>453.0742374979742</v>
      </c>
      <c r="O121" s="263">
        <f t="shared" si="42"/>
        <v>450.95423749797419</v>
      </c>
      <c r="P121" s="120">
        <f>(E121/References!$C$11)*'DF Calculation'!K121</f>
        <v>1262.7692307692309</v>
      </c>
      <c r="Q121" s="120">
        <f>(E121/References!$C$11)*'DF Calculation'!N121</f>
        <v>1254.6671192251595</v>
      </c>
      <c r="R121" s="120">
        <f t="shared" si="43"/>
        <v>-8.1021115440714766</v>
      </c>
      <c r="S121" s="245">
        <f>((F121*$D$78)*(References!$D$61/References!$H$64))-M121</f>
        <v>0</v>
      </c>
      <c r="T121" s="235"/>
    </row>
    <row r="122" spans="1:20" ht="15" customHeight="1">
      <c r="A122" s="358"/>
      <c r="B122" s="44">
        <v>51</v>
      </c>
      <c r="C122" s="119" t="s">
        <v>213</v>
      </c>
      <c r="D122" s="119" t="str">
        <f>VLOOKUP(C122,Mapping!$C$2:$H$157,6,FALSE)</f>
        <v>4 yard Regular</v>
      </c>
      <c r="E122" s="104">
        <f>SUMIFS(Mapping!M:M,Mapping!A:A,"Multi Family",Mapping!D:D,'DF Calculation'!C122)</f>
        <v>52</v>
      </c>
      <c r="F122" s="241">
        <f>VLOOKUP(C122,Mapping!D:L,7,FALSE)</f>
        <v>3065</v>
      </c>
      <c r="G122" s="104">
        <f t="shared" si="48"/>
        <v>159380</v>
      </c>
      <c r="H122" s="43">
        <f t="shared" si="40"/>
        <v>131694.82956245035</v>
      </c>
      <c r="I122" s="104">
        <f>(References!$D$61*H122)</f>
        <v>-135.64567444932428</v>
      </c>
      <c r="J122" s="104">
        <f>I122/References!$H$64</f>
        <v>-138.78215106335611</v>
      </c>
      <c r="K122" s="312">
        <v>359.61</v>
      </c>
      <c r="L122" s="313">
        <v>357.93</v>
      </c>
      <c r="M122" s="117">
        <f t="shared" si="49"/>
        <v>-2.668887520449156</v>
      </c>
      <c r="N122" s="263">
        <f t="shared" si="41"/>
        <v>356.94111247955084</v>
      </c>
      <c r="O122" s="263">
        <f t="shared" si="42"/>
        <v>355.26111247955083</v>
      </c>
      <c r="P122" s="120">
        <f>(E122/References!$C$11)*'DF Calculation'!K122</f>
        <v>4315.32</v>
      </c>
      <c r="Q122" s="120">
        <f>(E122/References!$C$11)*'DF Calculation'!N122</f>
        <v>4283.2933497546101</v>
      </c>
      <c r="R122" s="120">
        <f t="shared" si="43"/>
        <v>-32.026650245389646</v>
      </c>
      <c r="S122" s="245">
        <f>((F122*$D$78)*(References!$D$61/References!$H$64))-M122</f>
        <v>0</v>
      </c>
      <c r="T122" s="241"/>
    </row>
    <row r="123" spans="1:20">
      <c r="A123" s="358"/>
      <c r="B123" s="44">
        <v>51</v>
      </c>
      <c r="C123" s="119" t="s">
        <v>215</v>
      </c>
      <c r="D123" s="119" t="str">
        <f>VLOOKUP(C123,Mapping!$C$2:$H$157,6,FALSE)</f>
        <v>4 yard Special and Temporary</v>
      </c>
      <c r="E123" s="104">
        <f>SUMIFS(Mapping!M:M,Mapping!A:A,"Multi Family",Mapping!D:D,'DF Calculation'!C123)</f>
        <v>12</v>
      </c>
      <c r="F123" s="241">
        <f>VLOOKUP(C123,Mapping!D:L,7,FALSE)</f>
        <v>3065</v>
      </c>
      <c r="G123" s="104">
        <f t="shared" si="48"/>
        <v>36780</v>
      </c>
      <c r="H123" s="43">
        <f t="shared" si="40"/>
        <v>30391.11451441162</v>
      </c>
      <c r="I123" s="104">
        <f>(References!$D$61*H123)</f>
        <v>-31.302847949844065</v>
      </c>
      <c r="J123" s="104">
        <f>I123/References!$H$64</f>
        <v>-32.026650245389874</v>
      </c>
      <c r="K123" s="312">
        <v>366.19</v>
      </c>
      <c r="L123" s="313">
        <v>364.48</v>
      </c>
      <c r="M123" s="117">
        <f t="shared" si="49"/>
        <v>-2.668887520449156</v>
      </c>
      <c r="N123" s="263">
        <f t="shared" si="41"/>
        <v>363.52111247955082</v>
      </c>
      <c r="O123" s="263">
        <f t="shared" si="42"/>
        <v>361.81111247955084</v>
      </c>
      <c r="P123" s="120">
        <f>(E123/References!$C$11)*'DF Calculation'!K123</f>
        <v>1014.0646153846155</v>
      </c>
      <c r="Q123" s="120">
        <f>(E123/References!$C$11)*'DF Calculation'!N123</f>
        <v>1006.6738499433717</v>
      </c>
      <c r="R123" s="120">
        <f t="shared" si="43"/>
        <v>-7.3907654412438433</v>
      </c>
      <c r="S123" s="245">
        <f>((F123*$D$78)*(References!$D$61/References!$H$64))-M123</f>
        <v>0</v>
      </c>
      <c r="T123" s="241"/>
    </row>
    <row r="124" spans="1:20">
      <c r="A124" s="358"/>
      <c r="B124" s="44">
        <v>51</v>
      </c>
      <c r="C124" s="119" t="s">
        <v>260</v>
      </c>
      <c r="D124" s="119" t="str">
        <f>VLOOKUP(C124,Mapping!$C$2:$H$157,6,FALSE)</f>
        <v>6 yard Regular</v>
      </c>
      <c r="E124" s="104">
        <f>SUMIFS(Mapping!M:M,Mapping!A:A,"Multi Family",Mapping!D:D,'DF Calculation'!C124)</f>
        <v>52</v>
      </c>
      <c r="F124" s="241">
        <f>VLOOKUP(C124,Mapping!D:L,7,FALSE)</f>
        <v>4200</v>
      </c>
      <c r="G124" s="104">
        <f t="shared" si="48"/>
        <v>218400</v>
      </c>
      <c r="H124" s="43">
        <f t="shared" si="40"/>
        <v>180462.73545262363</v>
      </c>
      <c r="I124" s="104">
        <f>(References!$D$61*H124)</f>
        <v>-185.87661751620291</v>
      </c>
      <c r="J124" s="104">
        <f>I124/References!$H$64</f>
        <v>-190.17456263167884</v>
      </c>
      <c r="K124" s="312">
        <v>518.41999999999996</v>
      </c>
      <c r="L124" s="313">
        <v>516.01</v>
      </c>
      <c r="M124" s="117">
        <f t="shared" si="49"/>
        <v>-3.6572031275322852</v>
      </c>
      <c r="N124" s="263">
        <f t="shared" si="41"/>
        <v>514.76279687246767</v>
      </c>
      <c r="O124" s="263">
        <f t="shared" si="42"/>
        <v>512.35279687246771</v>
      </c>
      <c r="P124" s="120">
        <f>(E124/References!$C$11)*'DF Calculation'!K124</f>
        <v>6221.0399999999991</v>
      </c>
      <c r="Q124" s="120">
        <f>(E124/References!$C$11)*'DF Calculation'!N124</f>
        <v>6177.1535624696116</v>
      </c>
      <c r="R124" s="120">
        <f t="shared" si="43"/>
        <v>-43.886437530387411</v>
      </c>
      <c r="S124" s="245">
        <f>((F124*$D$78)*(References!$D$61/References!$H$64))-M124</f>
        <v>0</v>
      </c>
      <c r="T124" s="241"/>
    </row>
    <row r="125" spans="1:20" ht="15.75" thickBot="1">
      <c r="A125" s="359"/>
      <c r="B125" s="44">
        <v>51</v>
      </c>
      <c r="C125" s="119" t="s">
        <v>296</v>
      </c>
      <c r="D125" s="119" t="str">
        <f>VLOOKUP(C125,Mapping!$C$2:$H$157,6,FALSE)</f>
        <v>6 yard Special and Temporary</v>
      </c>
      <c r="E125" s="104">
        <f>SUMIFS(Mapping!M:M,Mapping!A:A,"Multi Family",Mapping!D:D,'DF Calculation'!C125)</f>
        <v>12</v>
      </c>
      <c r="F125" s="241">
        <f>VLOOKUP(C125,Mapping!D:L,7,FALSE)</f>
        <v>4200</v>
      </c>
      <c r="G125" s="104">
        <f t="shared" si="48"/>
        <v>50400</v>
      </c>
      <c r="H125" s="43">
        <f t="shared" si="40"/>
        <v>41645.246642913145</v>
      </c>
      <c r="I125" s="104">
        <f>(References!$D$61*H125)</f>
        <v>-42.894604042200669</v>
      </c>
      <c r="J125" s="104">
        <f>I125/References!$H$64</f>
        <v>-43.886437530387425</v>
      </c>
      <c r="K125" s="312">
        <v>525</v>
      </c>
      <c r="L125" s="313">
        <v>522.54999999999995</v>
      </c>
      <c r="M125" s="117">
        <f t="shared" si="49"/>
        <v>-3.6572031275322856</v>
      </c>
      <c r="N125" s="263">
        <f t="shared" si="41"/>
        <v>521.34279687246772</v>
      </c>
      <c r="O125" s="263">
        <f t="shared" si="42"/>
        <v>518.89279687246767</v>
      </c>
      <c r="P125" s="120">
        <f>(E125/References!$C$11)*'DF Calculation'!K125</f>
        <v>1453.846153846154</v>
      </c>
      <c r="Q125" s="120">
        <f>(E125/References!$C$11)*'DF Calculation'!N125</f>
        <v>1443.7185144160646</v>
      </c>
      <c r="R125" s="120">
        <f t="shared" si="43"/>
        <v>-10.127639430089403</v>
      </c>
      <c r="S125" s="245">
        <f>((F125*$D$78)*(References!$D$61/References!$H$64))-M125</f>
        <v>0</v>
      </c>
      <c r="T125" s="241"/>
    </row>
    <row r="126" spans="1:20" ht="15.75" thickBot="1">
      <c r="A126" s="131"/>
      <c r="B126" s="92"/>
      <c r="C126" s="109"/>
      <c r="D126" s="93" t="s">
        <v>14</v>
      </c>
      <c r="E126" s="85">
        <f>SUM(E90:E125)</f>
        <v>971.44315811430954</v>
      </c>
      <c r="F126" s="94"/>
      <c r="G126" s="85">
        <f>SUM(G90:G125)</f>
        <v>1677641.8284313725</v>
      </c>
      <c r="H126" s="85">
        <f>SUM(H90:H125)</f>
        <v>1386226.3437200852</v>
      </c>
      <c r="I126" s="85">
        <f>SUM(I90:I125)</f>
        <v>-1427.813134031692</v>
      </c>
      <c r="J126" s="85">
        <f>SUM(J90:J125)</f>
        <v>-1460.8278432900472</v>
      </c>
      <c r="K126" s="244"/>
      <c r="L126" s="309"/>
      <c r="M126" s="85"/>
      <c r="N126" s="244"/>
      <c r="O126" s="212"/>
      <c r="P126" s="85">
        <f>SUM(P90:P125)</f>
        <v>52164.983924135951</v>
      </c>
      <c r="Q126" s="85">
        <f>SUM(Q90:Q125)</f>
        <v>51826.745967738112</v>
      </c>
      <c r="R126" s="85">
        <f>SUM(R90:R125)</f>
        <v>-338.23795639782685</v>
      </c>
      <c r="S126" s="84">
        <f>R126/P126</f>
        <v>-6.4840038461380462E-3</v>
      </c>
      <c r="T126" s="241"/>
    </row>
    <row r="127" spans="1:20" ht="15" customHeight="1">
      <c r="A127" s="348" t="s">
        <v>817</v>
      </c>
      <c r="B127" s="44">
        <v>34</v>
      </c>
      <c r="C127" s="243" t="s">
        <v>807</v>
      </c>
      <c r="D127" s="119" t="str">
        <f>VLOOKUP(C127,Mapping!$C$2:$H$157,6,FALSE)</f>
        <v>Drum Extra</v>
      </c>
      <c r="E127" s="241">
        <f>SUMIFS(Mapping!M:M,Mapping!A:A,"Commercial",Mapping!D:D,'DF Calculation'!C127)</f>
        <v>12</v>
      </c>
      <c r="F127" s="241">
        <f>VLOOKUP(C127,Mapping!D:L,7,FALSE)</f>
        <v>68</v>
      </c>
      <c r="G127" s="241">
        <f t="shared" ref="G127:G128" si="50">E127*F127</f>
        <v>816</v>
      </c>
      <c r="H127" s="236">
        <f t="shared" ref="H127:H151" si="51">$D$78*G127</f>
        <v>674.25637421859381</v>
      </c>
      <c r="I127" s="241">
        <f>(References!$D$61*H127)</f>
        <v>-0.69448406544515373</v>
      </c>
      <c r="J127" s="241">
        <f>I127/References!$H$64</f>
        <v>-0.71054232192055833</v>
      </c>
      <c r="K127" s="312">
        <v>26.85</v>
      </c>
      <c r="L127" s="313">
        <v>26.72</v>
      </c>
      <c r="M127" s="240">
        <f t="shared" ref="M127:M151" si="52">IFERROR((J127/E127),0)</f>
        <v>-5.921186016004653E-2</v>
      </c>
      <c r="N127" s="263">
        <f t="shared" ref="N127:N151" si="53">+K127+M127</f>
        <v>26.790788139839954</v>
      </c>
      <c r="O127" s="263">
        <f t="shared" ref="O127:O151" si="54">M127+L127</f>
        <v>26.660788139839951</v>
      </c>
      <c r="P127" s="120">
        <f>(E127/References!$C$11)*'DF Calculation'!K127</f>
        <v>74.353846153846163</v>
      </c>
      <c r="Q127" s="120">
        <f>(E127/References!$C$11)*'DF Calculation'!N127</f>
        <v>74.189874848787568</v>
      </c>
      <c r="R127" s="120">
        <f t="shared" ref="R127:R151" si="55">Q127-P127</f>
        <v>-0.16397130505859536</v>
      </c>
      <c r="S127" s="245">
        <f>((F127*$D$78)*(References!$D$61/References!$H$64))-M127</f>
        <v>0</v>
      </c>
      <c r="T127" s="241"/>
    </row>
    <row r="128" spans="1:20">
      <c r="A128" s="349"/>
      <c r="B128" s="44">
        <v>34</v>
      </c>
      <c r="C128" s="112" t="s">
        <v>808</v>
      </c>
      <c r="D128" s="119" t="str">
        <f>VLOOKUP(C128,Mapping!$C$2:$H$157,6,FALSE)</f>
        <v>Drum Special</v>
      </c>
      <c r="E128" s="241">
        <f>SUMIFS(Mapping!M:M,Mapping!A:A,"Commercial",Mapping!D:D,'DF Calculation'!C128)</f>
        <v>12</v>
      </c>
      <c r="F128" s="241">
        <f>VLOOKUP(C128,Mapping!D:L,7,FALSE)</f>
        <v>68</v>
      </c>
      <c r="G128" s="241">
        <f t="shared" si="50"/>
        <v>816</v>
      </c>
      <c r="H128" s="236">
        <f t="shared" si="51"/>
        <v>674.25637421859381</v>
      </c>
      <c r="I128" s="241">
        <f>(References!$D$61*H128)</f>
        <v>-0.69448406544515373</v>
      </c>
      <c r="J128" s="241">
        <f>I128/References!$H$64</f>
        <v>-0.71054232192055833</v>
      </c>
      <c r="K128" s="312">
        <v>31.33</v>
      </c>
      <c r="L128" s="313">
        <v>31.18</v>
      </c>
      <c r="M128" s="240">
        <f t="shared" si="52"/>
        <v>-5.921186016004653E-2</v>
      </c>
      <c r="N128" s="263">
        <f t="shared" si="53"/>
        <v>31.270788139839951</v>
      </c>
      <c r="O128" s="263">
        <f t="shared" si="54"/>
        <v>31.120788139839952</v>
      </c>
      <c r="P128" s="120">
        <f>(E128/References!$C$11)*'DF Calculation'!K128</f>
        <v>86.76</v>
      </c>
      <c r="Q128" s="120">
        <f>(E128/References!$C$11)*'DF Calculation'!N128</f>
        <v>86.59602869494141</v>
      </c>
      <c r="R128" s="120">
        <f t="shared" si="55"/>
        <v>-0.16397130505859536</v>
      </c>
      <c r="S128" s="245">
        <f>((F128*$D$78)*(References!$D$61/References!$H$64))-M128</f>
        <v>0</v>
      </c>
      <c r="T128" s="241"/>
    </row>
    <row r="129" spans="1:20">
      <c r="A129" s="349"/>
      <c r="B129" s="237">
        <v>41</v>
      </c>
      <c r="C129" s="112" t="s">
        <v>252</v>
      </c>
      <c r="D129" s="119" t="str">
        <f>VLOOKUP(C129,Mapping!$C$2:$H$157,6,FALSE)</f>
        <v>4 yard Temp</v>
      </c>
      <c r="E129" s="241">
        <f>SUMIFS(Mapping!M:M,Mapping!A:A,"Commercial",Mapping!D:D,'DF Calculation'!C129)</f>
        <v>12</v>
      </c>
      <c r="F129" s="241">
        <f>VLOOKUP(C129,Mapping!D:L,7,FALSE)</f>
        <v>613</v>
      </c>
      <c r="G129" s="241">
        <f t="shared" ref="G129:G151" si="56">E129*F129</f>
        <v>7356</v>
      </c>
      <c r="H129" s="236">
        <f t="shared" si="51"/>
        <v>6078.222902882324</v>
      </c>
      <c r="I129" s="241">
        <f>(References!$D$61*H129)</f>
        <v>-6.2605695899688127</v>
      </c>
      <c r="J129" s="241">
        <f>I129/References!$H$64</f>
        <v>-6.4053300490779748</v>
      </c>
      <c r="K129" s="312">
        <v>80.17</v>
      </c>
      <c r="L129" s="313">
        <v>79.8</v>
      </c>
      <c r="M129" s="240">
        <f t="shared" si="52"/>
        <v>-0.53377750408983127</v>
      </c>
      <c r="N129" s="263">
        <f t="shared" si="53"/>
        <v>79.636222495910175</v>
      </c>
      <c r="O129" s="263">
        <f t="shared" si="54"/>
        <v>79.266222495910171</v>
      </c>
      <c r="P129" s="120">
        <f>(E129/References!$C$11)*'DF Calculation'!K129</f>
        <v>222.00923076923081</v>
      </c>
      <c r="Q129" s="120">
        <f>(E129/References!$C$11)*'DF Calculation'!N129</f>
        <v>220.53107768098207</v>
      </c>
      <c r="R129" s="120">
        <f t="shared" si="55"/>
        <v>-1.4781530882487459</v>
      </c>
      <c r="S129" s="245">
        <f>((F129*$D$78)*(References!$D$61/References!$H$64))-M129</f>
        <v>0</v>
      </c>
      <c r="T129" s="241"/>
    </row>
    <row r="130" spans="1:20">
      <c r="A130" s="349"/>
      <c r="B130" s="237">
        <v>41</v>
      </c>
      <c r="C130" s="112" t="s">
        <v>253</v>
      </c>
      <c r="D130" s="119" t="str">
        <f>VLOOKUP(C130,Mapping!$C$2:$H$157,6,FALSE)</f>
        <v>6 yard Temp</v>
      </c>
      <c r="E130" s="241">
        <f>SUMIFS(Mapping!M:M,Mapping!A:A,"Commercial",Mapping!D:D,'DF Calculation'!C130)</f>
        <v>12</v>
      </c>
      <c r="F130" s="241">
        <f>VLOOKUP(C130,Mapping!D:L,7,FALSE)</f>
        <v>840</v>
      </c>
      <c r="G130" s="241">
        <f t="shared" si="56"/>
        <v>10080</v>
      </c>
      <c r="H130" s="236">
        <f t="shared" si="51"/>
        <v>8329.0493285826287</v>
      </c>
      <c r="I130" s="241">
        <f>(References!$D$61*H130)</f>
        <v>-8.5789208084401345</v>
      </c>
      <c r="J130" s="241">
        <f>I130/References!$H$64</f>
        <v>-8.7772875060774851</v>
      </c>
      <c r="K130" s="312">
        <v>109.95</v>
      </c>
      <c r="L130" s="313">
        <v>109.44</v>
      </c>
      <c r="M130" s="240">
        <f t="shared" si="52"/>
        <v>-0.73144062550645705</v>
      </c>
      <c r="N130" s="263">
        <f t="shared" si="53"/>
        <v>109.21855937449355</v>
      </c>
      <c r="O130" s="263">
        <f t="shared" si="54"/>
        <v>108.70855937449355</v>
      </c>
      <c r="P130" s="120">
        <f>(E130/References!$C$11)*'DF Calculation'!K130</f>
        <v>304.47692307692313</v>
      </c>
      <c r="Q130" s="120">
        <f>(E130/References!$C$11)*'DF Calculation'!N130</f>
        <v>302.45139519090526</v>
      </c>
      <c r="R130" s="120">
        <f t="shared" si="55"/>
        <v>-2.0255278860178692</v>
      </c>
      <c r="S130" s="245">
        <f>((F130*$D$78)*(References!$D$61/References!$H$64))-M130</f>
        <v>0</v>
      </c>
      <c r="T130" s="241"/>
    </row>
    <row r="131" spans="1:20">
      <c r="A131" s="349"/>
      <c r="B131" s="237">
        <v>42</v>
      </c>
      <c r="C131" s="112" t="s">
        <v>812</v>
      </c>
      <c r="D131" s="119" t="str">
        <f>VLOOKUP(C131,Mapping!$D$2:$H$157,5,FALSE)</f>
        <v>20 Gallon Cart per PU</v>
      </c>
      <c r="E131" s="241">
        <f>SUMIFS(Mapping!M:M,Mapping!A:A,"Commercial",Mapping!D:D,'DF Calculation'!C131)</f>
        <v>12</v>
      </c>
      <c r="F131" s="241">
        <f>VLOOKUP(C131,Mapping!D:L,7,FALSE)</f>
        <v>20</v>
      </c>
      <c r="G131" s="241">
        <f t="shared" si="56"/>
        <v>240</v>
      </c>
      <c r="H131" s="236">
        <f t="shared" si="51"/>
        <v>198.31069829958642</v>
      </c>
      <c r="I131" s="241">
        <f>(References!$D$61*H131)</f>
        <v>-0.20426001924857465</v>
      </c>
      <c r="J131" s="241">
        <f>I131/References!$H$64</f>
        <v>-0.20898303585898775</v>
      </c>
      <c r="K131" s="312">
        <v>3.97</v>
      </c>
      <c r="L131" s="313">
        <v>3.95</v>
      </c>
      <c r="M131" s="240">
        <f t="shared" si="52"/>
        <v>-1.7415252988248978E-2</v>
      </c>
      <c r="N131" s="263">
        <f t="shared" si="53"/>
        <v>3.952584747011751</v>
      </c>
      <c r="O131" s="263">
        <f t="shared" si="54"/>
        <v>3.932584747011751</v>
      </c>
      <c r="P131" s="120">
        <f>(E131/References!$C$11)*'DF Calculation'!K131</f>
        <v>10.993846153846157</v>
      </c>
      <c r="Q131" s="120">
        <f>(E131/References!$C$11)*'DF Calculation'!N131</f>
        <v>10.945619299417158</v>
      </c>
      <c r="R131" s="120">
        <f t="shared" si="55"/>
        <v>-4.8226854428998323E-2</v>
      </c>
      <c r="S131" s="245">
        <f>((F131*$D$78)*(References!$D$61/References!$H$64))-M131</f>
        <v>0</v>
      </c>
      <c r="T131" s="300"/>
    </row>
    <row r="132" spans="1:20">
      <c r="A132" s="349"/>
      <c r="B132" s="237">
        <v>42</v>
      </c>
      <c r="C132" s="112" t="s">
        <v>813</v>
      </c>
      <c r="D132" s="119" t="str">
        <f>VLOOKUP(C132,Mapping!$D$2:$H$157,5,FALSE)</f>
        <v>35 Gallon Cart per PU</v>
      </c>
      <c r="E132" s="241">
        <f>SUMIFS(Mapping!M:M,Mapping!A:A,"Commercial",Mapping!D:D,'DF Calculation'!C132)</f>
        <v>12</v>
      </c>
      <c r="F132" s="241">
        <f>VLOOKUP(C132,Mapping!D:L,7,FALSE)</f>
        <v>34</v>
      </c>
      <c r="G132" s="241">
        <f t="shared" si="56"/>
        <v>408</v>
      </c>
      <c r="H132" s="236">
        <f t="shared" si="51"/>
        <v>337.1281871092969</v>
      </c>
      <c r="I132" s="241">
        <f>(References!$D$61*H132)</f>
        <v>-0.34724203272257687</v>
      </c>
      <c r="J132" s="241">
        <f>I132/References!$H$64</f>
        <v>-0.35527116096027916</v>
      </c>
      <c r="K132" s="312">
        <v>4.99</v>
      </c>
      <c r="L132" s="313">
        <v>4.97</v>
      </c>
      <c r="M132" s="240">
        <f t="shared" si="52"/>
        <v>-2.9605930080023265E-2</v>
      </c>
      <c r="N132" s="263">
        <f t="shared" si="53"/>
        <v>4.9603940699199773</v>
      </c>
      <c r="O132" s="263">
        <f t="shared" si="54"/>
        <v>4.9403940699199769</v>
      </c>
      <c r="P132" s="120">
        <f>(E132/References!$C$11)*'DF Calculation'!K132</f>
        <v>13.818461538461541</v>
      </c>
      <c r="Q132" s="120">
        <f>(E132/References!$C$11)*'DF Calculation'!N132</f>
        <v>13.736475885932247</v>
      </c>
      <c r="R132" s="120">
        <f t="shared" si="55"/>
        <v>-8.1985652529294128E-2</v>
      </c>
      <c r="S132" s="245">
        <f>((F132*$D$78)*(References!$D$61/References!$H$64))-M132</f>
        <v>0</v>
      </c>
      <c r="T132" s="300"/>
    </row>
    <row r="133" spans="1:20">
      <c r="A133" s="349"/>
      <c r="B133" s="237">
        <v>42</v>
      </c>
      <c r="C133" s="112" t="s">
        <v>814</v>
      </c>
      <c r="D133" s="119" t="str">
        <f>VLOOKUP(C133,Mapping!$D$2:$H$157,5,FALSE)</f>
        <v>65 Gallon Cart per PU</v>
      </c>
      <c r="E133" s="241">
        <f>SUMIFS(Mapping!M:M,Mapping!A:A,"Commercial",Mapping!D:D,'DF Calculation'!C133)</f>
        <v>12</v>
      </c>
      <c r="F133" s="241">
        <f>VLOOKUP(C133,Mapping!D:L,7,FALSE)</f>
        <v>47</v>
      </c>
      <c r="G133" s="241">
        <f t="shared" si="56"/>
        <v>564</v>
      </c>
      <c r="H133" s="236">
        <f t="shared" si="51"/>
        <v>466.03014100402805</v>
      </c>
      <c r="I133" s="241">
        <f>(References!$D$61*H133)</f>
        <v>-0.48001104523415034</v>
      </c>
      <c r="J133" s="241">
        <f>I133/References!$H$64</f>
        <v>-0.49111013426862116</v>
      </c>
      <c r="K133" s="312">
        <v>7.44</v>
      </c>
      <c r="L133" s="313">
        <v>7.41</v>
      </c>
      <c r="M133" s="240">
        <f t="shared" si="52"/>
        <v>-4.0925844522385096E-2</v>
      </c>
      <c r="N133" s="263">
        <f t="shared" si="53"/>
        <v>7.3990741554776154</v>
      </c>
      <c r="O133" s="263">
        <f t="shared" si="54"/>
        <v>7.3690741554776151</v>
      </c>
      <c r="P133" s="120">
        <f>(E133/References!$C$11)*'DF Calculation'!K133</f>
        <v>20.603076923076927</v>
      </c>
      <c r="Q133" s="120">
        <f>(E133/References!$C$11)*'DF Calculation'!N133</f>
        <v>20.489743815168783</v>
      </c>
      <c r="R133" s="120">
        <f t="shared" si="55"/>
        <v>-0.11333310790814366</v>
      </c>
      <c r="S133" s="245">
        <f>((F133*$D$78)*(References!$D$61/References!$H$64))-M133</f>
        <v>0</v>
      </c>
      <c r="T133" s="300"/>
    </row>
    <row r="134" spans="1:20">
      <c r="A134" s="349"/>
      <c r="B134" s="237">
        <v>42</v>
      </c>
      <c r="C134" s="112" t="s">
        <v>815</v>
      </c>
      <c r="D134" s="119" t="str">
        <f>VLOOKUP(C134,Mapping!$D$2:$H$157,5,FALSE)</f>
        <v>95 Gallon Cart per PU</v>
      </c>
      <c r="E134" s="241">
        <f>SUMIFS(Mapping!M:M,Mapping!A:A,"Commercial",Mapping!D:D,'DF Calculation'!C134)</f>
        <v>12</v>
      </c>
      <c r="F134" s="241">
        <f>VLOOKUP(C134,Mapping!D:L,7,FALSE)</f>
        <v>68</v>
      </c>
      <c r="G134" s="241">
        <f t="shared" si="56"/>
        <v>816</v>
      </c>
      <c r="H134" s="236">
        <f t="shared" si="51"/>
        <v>674.25637421859381</v>
      </c>
      <c r="I134" s="241">
        <f>(References!$D$61*H134)</f>
        <v>-0.69448406544515373</v>
      </c>
      <c r="J134" s="241">
        <f>I134/References!$H$64</f>
        <v>-0.71054232192055833</v>
      </c>
      <c r="K134" s="312">
        <v>10.44</v>
      </c>
      <c r="L134" s="313">
        <v>10.39</v>
      </c>
      <c r="M134" s="240">
        <f t="shared" si="52"/>
        <v>-5.921186016004653E-2</v>
      </c>
      <c r="N134" s="263">
        <f t="shared" si="53"/>
        <v>10.380788139839954</v>
      </c>
      <c r="O134" s="263">
        <f t="shared" si="54"/>
        <v>10.330788139839955</v>
      </c>
      <c r="P134" s="120">
        <f>(E134/References!$C$11)*'DF Calculation'!K134</f>
        <v>28.910769230769233</v>
      </c>
      <c r="Q134" s="120">
        <f>(E134/References!$C$11)*'DF Calculation'!N134</f>
        <v>28.746797925710645</v>
      </c>
      <c r="R134" s="120">
        <f t="shared" si="55"/>
        <v>-0.16397130505858826</v>
      </c>
      <c r="S134" s="245">
        <f>((F134*$D$78)*(References!$D$61/References!$H$64))-M134</f>
        <v>0</v>
      </c>
      <c r="T134" s="300"/>
    </row>
    <row r="135" spans="1:20">
      <c r="A135" s="349"/>
      <c r="B135" s="44">
        <v>44</v>
      </c>
      <c r="C135" s="112" t="s">
        <v>290</v>
      </c>
      <c r="D135" s="119" t="str">
        <f>VLOOKUP(C135,Mapping!$C$2:$H$157,6,FALSE)</f>
        <v>2 yard Special and Temporary</v>
      </c>
      <c r="E135" s="104">
        <f>SUMIFS(Mapping!M:M,Mapping!A:A,"Commercial",Mapping!D:D,'DF Calculation'!C135)</f>
        <v>12</v>
      </c>
      <c r="F135" s="241">
        <f>VLOOKUP(C135,Mapping!D:L,7,FALSE)</f>
        <v>729</v>
      </c>
      <c r="G135" s="104">
        <f t="shared" si="56"/>
        <v>8748</v>
      </c>
      <c r="H135" s="43">
        <f t="shared" si="51"/>
        <v>7228.4249530199249</v>
      </c>
      <c r="I135" s="104">
        <f>(References!$D$61*H135)</f>
        <v>-7.4452777016105456</v>
      </c>
      <c r="J135" s="104">
        <f>I135/References!$H$64</f>
        <v>-7.6174316570601039</v>
      </c>
      <c r="K135" s="312">
        <v>95.21</v>
      </c>
      <c r="L135" s="313">
        <v>94.77</v>
      </c>
      <c r="M135" s="117">
        <f t="shared" si="52"/>
        <v>-0.63478597142167537</v>
      </c>
      <c r="N135" s="263">
        <f t="shared" si="53"/>
        <v>94.575214028578316</v>
      </c>
      <c r="O135" s="263">
        <f t="shared" si="54"/>
        <v>94.135214028578318</v>
      </c>
      <c r="P135" s="120">
        <f>(E135/References!$C$11)*'DF Calculation'!K135</f>
        <v>263.65846153846155</v>
      </c>
      <c r="Q135" s="120">
        <f>(E135/References!$C$11)*'DF Calculation'!N135</f>
        <v>261.90059269452462</v>
      </c>
      <c r="R135" s="120">
        <f t="shared" si="55"/>
        <v>-1.757868843936933</v>
      </c>
      <c r="S135" s="245">
        <f>((F135*$D$78)*(References!$D$61/References!$H$64))-M135</f>
        <v>0</v>
      </c>
      <c r="T135" s="241"/>
    </row>
    <row r="136" spans="1:20">
      <c r="A136" s="349"/>
      <c r="B136" s="44">
        <v>44</v>
      </c>
      <c r="C136" s="112" t="s">
        <v>288</v>
      </c>
      <c r="D136" s="119" t="str">
        <f>VLOOKUP(C136,Mapping!$C$2:$H$157,6,FALSE)</f>
        <v>4 yard Special and Temporary</v>
      </c>
      <c r="E136" s="104">
        <f>SUMIFS(Mapping!M:M,Mapping!A:A,"Commercial",Mapping!D:D,'DF Calculation'!C136)</f>
        <v>12</v>
      </c>
      <c r="F136" s="241">
        <f>VLOOKUP(C136,Mapping!D:L,7,FALSE)</f>
        <v>1379.25</v>
      </c>
      <c r="G136" s="104">
        <f t="shared" si="56"/>
        <v>16551</v>
      </c>
      <c r="H136" s="43">
        <f t="shared" si="51"/>
        <v>13676.001531485228</v>
      </c>
      <c r="I136" s="104">
        <f>(References!$D$61*H136)</f>
        <v>-14.086281577429828</v>
      </c>
      <c r="J136" s="104">
        <f>I136/References!$H$64</f>
        <v>-14.411992610425443</v>
      </c>
      <c r="K136" s="312">
        <v>167.67</v>
      </c>
      <c r="L136" s="313">
        <v>166.89</v>
      </c>
      <c r="M136" s="117">
        <f t="shared" si="52"/>
        <v>-1.2009993842021203</v>
      </c>
      <c r="N136" s="263">
        <f t="shared" si="53"/>
        <v>166.46900061579788</v>
      </c>
      <c r="O136" s="263">
        <f t="shared" si="54"/>
        <v>165.68900061579785</v>
      </c>
      <c r="P136" s="120">
        <f>(E136/References!$C$11)*'DF Calculation'!K136</f>
        <v>464.3169230769231</v>
      </c>
      <c r="Q136" s="120">
        <f>(E136/References!$C$11)*'DF Calculation'!N136</f>
        <v>460.99107862836343</v>
      </c>
      <c r="R136" s="120">
        <f t="shared" si="55"/>
        <v>-3.3258444485596783</v>
      </c>
      <c r="S136" s="245">
        <f>((F136*$D$78)*(References!$D$61/References!$H$64))-M136</f>
        <v>0</v>
      </c>
      <c r="T136" s="241"/>
    </row>
    <row r="137" spans="1:20">
      <c r="A137" s="349"/>
      <c r="B137" s="44">
        <v>44</v>
      </c>
      <c r="C137" s="112" t="s">
        <v>248</v>
      </c>
      <c r="D137" s="119" t="str">
        <f>VLOOKUP(C137,Mapping!$C$2:$H$157,6,FALSE)</f>
        <v>6 yard Regular</v>
      </c>
      <c r="E137" s="104">
        <f>SUMIFS(Mapping!M:M,Mapping!A:A,"Commercial",Mapping!D:D,'DF Calculation'!C137)</f>
        <v>52</v>
      </c>
      <c r="F137" s="241">
        <f>VLOOKUP(C137,Mapping!D:L,7,FALSE)</f>
        <v>1890</v>
      </c>
      <c r="G137" s="104">
        <f t="shared" si="56"/>
        <v>98280</v>
      </c>
      <c r="H137" s="43">
        <f t="shared" si="51"/>
        <v>81208.230953680642</v>
      </c>
      <c r="I137" s="104">
        <f>(References!$D$61*H137)</f>
        <v>-83.644477882291312</v>
      </c>
      <c r="J137" s="104">
        <f>I137/References!$H$64</f>
        <v>-85.578553184255483</v>
      </c>
      <c r="K137" s="312">
        <v>226.26</v>
      </c>
      <c r="L137" s="313">
        <v>225.21</v>
      </c>
      <c r="M137" s="117">
        <f t="shared" si="52"/>
        <v>-1.6457414073895285</v>
      </c>
      <c r="N137" s="263">
        <f t="shared" si="53"/>
        <v>224.61425859261047</v>
      </c>
      <c r="O137" s="263">
        <f t="shared" si="54"/>
        <v>223.56425859261049</v>
      </c>
      <c r="P137" s="120">
        <f>(E137/References!$C$11)*'DF Calculation'!K137</f>
        <v>2715.12</v>
      </c>
      <c r="Q137" s="120">
        <f>(E137/References!$C$11)*'DF Calculation'!N137</f>
        <v>2695.3711031113257</v>
      </c>
      <c r="R137" s="120">
        <f t="shared" si="55"/>
        <v>-19.748896888674153</v>
      </c>
      <c r="S137" s="245">
        <f>((F137*$D$78)*(References!$D$61/References!$H$64))-M137</f>
        <v>0</v>
      </c>
      <c r="T137" s="241"/>
    </row>
    <row r="138" spans="1:20">
      <c r="A138" s="349"/>
      <c r="B138" s="237">
        <v>44</v>
      </c>
      <c r="C138" s="112" t="s">
        <v>289</v>
      </c>
      <c r="D138" s="119" t="str">
        <f>VLOOKUP(C138,Mapping!$C$2:$H$157,6,FALSE)</f>
        <v>6 yard Special and Temporary</v>
      </c>
      <c r="E138" s="241">
        <f>SUMIFS(Mapping!M:M,Mapping!A:A,"Commercial",Mapping!D:D,'DF Calculation'!C138)</f>
        <v>12</v>
      </c>
      <c r="F138" s="241">
        <f>VLOOKUP(C138,Mapping!D:L,7,FALSE)</f>
        <v>1890</v>
      </c>
      <c r="G138" s="241">
        <f t="shared" si="56"/>
        <v>22680</v>
      </c>
      <c r="H138" s="236">
        <f t="shared" si="51"/>
        <v>18740.360989310917</v>
      </c>
      <c r="I138" s="241">
        <f>(References!$D$61*H138)</f>
        <v>-19.302571818990302</v>
      </c>
      <c r="J138" s="241">
        <f>I138/References!$H$64</f>
        <v>-19.748896888674341</v>
      </c>
      <c r="K138" s="312">
        <v>232.83</v>
      </c>
      <c r="L138" s="313">
        <v>231.75</v>
      </c>
      <c r="M138" s="240">
        <f t="shared" si="52"/>
        <v>-1.6457414073895285</v>
      </c>
      <c r="N138" s="263">
        <f t="shared" si="53"/>
        <v>231.18425859261049</v>
      </c>
      <c r="O138" s="263">
        <f t="shared" si="54"/>
        <v>230.10425859261048</v>
      </c>
      <c r="P138" s="120">
        <f>(E138/References!$C$11)*'DF Calculation'!K138</f>
        <v>644.7600000000001</v>
      </c>
      <c r="Q138" s="120">
        <f>(E138/References!$C$11)*'DF Calculation'!N138</f>
        <v>640.20256225645994</v>
      </c>
      <c r="R138" s="120">
        <f t="shared" si="55"/>
        <v>-4.557437743540163</v>
      </c>
      <c r="S138" s="245">
        <f>((F138*$D$78)*(References!$D$61/References!$H$64))-M138</f>
        <v>0</v>
      </c>
      <c r="T138" s="241"/>
    </row>
    <row r="139" spans="1:20">
      <c r="A139" s="349"/>
      <c r="B139" s="237">
        <v>45</v>
      </c>
      <c r="C139" s="112" t="s">
        <v>257</v>
      </c>
      <c r="D139" s="119" t="str">
        <f>VLOOKUP(C139,Mapping!$C$2:$H$157,6,FALSE)</f>
        <v>2 yard Regular</v>
      </c>
      <c r="E139" s="241">
        <f>SUMIFS(Mapping!M:M,Mapping!A:A,"Commercial",Mapping!D:D,'DF Calculation'!C139)</f>
        <v>52</v>
      </c>
      <c r="F139" s="241">
        <f>VLOOKUP(C139,Mapping!D:L,7,FALSE)</f>
        <v>972</v>
      </c>
      <c r="G139" s="241">
        <f t="shared" si="56"/>
        <v>50544</v>
      </c>
      <c r="H139" s="236">
        <f t="shared" si="51"/>
        <v>41764.233061892897</v>
      </c>
      <c r="I139" s="241">
        <f>(References!$D$61*H139)</f>
        <v>-43.017160053749812</v>
      </c>
      <c r="J139" s="241">
        <f>I139/References!$H$64</f>
        <v>-44.011827351902816</v>
      </c>
      <c r="K139" s="312">
        <v>113.02</v>
      </c>
      <c r="L139" s="313">
        <v>112.49</v>
      </c>
      <c r="M139" s="240">
        <f t="shared" si="52"/>
        <v>-0.84638129522890027</v>
      </c>
      <c r="N139" s="263">
        <f t="shared" si="53"/>
        <v>112.1736187047711</v>
      </c>
      <c r="O139" s="263">
        <f t="shared" si="54"/>
        <v>111.6436187047711</v>
      </c>
      <c r="P139" s="120">
        <f>(E139/References!$C$11)*'DF Calculation'!K139</f>
        <v>1356.24</v>
      </c>
      <c r="Q139" s="120">
        <f>(E139/References!$C$11)*'DF Calculation'!N139</f>
        <v>1346.0834244572532</v>
      </c>
      <c r="R139" s="120">
        <f t="shared" si="55"/>
        <v>-10.15657554274685</v>
      </c>
      <c r="S139" s="245">
        <f>((F139*$D$78)*(References!$D$61/References!$H$64))-M139</f>
        <v>0</v>
      </c>
      <c r="T139" s="241"/>
    </row>
    <row r="140" spans="1:20">
      <c r="A140" s="349"/>
      <c r="B140" s="237">
        <v>45</v>
      </c>
      <c r="C140" s="112" t="s">
        <v>291</v>
      </c>
      <c r="D140" s="119" t="str">
        <f>VLOOKUP(C140,Mapping!$C$2:$H$157,6,FALSE)</f>
        <v>2 yard Special and Temporary</v>
      </c>
      <c r="E140" s="241">
        <f>SUMIFS(Mapping!M:M,Mapping!A:A,"Commercial",Mapping!D:D,'DF Calculation'!C140)</f>
        <v>12</v>
      </c>
      <c r="F140" s="241">
        <f>VLOOKUP(C140,Mapping!D:L,7,FALSE)</f>
        <v>972</v>
      </c>
      <c r="G140" s="241">
        <f t="shared" si="56"/>
        <v>11664</v>
      </c>
      <c r="H140" s="236">
        <f t="shared" si="51"/>
        <v>9637.8999373598999</v>
      </c>
      <c r="I140" s="241">
        <f>(References!$D$61*H140)</f>
        <v>-9.9270369354807269</v>
      </c>
      <c r="J140" s="241">
        <f>I140/References!$H$64</f>
        <v>-10.156575542746804</v>
      </c>
      <c r="K140" s="312">
        <v>119.59</v>
      </c>
      <c r="L140" s="313">
        <v>119.03</v>
      </c>
      <c r="M140" s="240">
        <f t="shared" si="52"/>
        <v>-0.84638129522890038</v>
      </c>
      <c r="N140" s="263">
        <f t="shared" si="53"/>
        <v>118.74361870477111</v>
      </c>
      <c r="O140" s="263">
        <f t="shared" si="54"/>
        <v>118.18361870477111</v>
      </c>
      <c r="P140" s="120">
        <f>(E140/References!$C$11)*'DF Calculation'!K140</f>
        <v>331.17230769230775</v>
      </c>
      <c r="Q140" s="120">
        <f>(E140/References!$C$11)*'DF Calculation'!N140</f>
        <v>328.82848256705847</v>
      </c>
      <c r="R140" s="120">
        <f t="shared" si="55"/>
        <v>-2.3438251252492819</v>
      </c>
      <c r="S140" s="245">
        <f>((F140*$D$78)*(References!$D$61/References!$H$64))-M140</f>
        <v>0</v>
      </c>
      <c r="T140" s="241"/>
    </row>
    <row r="141" spans="1:20">
      <c r="A141" s="349"/>
      <c r="B141" s="237">
        <v>45</v>
      </c>
      <c r="C141" s="112" t="s">
        <v>258</v>
      </c>
      <c r="D141" s="119" t="str">
        <f>VLOOKUP(C141,Mapping!$C$2:$H$157,6,FALSE)</f>
        <v>3 yard Regular</v>
      </c>
      <c r="E141" s="241">
        <f>SUMIFS(Mapping!M:M,Mapping!A:A,"Commercial",Mapping!D:D,'DF Calculation'!C141)</f>
        <v>52</v>
      </c>
      <c r="F141" s="241">
        <f>VLOOKUP(C141,Mapping!D:L,7,FALSE)</f>
        <v>1419</v>
      </c>
      <c r="G141" s="241">
        <f t="shared" si="56"/>
        <v>73788</v>
      </c>
      <c r="H141" s="236">
        <f t="shared" si="51"/>
        <v>60970.624192207841</v>
      </c>
      <c r="I141" s="241">
        <f>(References!$D$61*H141)</f>
        <v>-62.799742917974264</v>
      </c>
      <c r="J141" s="241">
        <f>I141/References!$H$64</f>
        <v>-64.251834374845771</v>
      </c>
      <c r="K141" s="312">
        <v>154.68</v>
      </c>
      <c r="L141" s="313">
        <v>153.96</v>
      </c>
      <c r="M141" s="240">
        <f t="shared" si="52"/>
        <v>-1.2356121995162648</v>
      </c>
      <c r="N141" s="263">
        <f t="shared" si="53"/>
        <v>153.44438780048375</v>
      </c>
      <c r="O141" s="263">
        <f t="shared" si="54"/>
        <v>152.72438780048375</v>
      </c>
      <c r="P141" s="120">
        <f>(E141/References!$C$11)*'DF Calculation'!K141</f>
        <v>1856.16</v>
      </c>
      <c r="Q141" s="120">
        <f>(E141/References!$C$11)*'DF Calculation'!N141</f>
        <v>1841.332653605805</v>
      </c>
      <c r="R141" s="120">
        <f t="shared" si="55"/>
        <v>-14.827346394195047</v>
      </c>
      <c r="S141" s="245">
        <f>((F141*$D$78)*(References!$D$61/References!$H$64))-M141</f>
        <v>0</v>
      </c>
      <c r="T141" s="241"/>
    </row>
    <row r="142" spans="1:20">
      <c r="A142" s="349"/>
      <c r="B142" s="237">
        <v>45</v>
      </c>
      <c r="C142" s="112" t="s">
        <v>292</v>
      </c>
      <c r="D142" s="119" t="str">
        <f>VLOOKUP(C142,Mapping!$C$2:$H$157,6,FALSE)</f>
        <v>3 yard Special and Temporary</v>
      </c>
      <c r="E142" s="241">
        <f>SUMIFS(Mapping!M:M,Mapping!A:A,"Commercial",Mapping!D:D,'DF Calculation'!C142)</f>
        <v>12</v>
      </c>
      <c r="F142" s="241">
        <f>VLOOKUP(C142,Mapping!D:L,7,FALSE)</f>
        <v>1419</v>
      </c>
      <c r="G142" s="241">
        <f t="shared" si="56"/>
        <v>17028</v>
      </c>
      <c r="H142" s="236">
        <f t="shared" si="51"/>
        <v>14070.144044355657</v>
      </c>
      <c r="I142" s="241">
        <f>(References!$D$61*H142)</f>
        <v>-14.49224836568637</v>
      </c>
      <c r="J142" s="241">
        <f>I142/References!$H$64</f>
        <v>-14.82734639419518</v>
      </c>
      <c r="K142" s="312">
        <v>161.24</v>
      </c>
      <c r="L142" s="313">
        <v>160.49</v>
      </c>
      <c r="M142" s="240">
        <f t="shared" si="52"/>
        <v>-1.235612199516265</v>
      </c>
      <c r="N142" s="263">
        <f t="shared" si="53"/>
        <v>160.00438780048376</v>
      </c>
      <c r="O142" s="263">
        <f t="shared" si="54"/>
        <v>159.25438780048376</v>
      </c>
      <c r="P142" s="120">
        <f>(E142/References!$C$11)*'DF Calculation'!K142</f>
        <v>446.51076923076931</v>
      </c>
      <c r="Q142" s="120">
        <f>(E142/References!$C$11)*'DF Calculation'!N142</f>
        <v>443.08907390903198</v>
      </c>
      <c r="R142" s="120">
        <f t="shared" si="55"/>
        <v>-3.4216953217373316</v>
      </c>
      <c r="S142" s="245">
        <f>((F142*$D$78)*(References!$D$61/References!$H$64))-M142</f>
        <v>0</v>
      </c>
      <c r="T142" s="241"/>
    </row>
    <row r="143" spans="1:20">
      <c r="A143" s="349"/>
      <c r="B143" s="237">
        <v>45</v>
      </c>
      <c r="C143" s="112" t="s">
        <v>259</v>
      </c>
      <c r="D143" s="119" t="str">
        <f>VLOOKUP(C143,Mapping!$C$2:$H$157,6,FALSE)</f>
        <v>4 yard Regular</v>
      </c>
      <c r="E143" s="241">
        <f>SUMIFS(Mapping!M:M,Mapping!A:A,"Commercial",Mapping!D:D,'DF Calculation'!C143)</f>
        <v>52</v>
      </c>
      <c r="F143" s="241">
        <f>VLOOKUP(C143,Mapping!D:L,7,FALSE)</f>
        <v>1839</v>
      </c>
      <c r="G143" s="241">
        <f t="shared" si="56"/>
        <v>95628</v>
      </c>
      <c r="H143" s="236">
        <f t="shared" si="51"/>
        <v>79016.897737470208</v>
      </c>
      <c r="I143" s="241">
        <f>(References!$D$61*H143)</f>
        <v>-81.387404669594559</v>
      </c>
      <c r="J143" s="241">
        <f>I143/References!$H$64</f>
        <v>-83.269290638013658</v>
      </c>
      <c r="K143" s="312">
        <v>192.22</v>
      </c>
      <c r="L143" s="313">
        <v>191.32</v>
      </c>
      <c r="M143" s="240">
        <f t="shared" si="52"/>
        <v>-1.6013325122694935</v>
      </c>
      <c r="N143" s="263">
        <f t="shared" si="53"/>
        <v>190.61866748773051</v>
      </c>
      <c r="O143" s="263">
        <f t="shared" si="54"/>
        <v>189.7186674877305</v>
      </c>
      <c r="P143" s="120">
        <f>(E143/References!$C$11)*'DF Calculation'!K143</f>
        <v>2306.64</v>
      </c>
      <c r="Q143" s="120">
        <f>(E143/References!$C$11)*'DF Calculation'!N143</f>
        <v>2287.4240098527662</v>
      </c>
      <c r="R143" s="120">
        <f t="shared" si="55"/>
        <v>-19.215990147233697</v>
      </c>
      <c r="S143" s="245">
        <f>((F143*$D$78)*(References!$D$61/References!$H$64))-M143</f>
        <v>0</v>
      </c>
      <c r="T143" s="241"/>
    </row>
    <row r="144" spans="1:20">
      <c r="A144" s="349"/>
      <c r="B144" s="237">
        <v>45</v>
      </c>
      <c r="C144" s="112" t="s">
        <v>287</v>
      </c>
      <c r="D144" s="119" t="str">
        <f>VLOOKUP(C144,Mapping!$C$2:$H$157,6,FALSE)</f>
        <v>4 yard Special and Temporary</v>
      </c>
      <c r="E144" s="241">
        <f>SUMIFS(Mapping!M:M,Mapping!A:A,"Commercial",Mapping!D:D,'DF Calculation'!C144)</f>
        <v>12</v>
      </c>
      <c r="F144" s="241">
        <f>VLOOKUP(C144,Mapping!D:L,7,FALSE)</f>
        <v>1839</v>
      </c>
      <c r="G144" s="241">
        <f t="shared" si="56"/>
        <v>22068</v>
      </c>
      <c r="H144" s="236">
        <f t="shared" si="51"/>
        <v>18234.668708646972</v>
      </c>
      <c r="I144" s="241">
        <f>(References!$D$61*H144)</f>
        <v>-18.781708769906437</v>
      </c>
      <c r="J144" s="241">
        <f>I144/References!$H$64</f>
        <v>-19.215990147233924</v>
      </c>
      <c r="K144" s="312">
        <v>198.79</v>
      </c>
      <c r="L144" s="313">
        <v>197.86</v>
      </c>
      <c r="M144" s="240">
        <f t="shared" si="52"/>
        <v>-1.6013325122694937</v>
      </c>
      <c r="N144" s="263">
        <f t="shared" si="53"/>
        <v>197.1886674877305</v>
      </c>
      <c r="O144" s="263">
        <f t="shared" si="54"/>
        <v>196.25866748773052</v>
      </c>
      <c r="P144" s="120">
        <f>(E144/References!$C$11)*'DF Calculation'!K144</f>
        <v>550.49538461538464</v>
      </c>
      <c r="Q144" s="120">
        <f>(E144/References!$C$11)*'DF Calculation'!N144</f>
        <v>546.0609253506384</v>
      </c>
      <c r="R144" s="120">
        <f t="shared" si="55"/>
        <v>-4.4344592647462377</v>
      </c>
      <c r="S144" s="245">
        <f>((F144*$D$78)*(References!$D$61/References!$H$64))-M144</f>
        <v>0</v>
      </c>
      <c r="T144" s="241"/>
    </row>
    <row r="145" spans="1:20">
      <c r="A145" s="349"/>
      <c r="B145" s="237">
        <v>45</v>
      </c>
      <c r="C145" s="112" t="s">
        <v>293</v>
      </c>
      <c r="D145" s="119" t="str">
        <f>VLOOKUP(C145,Mapping!$C$2:$H$157,6,FALSE)</f>
        <v>6 yard Special and Temporary</v>
      </c>
      <c r="E145" s="241">
        <f>SUMIFS(Mapping!M:M,Mapping!A:A,"Commercial",Mapping!D:D,'DF Calculation'!C145)</f>
        <v>12</v>
      </c>
      <c r="F145" s="241">
        <f>VLOOKUP(C145,Mapping!D:L,7,FALSE)</f>
        <v>2520</v>
      </c>
      <c r="G145" s="241">
        <f t="shared" si="56"/>
        <v>30240</v>
      </c>
      <c r="H145" s="236">
        <f t="shared" si="51"/>
        <v>24987.147985747888</v>
      </c>
      <c r="I145" s="241">
        <f>(References!$D$61*H145)</f>
        <v>-25.736762425320403</v>
      </c>
      <c r="J145" s="241">
        <f>I145/References!$H$64</f>
        <v>-26.331862518232455</v>
      </c>
      <c r="K145" s="312">
        <v>291.58999999999997</v>
      </c>
      <c r="L145" s="313">
        <v>290.23</v>
      </c>
      <c r="M145" s="240">
        <f t="shared" si="52"/>
        <v>-2.1943218765193713</v>
      </c>
      <c r="N145" s="263">
        <f t="shared" si="53"/>
        <v>289.39567812348059</v>
      </c>
      <c r="O145" s="263">
        <f t="shared" si="54"/>
        <v>288.03567812348064</v>
      </c>
      <c r="P145" s="120">
        <f>(E145/References!$C$11)*'DF Calculation'!K145</f>
        <v>807.48</v>
      </c>
      <c r="Q145" s="120">
        <f>(E145/References!$C$11)*'DF Calculation'!N145</f>
        <v>801.40341634194635</v>
      </c>
      <c r="R145" s="120">
        <f t="shared" si="55"/>
        <v>-6.0765836580536643</v>
      </c>
      <c r="S145" s="245">
        <f>((F145*$D$78)*(References!$D$61/References!$H$64))-M145</f>
        <v>0</v>
      </c>
      <c r="T145" s="241"/>
    </row>
    <row r="146" spans="1:20">
      <c r="A146" s="349"/>
      <c r="B146" s="237">
        <v>46</v>
      </c>
      <c r="C146" s="112" t="s">
        <v>250</v>
      </c>
      <c r="D146" s="119" t="str">
        <f>VLOOKUP(C146,Mapping!$C$2:$H$157,6,FALSE)</f>
        <v>3 yard Regular</v>
      </c>
      <c r="E146" s="241">
        <f>SUMIFS(Mapping!M:M,Mapping!A:A,"Commercial",Mapping!D:D,'DF Calculation'!C146)</f>
        <v>52</v>
      </c>
      <c r="F146" s="241">
        <f>VLOOKUP(C146,Mapping!D:L,7,FALSE)</f>
        <v>1892</v>
      </c>
      <c r="G146" s="241">
        <f t="shared" si="56"/>
        <v>98384</v>
      </c>
      <c r="H146" s="236">
        <f t="shared" si="51"/>
        <v>81294.165589610464</v>
      </c>
      <c r="I146" s="241">
        <f>(References!$D$61*H146)</f>
        <v>-83.732990557299033</v>
      </c>
      <c r="J146" s="241">
        <f>I146/References!$H$64</f>
        <v>-85.66911249979438</v>
      </c>
      <c r="K146" s="312">
        <v>196.75</v>
      </c>
      <c r="L146" s="313">
        <v>195.83</v>
      </c>
      <c r="M146" s="240">
        <f t="shared" si="52"/>
        <v>-1.6474829326883536</v>
      </c>
      <c r="N146" s="263">
        <f t="shared" si="53"/>
        <v>195.10251706731165</v>
      </c>
      <c r="O146" s="263">
        <f t="shared" si="54"/>
        <v>194.18251706731166</v>
      </c>
      <c r="P146" s="120">
        <f>(E146/References!$C$11)*'DF Calculation'!K146</f>
        <v>2361</v>
      </c>
      <c r="Q146" s="120">
        <f>(E146/References!$C$11)*'DF Calculation'!N146</f>
        <v>2341.2302048077399</v>
      </c>
      <c r="R146" s="120">
        <f t="shared" si="55"/>
        <v>-19.769795192260062</v>
      </c>
      <c r="S146" s="245">
        <f>((F146*$D$78)*(References!$D$61/References!$H$64))-M146</f>
        <v>0</v>
      </c>
      <c r="T146" s="241"/>
    </row>
    <row r="147" spans="1:20">
      <c r="A147" s="349"/>
      <c r="B147" s="237">
        <v>46</v>
      </c>
      <c r="C147" s="112" t="s">
        <v>294</v>
      </c>
      <c r="D147" s="119" t="str">
        <f>VLOOKUP(C147,Mapping!$C$2:$H$157,6,FALSE)</f>
        <v>3 yard Special and Temporary</v>
      </c>
      <c r="E147" s="241">
        <f>SUMIFS(Mapping!M:M,Mapping!A:A,"Commercial",Mapping!D:D,'DF Calculation'!C147)</f>
        <v>12</v>
      </c>
      <c r="F147" s="241">
        <f>VLOOKUP(C147,Mapping!D:L,7,FALSE)</f>
        <v>1892</v>
      </c>
      <c r="G147" s="241">
        <f t="shared" si="56"/>
        <v>22704</v>
      </c>
      <c r="H147" s="236">
        <f t="shared" si="51"/>
        <v>18760.192059140874</v>
      </c>
      <c r="I147" s="241">
        <f>(References!$D$61*H147)</f>
        <v>-19.322997820915159</v>
      </c>
      <c r="J147" s="241">
        <f>I147/References!$H$64</f>
        <v>-19.76979519226024</v>
      </c>
      <c r="K147" s="312">
        <v>203.32</v>
      </c>
      <c r="L147" s="313">
        <v>202.37</v>
      </c>
      <c r="M147" s="240">
        <f t="shared" si="52"/>
        <v>-1.6474829326883533</v>
      </c>
      <c r="N147" s="263">
        <f t="shared" si="53"/>
        <v>201.67251706731165</v>
      </c>
      <c r="O147" s="263">
        <f t="shared" si="54"/>
        <v>200.72251706731166</v>
      </c>
      <c r="P147" s="120">
        <f>(E147/References!$C$11)*'DF Calculation'!K147</f>
        <v>563.04000000000008</v>
      </c>
      <c r="Q147" s="120">
        <f>(E147/References!$C$11)*'DF Calculation'!N147</f>
        <v>558.47773957101697</v>
      </c>
      <c r="R147" s="120">
        <f t="shared" si="55"/>
        <v>-4.5622604289831088</v>
      </c>
      <c r="S147" s="245">
        <f>((F147*$D$78)*(References!$D$61/References!$H$64))-M147</f>
        <v>0</v>
      </c>
      <c r="T147" s="241"/>
    </row>
    <row r="148" spans="1:20">
      <c r="A148" s="349"/>
      <c r="B148" s="237">
        <v>46</v>
      </c>
      <c r="C148" s="112" t="s">
        <v>286</v>
      </c>
      <c r="D148" s="119" t="str">
        <f>VLOOKUP(C148,Mapping!$C$2:$H$157,6,FALSE)</f>
        <v>4 yard Special and Temporary</v>
      </c>
      <c r="E148" s="241">
        <f>SUMIFS(Mapping!M:M,Mapping!A:A,"Commercial",Mapping!D:D,'DF Calculation'!C148)</f>
        <v>12</v>
      </c>
      <c r="F148" s="241">
        <f>VLOOKUP(C148,Mapping!D:L,7,FALSE)</f>
        <v>2452</v>
      </c>
      <c r="G148" s="241">
        <f t="shared" si="56"/>
        <v>29424</v>
      </c>
      <c r="H148" s="236">
        <f t="shared" si="51"/>
        <v>24312.891611529296</v>
      </c>
      <c r="I148" s="241">
        <f>(References!$D$61*H148)</f>
        <v>-25.042278359875251</v>
      </c>
      <c r="J148" s="241">
        <f>I148/References!$H$64</f>
        <v>-25.621320196311899</v>
      </c>
      <c r="K148" s="312">
        <v>265.14999999999998</v>
      </c>
      <c r="L148" s="313">
        <v>263.91000000000003</v>
      </c>
      <c r="M148" s="240">
        <f t="shared" si="52"/>
        <v>-2.1351100163593251</v>
      </c>
      <c r="N148" s="263">
        <f t="shared" si="53"/>
        <v>263.01488998364067</v>
      </c>
      <c r="O148" s="263">
        <f t="shared" si="54"/>
        <v>261.77488998364072</v>
      </c>
      <c r="P148" s="120">
        <f>(E148/References!$C$11)*'DF Calculation'!K148</f>
        <v>734.26153846153852</v>
      </c>
      <c r="Q148" s="120">
        <f>(E148/References!$C$11)*'DF Calculation'!N148</f>
        <v>728.34892610854354</v>
      </c>
      <c r="R148" s="120">
        <f t="shared" si="55"/>
        <v>-5.9126123529949837</v>
      </c>
      <c r="S148" s="245">
        <f>((F148*$D$78)*(References!$D$61/References!$H$64))-M148</f>
        <v>0</v>
      </c>
      <c r="T148" s="241"/>
    </row>
    <row r="149" spans="1:20">
      <c r="A149" s="349"/>
      <c r="B149" s="237">
        <v>46</v>
      </c>
      <c r="C149" s="112" t="s">
        <v>295</v>
      </c>
      <c r="D149" s="119" t="str">
        <f>VLOOKUP(C149,Mapping!$C$2:$H$157,6,FALSE)</f>
        <v>6 yard Special and Temporary</v>
      </c>
      <c r="E149" s="241">
        <f>SUMIFS(Mapping!M:M,Mapping!A:A,"Commercial",Mapping!D:D,'DF Calculation'!C149)</f>
        <v>12</v>
      </c>
      <c r="F149" s="241">
        <f>VLOOKUP(C149,Mapping!D:L,7,FALSE)</f>
        <v>3360</v>
      </c>
      <c r="G149" s="241">
        <f t="shared" si="56"/>
        <v>40320</v>
      </c>
      <c r="H149" s="236">
        <f t="shared" si="51"/>
        <v>33316.197314330515</v>
      </c>
      <c r="I149" s="241">
        <f>(References!$D$61*H149)</f>
        <v>-34.315683233760538</v>
      </c>
      <c r="J149" s="241">
        <f>I149/References!$H$64</f>
        <v>-35.10915002430994</v>
      </c>
      <c r="K149" s="312">
        <v>374.27</v>
      </c>
      <c r="L149" s="313">
        <v>372.53</v>
      </c>
      <c r="M149" s="240">
        <f t="shared" si="52"/>
        <v>-2.9257625020258282</v>
      </c>
      <c r="N149" s="263">
        <f t="shared" si="53"/>
        <v>371.34423749797418</v>
      </c>
      <c r="O149" s="263">
        <f t="shared" si="54"/>
        <v>369.60423749797417</v>
      </c>
      <c r="P149" s="120">
        <f>(E149/References!$C$11)*'DF Calculation'!K149</f>
        <v>1036.44</v>
      </c>
      <c r="Q149" s="120">
        <f>(E149/References!$C$11)*'DF Calculation'!N149</f>
        <v>1028.3378884559286</v>
      </c>
      <c r="R149" s="120">
        <f t="shared" si="55"/>
        <v>-8.1021115440714766</v>
      </c>
      <c r="S149" s="245">
        <f>((F149*$D$78)*(References!$D$61/References!$H$64))-M149</f>
        <v>0</v>
      </c>
      <c r="T149" s="235"/>
    </row>
    <row r="150" spans="1:20">
      <c r="A150" s="349"/>
      <c r="B150" s="237">
        <v>47</v>
      </c>
      <c r="C150" s="112" t="s">
        <v>260</v>
      </c>
      <c r="D150" s="119" t="str">
        <f>VLOOKUP(C150,Mapping!$C$2:$H$157,6,FALSE)</f>
        <v>6 yard Regular</v>
      </c>
      <c r="E150" s="241">
        <f>SUMIFS(Mapping!M:M,Mapping!A:A,"Commercial",Mapping!D:D,'DF Calculation'!C150)</f>
        <v>52</v>
      </c>
      <c r="F150" s="241">
        <f>VLOOKUP(C150,Mapping!D:L,7,FALSE)</f>
        <v>4200</v>
      </c>
      <c r="G150" s="241">
        <f t="shared" si="56"/>
        <v>218400</v>
      </c>
      <c r="H150" s="236">
        <f t="shared" si="51"/>
        <v>180462.73545262363</v>
      </c>
      <c r="I150" s="241">
        <f>(References!$D$61*H150)</f>
        <v>-185.87661751620291</v>
      </c>
      <c r="J150" s="241">
        <f>I150/References!$H$64</f>
        <v>-190.17456263167884</v>
      </c>
      <c r="K150" s="312">
        <v>416.26</v>
      </c>
      <c r="L150" s="313">
        <v>414.32</v>
      </c>
      <c r="M150" s="240">
        <f t="shared" si="52"/>
        <v>-3.6572031275322852</v>
      </c>
      <c r="N150" s="263">
        <f t="shared" si="53"/>
        <v>412.60279687246771</v>
      </c>
      <c r="O150" s="263">
        <f t="shared" si="54"/>
        <v>410.66279687246771</v>
      </c>
      <c r="P150" s="120">
        <f>(E150/References!$C$11)*'DF Calculation'!K150</f>
        <v>4995.12</v>
      </c>
      <c r="Q150" s="120">
        <f>(E150/References!$C$11)*'DF Calculation'!N150</f>
        <v>4951.2335624696125</v>
      </c>
      <c r="R150" s="120">
        <f t="shared" si="55"/>
        <v>-43.886437530387411</v>
      </c>
      <c r="S150" s="245">
        <f>((F150*$D$78)*(References!$D$61/References!$H$64))-M150</f>
        <v>0</v>
      </c>
      <c r="T150" s="241"/>
    </row>
    <row r="151" spans="1:20" ht="15.75" thickBot="1">
      <c r="A151" s="350"/>
      <c r="B151" s="44">
        <v>47</v>
      </c>
      <c r="C151" s="112" t="s">
        <v>296</v>
      </c>
      <c r="D151" s="119" t="str">
        <f>VLOOKUP(C151,Mapping!$C$2:$H$157,6,FALSE)</f>
        <v>6 yard Special and Temporary</v>
      </c>
      <c r="E151" s="104">
        <f>SUMIFS(Mapping!M:M,Mapping!A:A,"Commercial",Mapping!D:D,'DF Calculation'!C151)</f>
        <v>12</v>
      </c>
      <c r="F151" s="241">
        <f>VLOOKUP(C151,Mapping!D:L,7,FALSE)</f>
        <v>4200</v>
      </c>
      <c r="G151" s="104">
        <f t="shared" si="56"/>
        <v>50400</v>
      </c>
      <c r="H151" s="43">
        <f t="shared" si="51"/>
        <v>41645.246642913145</v>
      </c>
      <c r="I151" s="104">
        <f>(References!$D$61*H151)</f>
        <v>-42.894604042200669</v>
      </c>
      <c r="J151" s="104">
        <f>I151/References!$H$64</f>
        <v>-43.886437530387425</v>
      </c>
      <c r="K151" s="312">
        <v>422.83</v>
      </c>
      <c r="L151" s="313">
        <v>420.86</v>
      </c>
      <c r="M151" s="117">
        <f t="shared" si="52"/>
        <v>-3.6572031275322856</v>
      </c>
      <c r="N151" s="263">
        <f t="shared" si="53"/>
        <v>419.1727968724677</v>
      </c>
      <c r="O151" s="263">
        <f t="shared" si="54"/>
        <v>417.20279687246773</v>
      </c>
      <c r="P151" s="120">
        <f>(E151/References!$C$11)*'DF Calculation'!K151</f>
        <v>1170.9138461538462</v>
      </c>
      <c r="Q151" s="120">
        <f>(E151/References!$C$11)*'DF Calculation'!N151</f>
        <v>1160.7862067237568</v>
      </c>
      <c r="R151" s="120">
        <f t="shared" si="55"/>
        <v>-10.127639430089403</v>
      </c>
      <c r="S151" s="245">
        <f>((F151*$D$78)*(References!$D$61/References!$H$64))-M151</f>
        <v>0</v>
      </c>
      <c r="T151" s="241"/>
    </row>
    <row r="152" spans="1:20">
      <c r="A152" s="256"/>
      <c r="B152" s="92"/>
      <c r="C152" s="109"/>
      <c r="D152" s="93" t="s">
        <v>14</v>
      </c>
      <c r="E152" s="85">
        <f>SUM(E127:E151)</f>
        <v>540</v>
      </c>
      <c r="F152" s="94"/>
      <c r="G152" s="85">
        <f>SUM(G127:G151)</f>
        <v>927947</v>
      </c>
      <c r="H152" s="85">
        <f>SUM(H127:H151)</f>
        <v>766757.57314585964</v>
      </c>
      <c r="I152" s="85">
        <f>SUM(I127:I151)</f>
        <v>-789.76030034023779</v>
      </c>
      <c r="J152" s="85">
        <f>SUM(J127:J151)</f>
        <v>-808.02158823433365</v>
      </c>
      <c r="K152" s="244"/>
      <c r="L152" s="85"/>
      <c r="M152" s="85"/>
      <c r="N152" s="244"/>
      <c r="O152" s="212"/>
      <c r="P152" s="85">
        <f>SUM(P127:P151)</f>
        <v>23365.255384615382</v>
      </c>
      <c r="Q152" s="85">
        <f>SUM(Q127:Q151)</f>
        <v>23178.78886425362</v>
      </c>
      <c r="R152" s="85">
        <f>SUM(R127:R151)</f>
        <v>-186.46652036176832</v>
      </c>
      <c r="S152" s="84">
        <f>R152/P152</f>
        <v>-7.980504269794771E-3</v>
      </c>
      <c r="T152" s="241"/>
    </row>
    <row r="153" spans="1:20">
      <c r="D153" s="116"/>
      <c r="E153" s="276"/>
      <c r="P153" s="117"/>
      <c r="Q153" s="117"/>
      <c r="R153" s="64"/>
      <c r="S153" s="118"/>
    </row>
    <row r="154" spans="1:20">
      <c r="D154" s="116"/>
      <c r="E154" s="116"/>
      <c r="P154" s="117"/>
      <c r="Q154" s="117"/>
      <c r="R154" s="64"/>
      <c r="S154" s="118"/>
    </row>
    <row r="155" spans="1:20">
      <c r="D155" s="116"/>
      <c r="E155" s="116"/>
      <c r="P155" s="117"/>
      <c r="Q155" s="117"/>
      <c r="R155" s="64"/>
      <c r="S155" s="118"/>
    </row>
    <row r="156" spans="1:20">
      <c r="D156" s="116"/>
      <c r="E156" s="116"/>
      <c r="P156" s="117"/>
      <c r="Q156" s="117"/>
      <c r="R156" s="64"/>
      <c r="S156" s="118"/>
    </row>
    <row r="157" spans="1:20">
      <c r="D157" s="116"/>
      <c r="E157" s="116"/>
      <c r="P157" s="117"/>
      <c r="Q157" s="117"/>
      <c r="R157" s="64"/>
      <c r="S157" s="118"/>
    </row>
    <row r="158" spans="1:20">
      <c r="P158" s="117"/>
      <c r="Q158" s="117"/>
      <c r="R158" s="64"/>
      <c r="S158" s="118"/>
    </row>
    <row r="159" spans="1:20">
      <c r="P159" s="117"/>
      <c r="Q159" s="117"/>
      <c r="R159" s="64"/>
      <c r="S159" s="118"/>
    </row>
    <row r="160" spans="1:20">
      <c r="Q160" s="134"/>
      <c r="R160" s="64"/>
      <c r="S160" s="118"/>
    </row>
    <row r="161" spans="16:19">
      <c r="P161" s="117"/>
      <c r="Q161" s="134"/>
      <c r="R161" s="96"/>
      <c r="S161" s="118"/>
    </row>
    <row r="162" spans="16:19">
      <c r="R162" s="96"/>
      <c r="S162" s="118"/>
    </row>
    <row r="163" spans="16:19">
      <c r="P163" s="52"/>
      <c r="R163" s="96"/>
      <c r="S163" s="118"/>
    </row>
    <row r="164" spans="16:19">
      <c r="P164" s="52"/>
      <c r="R164" s="96"/>
      <c r="S164" s="118"/>
    </row>
    <row r="165" spans="16:19">
      <c r="R165" s="96"/>
      <c r="S165" s="118"/>
    </row>
    <row r="166" spans="16:19">
      <c r="P166" s="52"/>
    </row>
    <row r="167" spans="16:19">
      <c r="P167" s="36"/>
    </row>
    <row r="168" spans="16:19">
      <c r="P168" s="54"/>
    </row>
    <row r="169" spans="16:19">
      <c r="P169" s="54"/>
    </row>
    <row r="170" spans="16:19">
      <c r="P170" s="54"/>
    </row>
  </sheetData>
  <mergeCells count="8">
    <mergeCell ref="A127:A151"/>
    <mergeCell ref="A85:A88"/>
    <mergeCell ref="A7:A19"/>
    <mergeCell ref="B73:D73"/>
    <mergeCell ref="I73:L73"/>
    <mergeCell ref="A42:A67"/>
    <mergeCell ref="A21:A40"/>
    <mergeCell ref="A90:A125"/>
  </mergeCells>
  <hyperlinks>
    <hyperlink ref="L80" r:id="rId1"/>
  </hyperlinks>
  <pageMargins left="0.25" right="0.25" top="0.75" bottom="0.75" header="0.3" footer="0.3"/>
  <pageSetup scale="50" fitToHeight="4" pageOrder="overThenDown" orientation="landscape" r:id="rId2"/>
  <headerFooter>
    <oddFooter>&amp;L&amp;F - &amp;A&amp;R&amp;P of &amp;N</oddFooter>
  </headerFooter>
  <rowBreaks count="3" manualBreakCount="3">
    <brk id="40" max="16" man="1"/>
    <brk id="83" max="16" man="1"/>
    <brk id="125" max="16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showGridLines="0" zoomScaleNormal="100" workbookViewId="0">
      <pane xSplit="3" ySplit="1" topLeftCell="D6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/>
  <cols>
    <col min="1" max="1" width="7.5703125" style="55" customWidth="1"/>
    <col min="2" max="2" width="29.7109375" style="55" hidden="1" customWidth="1"/>
    <col min="3" max="3" width="29.7109375" style="55" customWidth="1"/>
    <col min="4" max="5" width="11.140625" hidden="1" customWidth="1"/>
    <col min="6" max="6" width="11.140625" customWidth="1"/>
    <col min="7" max="7" width="11.140625" hidden="1" customWidth="1"/>
    <col min="8" max="8" width="10" hidden="1" customWidth="1"/>
    <col min="9" max="9" width="10.140625" hidden="1" customWidth="1"/>
    <col min="10" max="10" width="13.140625" customWidth="1"/>
    <col min="14" max="15" width="9.140625" style="1"/>
  </cols>
  <sheetData>
    <row r="1" spans="1:17" ht="60">
      <c r="A1" s="121" t="s">
        <v>13</v>
      </c>
      <c r="B1" s="121" t="s">
        <v>185</v>
      </c>
      <c r="C1" s="121" t="s">
        <v>822</v>
      </c>
      <c r="D1" s="121" t="s">
        <v>832</v>
      </c>
      <c r="E1" s="121" t="s">
        <v>8</v>
      </c>
      <c r="F1" s="121" t="s">
        <v>833</v>
      </c>
      <c r="G1" s="121" t="s">
        <v>834</v>
      </c>
      <c r="H1" s="121" t="s">
        <v>837</v>
      </c>
      <c r="I1" s="121" t="s">
        <v>8</v>
      </c>
      <c r="J1" s="121" t="s">
        <v>838</v>
      </c>
      <c r="K1" s="121" t="s">
        <v>835</v>
      </c>
      <c r="N1" s="1" t="s">
        <v>833</v>
      </c>
      <c r="O1" s="1" t="s">
        <v>838</v>
      </c>
    </row>
    <row r="2" spans="1:17">
      <c r="A2" s="281">
        <v>23</v>
      </c>
      <c r="B2" s="282" t="s">
        <v>186</v>
      </c>
      <c r="C2" s="282" t="str">
        <f>VLOOKUP(B2,Mapping!$D$2:$H$157,5,FALSE)</f>
        <v>20 Gallon Cart MG</v>
      </c>
      <c r="D2" s="302">
        <f>SUMIFS('DF Calculation'!$K:$K,'DF Calculation'!$B:$B,'To Populate Tariff'!$A2,'DF Calculation'!$C:$C,'To Populate Tariff'!$B2)</f>
        <v>10.11</v>
      </c>
      <c r="E2" s="302">
        <f>SUMIFS('DF Calculation'!$M:$M,'DF Calculation'!$B:$B,'To Populate Tariff'!$A2,'DF Calculation'!$C:$C,'To Populate Tariff'!$B2)</f>
        <v>-1.7415252988248975E-2</v>
      </c>
      <c r="F2" s="343">
        <f>SUMIFS('DF Calculation'!$N:$N,'DF Calculation'!$B:$B,'To Populate Tariff'!$A2,'DF Calculation'!$C:$C,'To Populate Tariff'!$B2)</f>
        <v>10.092584747011751</v>
      </c>
      <c r="G2" s="315" t="str">
        <f>IF(ABS(F2-D2-E2)&lt;0.01,"ok","Error")</f>
        <v>ok</v>
      </c>
      <c r="H2" s="302">
        <f>SUMIFS('DF Calculation'!$L:$L,'DF Calculation'!$B:$B,'To Populate Tariff'!$A2,'DF Calculation'!$C:$C,'To Populate Tariff'!$B2)</f>
        <v>10.06</v>
      </c>
      <c r="I2" s="302">
        <f>SUMIFS('DF Calculation'!$M:$M,'DF Calculation'!$B:$B,'To Populate Tariff'!$A2,'DF Calculation'!$C:$C,'To Populate Tariff'!$B2)</f>
        <v>-1.7415252988248975E-2</v>
      </c>
      <c r="J2" s="343">
        <f>SUMIFS('DF Calculation'!$O:$O,'DF Calculation'!$B:$B,'To Populate Tariff'!$A2,'DF Calculation'!$C:$C,'To Populate Tariff'!$B2)</f>
        <v>10.042584747011752</v>
      </c>
      <c r="K2" s="315" t="str">
        <f>IF(ABS(J2-H2-I2)&lt;0.01,"ok","Error")</f>
        <v>ok</v>
      </c>
      <c r="N2" s="1">
        <v>10.092142276132831</v>
      </c>
      <c r="O2" s="1">
        <v>10.042142276132832</v>
      </c>
      <c r="P2" s="310">
        <f>F2-N2</f>
        <v>4.4247087891946535E-4</v>
      </c>
      <c r="Q2" s="310">
        <f>J2-O2</f>
        <v>4.4247087891946535E-4</v>
      </c>
    </row>
    <row r="3" spans="1:17">
      <c r="A3" s="281">
        <v>23</v>
      </c>
      <c r="B3" s="282" t="s">
        <v>187</v>
      </c>
      <c r="C3" s="282" t="str">
        <f>VLOOKUP(B3,Mapping!$D$2:$H$157,5,FALSE)</f>
        <v>20 Gallon Cart WG-NR</v>
      </c>
      <c r="D3" s="302">
        <f>SUMIFS('DF Calculation'!K:K,'DF Calculation'!B:B,'To Populate Tariff'!A3,'DF Calculation'!C:C,'To Populate Tariff'!B3)</f>
        <v>17.760000000000002</v>
      </c>
      <c r="E3" s="302">
        <f>SUMIFS('DF Calculation'!M:M,'DF Calculation'!B:B,'To Populate Tariff'!A3,'DF Calculation'!C:C,'To Populate Tariff'!B3)</f>
        <v>-7.5466096282412229E-2</v>
      </c>
      <c r="F3" s="343">
        <f>SUMIFS('DF Calculation'!N:N,'DF Calculation'!B:B,'To Populate Tariff'!A3,'DF Calculation'!C:C,'To Populate Tariff'!B3)</f>
        <v>17.68453390371759</v>
      </c>
      <c r="G3" s="315" t="str">
        <f>IF(ABS(F3-D3-E3)&lt;0.01,"ok","Error")</f>
        <v>ok</v>
      </c>
      <c r="H3" s="302">
        <f>SUMIFS('DF Calculation'!$L:$L,'DF Calculation'!$B:$B,'To Populate Tariff'!$A3,'DF Calculation'!$C:$C,'To Populate Tariff'!$B3)</f>
        <v>17.68</v>
      </c>
      <c r="I3" s="302">
        <f>SUMIFS('DF Calculation'!$M:$M,'DF Calculation'!$B:$B,'To Populate Tariff'!$A3,'DF Calculation'!$C:$C,'To Populate Tariff'!$B3)</f>
        <v>-7.5466096282412229E-2</v>
      </c>
      <c r="J3" s="343">
        <f>SUMIFS('DF Calculation'!$O:$O,'DF Calculation'!$B:$B,'To Populate Tariff'!$A3,'DF Calculation'!$C:$C,'To Populate Tariff'!$B3)</f>
        <v>17.604533903717588</v>
      </c>
      <c r="K3" s="315" t="str">
        <f t="shared" ref="K3:K66" si="0">IF(ABS(J3-H3-I3)&lt;0.01,"ok","Error")</f>
        <v>ok</v>
      </c>
      <c r="N3" s="1">
        <v>17.682616529908941</v>
      </c>
      <c r="O3" s="1">
        <v>17.602616529908939</v>
      </c>
      <c r="P3" s="310">
        <f t="shared" ref="P3:P66" si="1">F3-N3</f>
        <v>1.917373808648648E-3</v>
      </c>
      <c r="Q3" s="310">
        <f t="shared" ref="Q3:Q66" si="2">J3-O3</f>
        <v>1.917373808648648E-3</v>
      </c>
    </row>
    <row r="4" spans="1:17">
      <c r="A4" s="281">
        <v>23</v>
      </c>
      <c r="B4" s="282" t="s">
        <v>188</v>
      </c>
      <c r="C4" s="282" t="str">
        <f>VLOOKUP(B4,Mapping!$D$2:$H$157,5,FALSE)</f>
        <v>20 Gallon Cart WG-R</v>
      </c>
      <c r="D4" s="302">
        <f>SUMIFS('DF Calculation'!K:K,'DF Calculation'!B:B,'To Populate Tariff'!A4,'DF Calculation'!C:C,'To Populate Tariff'!B4)</f>
        <v>16.760000000000002</v>
      </c>
      <c r="E4" s="302">
        <f>SUMIFS('DF Calculation'!M:M,'DF Calculation'!B:B,'To Populate Tariff'!A4,'DF Calculation'!C:C,'To Populate Tariff'!B4)</f>
        <v>-7.5466096282412229E-2</v>
      </c>
      <c r="F4" s="343">
        <f>SUMIFS('DF Calculation'!N:N,'DF Calculation'!B:B,'To Populate Tariff'!A4,'DF Calculation'!C:C,'To Populate Tariff'!B4)</f>
        <v>16.68453390371759</v>
      </c>
      <c r="G4" s="316" t="str">
        <f t="shared" ref="G4:G67" si="3">IF(ABS(F4-D4-E4)&lt;0.01,"ok","Error")</f>
        <v>ok</v>
      </c>
      <c r="H4" s="302">
        <f>SUMIFS('DF Calculation'!$L:$L,'DF Calculation'!$B:$B,'To Populate Tariff'!$A4,'DF Calculation'!$C:$C,'To Populate Tariff'!$B4)</f>
        <v>16.68</v>
      </c>
      <c r="I4" s="302">
        <f>SUMIFS('DF Calculation'!$M:$M,'DF Calculation'!$B:$B,'To Populate Tariff'!$A4,'DF Calculation'!$C:$C,'To Populate Tariff'!$B4)</f>
        <v>-7.5466096282412229E-2</v>
      </c>
      <c r="J4" s="343">
        <f>SUMIFS('DF Calculation'!$O:$O,'DF Calculation'!$B:$B,'To Populate Tariff'!$A4,'DF Calculation'!$C:$C,'To Populate Tariff'!$B4)</f>
        <v>16.604533903717588</v>
      </c>
      <c r="K4" s="316" t="str">
        <f t="shared" si="0"/>
        <v>ok</v>
      </c>
      <c r="N4" s="1">
        <v>16.682616529908941</v>
      </c>
      <c r="O4" s="1">
        <v>16.602616529908939</v>
      </c>
      <c r="P4" s="310">
        <f t="shared" si="1"/>
        <v>1.917373808648648E-3</v>
      </c>
      <c r="Q4" s="310">
        <f t="shared" si="2"/>
        <v>1.917373808648648E-3</v>
      </c>
    </row>
    <row r="5" spans="1:17">
      <c r="A5" s="281">
        <v>23</v>
      </c>
      <c r="B5" s="282" t="s">
        <v>189</v>
      </c>
      <c r="C5" s="282" t="str">
        <f>VLOOKUP(B5,Mapping!$D$2:$H$157,5,FALSE)</f>
        <v>35 Gallon Cart MG</v>
      </c>
      <c r="D5" s="302">
        <f>SUMIFS('DF Calculation'!K:K,'DF Calculation'!B:B,'To Populate Tariff'!A5,'DF Calculation'!C:C,'To Populate Tariff'!B5)</f>
        <v>12.62</v>
      </c>
      <c r="E5" s="302">
        <f>SUMIFS('DF Calculation'!M:M,'DF Calculation'!B:B,'To Populate Tariff'!A5,'DF Calculation'!C:C,'To Populate Tariff'!B5)</f>
        <v>-2.9605930080023261E-2</v>
      </c>
      <c r="F5" s="343">
        <f>SUMIFS('DF Calculation'!N:N,'DF Calculation'!B:B,'To Populate Tariff'!A5,'DF Calculation'!C:C,'To Populate Tariff'!B5)</f>
        <v>12.590394069919975</v>
      </c>
      <c r="G5" s="316" t="str">
        <f t="shared" si="3"/>
        <v>ok</v>
      </c>
      <c r="H5" s="302">
        <f>SUMIFS('DF Calculation'!$L:$L,'DF Calculation'!$B:$B,'To Populate Tariff'!$A5,'DF Calculation'!$C:$C,'To Populate Tariff'!$B5)</f>
        <v>12.56</v>
      </c>
      <c r="I5" s="302">
        <f>SUMIFS('DF Calculation'!$M:$M,'DF Calculation'!$B:$B,'To Populate Tariff'!$A5,'DF Calculation'!$C:$C,'To Populate Tariff'!$B5)</f>
        <v>-2.9605930080023261E-2</v>
      </c>
      <c r="J5" s="343">
        <f>SUMIFS('DF Calculation'!$O:$O,'DF Calculation'!$B:$B,'To Populate Tariff'!$A5,'DF Calculation'!$C:$C,'To Populate Tariff'!$B5)</f>
        <v>12.530394069919977</v>
      </c>
      <c r="K5" s="316" t="str">
        <f t="shared" si="0"/>
        <v>ok</v>
      </c>
      <c r="N5" s="1">
        <v>12.589641869425813</v>
      </c>
      <c r="O5" s="1">
        <v>12.529641869425815</v>
      </c>
      <c r="P5" s="310">
        <f t="shared" si="1"/>
        <v>7.5220049416202528E-4</v>
      </c>
      <c r="Q5" s="310">
        <f t="shared" si="2"/>
        <v>7.5220049416202528E-4</v>
      </c>
    </row>
    <row r="6" spans="1:17">
      <c r="A6" s="281">
        <v>23</v>
      </c>
      <c r="B6" s="282" t="s">
        <v>190</v>
      </c>
      <c r="C6" s="282" t="str">
        <f>VLOOKUP(B6,Mapping!$D$2:$H$157,5,FALSE)</f>
        <v>35 Gallon Cart WG-NR</v>
      </c>
      <c r="D6" s="302">
        <f>SUMIFS('DF Calculation'!K:K,'DF Calculation'!B:B,'To Populate Tariff'!A6,'DF Calculation'!C:C,'To Populate Tariff'!B6)</f>
        <v>22.36</v>
      </c>
      <c r="E6" s="302">
        <f>SUMIFS('DF Calculation'!M:M,'DF Calculation'!B:B,'To Populate Tariff'!A6,'DF Calculation'!C:C,'To Populate Tariff'!B6)</f>
        <v>-0.1282923636801008</v>
      </c>
      <c r="F6" s="343">
        <f>SUMIFS('DF Calculation'!N:N,'DF Calculation'!B:B,'To Populate Tariff'!A6,'DF Calculation'!C:C,'To Populate Tariff'!B6)</f>
        <v>22.2317076363199</v>
      </c>
      <c r="G6" s="316" t="str">
        <f t="shared" si="3"/>
        <v>ok</v>
      </c>
      <c r="H6" s="302">
        <f>SUMIFS('DF Calculation'!$L:$L,'DF Calculation'!$B:$B,'To Populate Tariff'!$A6,'DF Calculation'!$C:$C,'To Populate Tariff'!$B6)</f>
        <v>22.26</v>
      </c>
      <c r="I6" s="302">
        <f>SUMIFS('DF Calculation'!$M:$M,'DF Calculation'!$B:$B,'To Populate Tariff'!$A6,'DF Calculation'!$C:$C,'To Populate Tariff'!$B6)</f>
        <v>-0.1282923636801008</v>
      </c>
      <c r="J6" s="343">
        <f>SUMIFS('DF Calculation'!$O:$O,'DF Calculation'!$B:$B,'To Populate Tariff'!$A6,'DF Calculation'!$C:$C,'To Populate Tariff'!$B6)</f>
        <v>22.131707636319902</v>
      </c>
      <c r="K6" s="316" t="str">
        <f t="shared" si="0"/>
        <v>ok</v>
      </c>
      <c r="N6" s="1">
        <v>22.228448100845199</v>
      </c>
      <c r="O6" s="1">
        <v>22.128448100845201</v>
      </c>
      <c r="P6" s="310">
        <f t="shared" si="1"/>
        <v>3.2595354747009253E-3</v>
      </c>
      <c r="Q6" s="310">
        <f t="shared" si="2"/>
        <v>3.2595354747009253E-3</v>
      </c>
    </row>
    <row r="7" spans="1:17">
      <c r="A7" s="281">
        <v>23</v>
      </c>
      <c r="B7" s="282" t="s">
        <v>191</v>
      </c>
      <c r="C7" s="282" t="str">
        <f>VLOOKUP(B7,Mapping!$D$2:$H$157,5,FALSE)</f>
        <v>35 Gallon Cart WG-R</v>
      </c>
      <c r="D7" s="302">
        <f>SUMIFS('DF Calculation'!K:K,'DF Calculation'!B:B,'To Populate Tariff'!A7,'DF Calculation'!C:C,'To Populate Tariff'!B7)</f>
        <v>21.36</v>
      </c>
      <c r="E7" s="302">
        <f>SUMIFS('DF Calculation'!M:M,'DF Calculation'!B:B,'To Populate Tariff'!A7,'DF Calculation'!C:C,'To Populate Tariff'!B7)</f>
        <v>-0.1282923636801008</v>
      </c>
      <c r="F7" s="343">
        <f>SUMIFS('DF Calculation'!N:N,'DF Calculation'!B:B,'To Populate Tariff'!A7,'DF Calculation'!C:C,'To Populate Tariff'!B7)</f>
        <v>21.2317076363199</v>
      </c>
      <c r="G7" s="316" t="str">
        <f t="shared" si="3"/>
        <v>ok</v>
      </c>
      <c r="H7" s="302">
        <f>SUMIFS('DF Calculation'!$L:$L,'DF Calculation'!$B:$B,'To Populate Tariff'!$A7,'DF Calculation'!$C:$C,'To Populate Tariff'!$B7)</f>
        <v>21.26</v>
      </c>
      <c r="I7" s="302">
        <f>SUMIFS('DF Calculation'!$M:$M,'DF Calculation'!$B:$B,'To Populate Tariff'!$A7,'DF Calculation'!$C:$C,'To Populate Tariff'!$B7)</f>
        <v>-0.1282923636801008</v>
      </c>
      <c r="J7" s="343">
        <f>SUMIFS('DF Calculation'!$O:$O,'DF Calculation'!$B:$B,'To Populate Tariff'!$A7,'DF Calculation'!$C:$C,'To Populate Tariff'!$B7)</f>
        <v>21.131707636319902</v>
      </c>
      <c r="K7" s="316" t="str">
        <f t="shared" si="0"/>
        <v>ok</v>
      </c>
      <c r="N7" s="1">
        <v>21.228448100845199</v>
      </c>
      <c r="O7" s="1">
        <v>21.128448100845201</v>
      </c>
      <c r="P7" s="310">
        <f t="shared" si="1"/>
        <v>3.2595354747009253E-3</v>
      </c>
      <c r="Q7" s="310">
        <f t="shared" si="2"/>
        <v>3.2595354747009253E-3</v>
      </c>
    </row>
    <row r="8" spans="1:17">
      <c r="A8" s="281">
        <v>23</v>
      </c>
      <c r="B8" s="282" t="s">
        <v>192</v>
      </c>
      <c r="C8" s="282" t="str">
        <f>VLOOKUP(B8,Mapping!$D$2:$H$157,5,FALSE)</f>
        <v>65 Gallon Cart  MG</v>
      </c>
      <c r="D8" s="302">
        <f>SUMIFS('DF Calculation'!K:K,'DF Calculation'!B:B,'To Populate Tariff'!A8,'DF Calculation'!C:C,'To Populate Tariff'!B8)</f>
        <v>18.850000000000001</v>
      </c>
      <c r="E8" s="302">
        <f>SUMIFS('DF Calculation'!M:M,'DF Calculation'!B:B,'To Populate Tariff'!A8,'DF Calculation'!C:C,'To Populate Tariff'!B8)</f>
        <v>-4.0925844522385103E-2</v>
      </c>
      <c r="F8" s="343">
        <f>SUMIFS('DF Calculation'!N:N,'DF Calculation'!B:B,'To Populate Tariff'!A8,'DF Calculation'!C:C,'To Populate Tariff'!B8)</f>
        <v>18.809074155477617</v>
      </c>
      <c r="G8" s="316" t="str">
        <f t="shared" si="3"/>
        <v>ok</v>
      </c>
      <c r="H8" s="302">
        <f>SUMIFS('DF Calculation'!$L:$L,'DF Calculation'!$B:$B,'To Populate Tariff'!$A8,'DF Calculation'!$C:$C,'To Populate Tariff'!$B8)</f>
        <v>18.760000000000002</v>
      </c>
      <c r="I8" s="302">
        <f>SUMIFS('DF Calculation'!$M:$M,'DF Calculation'!$B:$B,'To Populate Tariff'!$A8,'DF Calculation'!$C:$C,'To Populate Tariff'!$B8)</f>
        <v>-4.0925844522385103E-2</v>
      </c>
      <c r="J8" s="343">
        <f>SUMIFS('DF Calculation'!$O:$O,'DF Calculation'!$B:$B,'To Populate Tariff'!$A8,'DF Calculation'!$C:$C,'To Populate Tariff'!$B8)</f>
        <v>18.719074155477617</v>
      </c>
      <c r="K8" s="316" t="str">
        <f t="shared" si="0"/>
        <v>ok</v>
      </c>
      <c r="N8" s="1">
        <v>18.808034348912159</v>
      </c>
      <c r="O8" s="1">
        <v>18.718034348912159</v>
      </c>
      <c r="P8" s="310">
        <f t="shared" si="1"/>
        <v>1.0398065654584343E-3</v>
      </c>
      <c r="Q8" s="310">
        <f t="shared" si="2"/>
        <v>1.0398065654584343E-3</v>
      </c>
    </row>
    <row r="9" spans="1:17">
      <c r="A9" s="281">
        <v>23</v>
      </c>
      <c r="B9" s="282" t="s">
        <v>193</v>
      </c>
      <c r="C9" s="282" t="str">
        <f>VLOOKUP(B9,Mapping!$D$2:$H$157,5,FALSE)</f>
        <v>65 Gallon Cart WG-NR</v>
      </c>
      <c r="D9" s="302">
        <f>SUMIFS('DF Calculation'!K:K,'DF Calculation'!B:B,'To Populate Tariff'!A9,'DF Calculation'!C:C,'To Populate Tariff'!B9)</f>
        <v>33.340000000000003</v>
      </c>
      <c r="E9" s="302">
        <f>SUMIFS('DF Calculation'!M:M,'DF Calculation'!B:B,'To Populate Tariff'!A9,'DF Calculation'!C:C,'To Populate Tariff'!B9)</f>
        <v>-0.17734532626366878</v>
      </c>
      <c r="F9" s="343">
        <f>SUMIFS('DF Calculation'!N:N,'DF Calculation'!B:B,'To Populate Tariff'!A9,'DF Calculation'!C:C,'To Populate Tariff'!B9)</f>
        <v>33.162654673736334</v>
      </c>
      <c r="G9" s="316" t="str">
        <f t="shared" si="3"/>
        <v>ok</v>
      </c>
      <c r="H9" s="302">
        <f>SUMIFS('DF Calculation'!$L:$L,'DF Calculation'!$B:$B,'To Populate Tariff'!$A9,'DF Calculation'!$C:$C,'To Populate Tariff'!$B9)</f>
        <v>33.19</v>
      </c>
      <c r="I9" s="302">
        <f>SUMIFS('DF Calculation'!$M:$M,'DF Calculation'!$B:$B,'To Populate Tariff'!$A9,'DF Calculation'!$C:$C,'To Populate Tariff'!$B9)</f>
        <v>-0.17734532626366878</v>
      </c>
      <c r="J9" s="343">
        <f>SUMIFS('DF Calculation'!$O:$O,'DF Calculation'!$B:$B,'To Populate Tariff'!$A9,'DF Calculation'!$C:$C,'To Populate Tariff'!$B9)</f>
        <v>33.012654673736328</v>
      </c>
      <c r="K9" s="316" t="str">
        <f t="shared" si="0"/>
        <v>ok</v>
      </c>
      <c r="N9" s="1">
        <v>33.158148845286014</v>
      </c>
      <c r="O9" s="1">
        <v>33.008148845286009</v>
      </c>
      <c r="P9" s="310">
        <f t="shared" si="1"/>
        <v>4.505828450319882E-3</v>
      </c>
      <c r="Q9" s="310">
        <f t="shared" si="2"/>
        <v>4.505828450319882E-3</v>
      </c>
    </row>
    <row r="10" spans="1:17">
      <c r="A10" s="281">
        <v>23</v>
      </c>
      <c r="B10" s="282" t="s">
        <v>194</v>
      </c>
      <c r="C10" s="282" t="str">
        <f>VLOOKUP(B10,Mapping!$D$2:$H$157,5,FALSE)</f>
        <v>65 Gallon Cart WG-R</v>
      </c>
      <c r="D10" s="302">
        <f>SUMIFS('DF Calculation'!K:K,'DF Calculation'!B:B,'To Populate Tariff'!A10,'DF Calculation'!C:C,'To Populate Tariff'!B10)</f>
        <v>31.34</v>
      </c>
      <c r="E10" s="302">
        <f>SUMIFS('DF Calculation'!M:M,'DF Calculation'!B:B,'To Populate Tariff'!A10,'DF Calculation'!C:C,'To Populate Tariff'!B10)</f>
        <v>-0.17734532626366875</v>
      </c>
      <c r="F10" s="343">
        <f>SUMIFS('DF Calculation'!N:N,'DF Calculation'!B:B,'To Populate Tariff'!A10,'DF Calculation'!C:C,'To Populate Tariff'!B10)</f>
        <v>31.162654673736331</v>
      </c>
      <c r="G10" s="316" t="str">
        <f t="shared" si="3"/>
        <v>ok</v>
      </c>
      <c r="H10" s="302">
        <f>SUMIFS('DF Calculation'!$L:$L,'DF Calculation'!$B:$B,'To Populate Tariff'!$A10,'DF Calculation'!$C:$C,'To Populate Tariff'!$B10)</f>
        <v>31.19</v>
      </c>
      <c r="I10" s="302">
        <f>SUMIFS('DF Calculation'!$M:$M,'DF Calculation'!$B:$B,'To Populate Tariff'!$A10,'DF Calculation'!$C:$C,'To Populate Tariff'!$B10)</f>
        <v>-0.17734532626366875</v>
      </c>
      <c r="J10" s="343">
        <f>SUMIFS('DF Calculation'!$O:$O,'DF Calculation'!$B:$B,'To Populate Tariff'!$A10,'DF Calculation'!$C:$C,'To Populate Tariff'!$B10)</f>
        <v>31.012654673736332</v>
      </c>
      <c r="K10" s="316" t="str">
        <f t="shared" si="0"/>
        <v>ok</v>
      </c>
      <c r="N10" s="1">
        <v>31.158148845286011</v>
      </c>
      <c r="O10" s="1">
        <v>31.008148845286012</v>
      </c>
      <c r="P10" s="310">
        <f t="shared" si="1"/>
        <v>4.505828450319882E-3</v>
      </c>
      <c r="Q10" s="310">
        <f t="shared" si="2"/>
        <v>4.505828450319882E-3</v>
      </c>
    </row>
    <row r="11" spans="1:17">
      <c r="A11" s="281">
        <v>23</v>
      </c>
      <c r="B11" s="282" t="s">
        <v>195</v>
      </c>
      <c r="C11" s="282" t="str">
        <f>VLOOKUP(B11,Mapping!$D$2:$H$157,5,FALSE)</f>
        <v>95 Gallon Cart MG</v>
      </c>
      <c r="D11" s="302">
        <f>SUMIFS('DF Calculation'!K:K,'DF Calculation'!B:B,'To Populate Tariff'!A11,'DF Calculation'!C:C,'To Populate Tariff'!B11)</f>
        <v>26.44</v>
      </c>
      <c r="E11" s="302">
        <f>SUMIFS('DF Calculation'!M:M,'DF Calculation'!B:B,'To Populate Tariff'!A11,'DF Calculation'!C:C,'To Populate Tariff'!B11)</f>
        <v>-5.9211860160046523E-2</v>
      </c>
      <c r="F11" s="343">
        <f>SUMIFS('DF Calculation'!N:N,'DF Calculation'!B:B,'To Populate Tariff'!A11,'DF Calculation'!C:C,'To Populate Tariff'!B11)</f>
        <v>26.380788139839954</v>
      </c>
      <c r="G11" s="316" t="str">
        <f t="shared" si="3"/>
        <v>ok</v>
      </c>
      <c r="H11" s="302">
        <f>SUMIFS('DF Calculation'!$L:$L,'DF Calculation'!$B:$B,'To Populate Tariff'!$A11,'DF Calculation'!$C:$C,'To Populate Tariff'!$B11)</f>
        <v>26.32</v>
      </c>
      <c r="I11" s="302">
        <f>SUMIFS('DF Calculation'!$M:$M,'DF Calculation'!$B:$B,'To Populate Tariff'!$A11,'DF Calculation'!$C:$C,'To Populate Tariff'!$B11)</f>
        <v>-5.9211860160046523E-2</v>
      </c>
      <c r="J11" s="343">
        <f>SUMIFS('DF Calculation'!$O:$O,'DF Calculation'!$B:$B,'To Populate Tariff'!$A11,'DF Calculation'!$C:$C,'To Populate Tariff'!$B11)</f>
        <v>26.260788139839953</v>
      </c>
      <c r="K11" s="316" t="str">
        <f t="shared" si="0"/>
        <v>ok</v>
      </c>
      <c r="N11" s="1">
        <v>26.37928373885163</v>
      </c>
      <c r="O11" s="1">
        <v>26.259283738851629</v>
      </c>
      <c r="P11" s="310">
        <f t="shared" si="1"/>
        <v>1.5044009883240506E-3</v>
      </c>
      <c r="Q11" s="310">
        <f t="shared" si="2"/>
        <v>1.5044009883240506E-3</v>
      </c>
    </row>
    <row r="12" spans="1:17">
      <c r="A12" s="281">
        <v>23</v>
      </c>
      <c r="B12" s="282" t="s">
        <v>196</v>
      </c>
      <c r="C12" s="282" t="str">
        <f>VLOOKUP(B12,Mapping!$D$2:$H$157,5,FALSE)</f>
        <v>95 Gallon Cart WG-NR</v>
      </c>
      <c r="D12" s="302">
        <f>SUMIFS('DF Calculation'!K:K,'DF Calculation'!B:B,'To Populate Tariff'!A12,'DF Calculation'!C:C,'To Populate Tariff'!B12)</f>
        <v>46.67</v>
      </c>
      <c r="E12" s="302">
        <f>SUMIFS('DF Calculation'!M:M,'DF Calculation'!B:B,'To Populate Tariff'!A12,'DF Calculation'!C:C,'To Populate Tariff'!B12)</f>
        <v>-0.25658472736020155</v>
      </c>
      <c r="F12" s="343">
        <f>SUMIFS('DF Calculation'!N:N,'DF Calculation'!B:B,'To Populate Tariff'!A12,'DF Calculation'!C:C,'To Populate Tariff'!B12)</f>
        <v>46.413415272639803</v>
      </c>
      <c r="G12" s="316" t="str">
        <f t="shared" si="3"/>
        <v>ok</v>
      </c>
      <c r="H12" s="302">
        <f>SUMIFS('DF Calculation'!$L:$L,'DF Calculation'!$B:$B,'To Populate Tariff'!$A12,'DF Calculation'!$C:$C,'To Populate Tariff'!$B12)</f>
        <v>46.47</v>
      </c>
      <c r="I12" s="302">
        <f>SUMIFS('DF Calculation'!$M:$M,'DF Calculation'!$B:$B,'To Populate Tariff'!$A12,'DF Calculation'!$C:$C,'To Populate Tariff'!$B12)</f>
        <v>-0.25658472736020155</v>
      </c>
      <c r="J12" s="343">
        <f>SUMIFS('DF Calculation'!$O:$O,'DF Calculation'!$B:$B,'To Populate Tariff'!$A12,'DF Calculation'!$C:$C,'To Populate Tariff'!$B12)</f>
        <v>46.2134152726398</v>
      </c>
      <c r="K12" s="316" t="str">
        <f t="shared" si="0"/>
        <v>ok</v>
      </c>
      <c r="N12" s="341">
        <v>46.406896201690401</v>
      </c>
      <c r="O12" s="341">
        <v>46.206896201690398</v>
      </c>
      <c r="P12" s="342">
        <f t="shared" si="1"/>
        <v>6.5190709494018506E-3</v>
      </c>
      <c r="Q12" s="342">
        <f t="shared" si="2"/>
        <v>6.5190709494018506E-3</v>
      </c>
    </row>
    <row r="13" spans="1:17">
      <c r="A13" s="281">
        <v>23</v>
      </c>
      <c r="B13" s="282" t="s">
        <v>197</v>
      </c>
      <c r="C13" s="282" t="str">
        <f>VLOOKUP(B13,Mapping!$D$2:$H$157,5,FALSE)</f>
        <v>95 Gallon Cart WG-R</v>
      </c>
      <c r="D13" s="302">
        <f>SUMIFS('DF Calculation'!K:K,'DF Calculation'!B:B,'To Populate Tariff'!A13,'DF Calculation'!C:C,'To Populate Tariff'!B13)</f>
        <v>43.67</v>
      </c>
      <c r="E13" s="302">
        <f>SUMIFS('DF Calculation'!M:M,'DF Calculation'!B:B,'To Populate Tariff'!A13,'DF Calculation'!C:C,'To Populate Tariff'!B13)</f>
        <v>-0.2565847273602016</v>
      </c>
      <c r="F13" s="343">
        <f>SUMIFS('DF Calculation'!N:N,'DF Calculation'!B:B,'To Populate Tariff'!A13,'DF Calculation'!C:C,'To Populate Tariff'!B13)</f>
        <v>43.413415272639803</v>
      </c>
      <c r="G13" s="316" t="str">
        <f t="shared" si="3"/>
        <v>ok</v>
      </c>
      <c r="H13" s="302">
        <f>SUMIFS('DF Calculation'!$L:$L,'DF Calculation'!$B:$B,'To Populate Tariff'!$A13,'DF Calculation'!$C:$C,'To Populate Tariff'!$B13)</f>
        <v>43.47</v>
      </c>
      <c r="I13" s="302">
        <f>SUMIFS('DF Calculation'!$M:$M,'DF Calculation'!$B:$B,'To Populate Tariff'!$A13,'DF Calculation'!$C:$C,'To Populate Tariff'!$B13)</f>
        <v>-0.2565847273602016</v>
      </c>
      <c r="J13" s="343">
        <f>SUMIFS('DF Calculation'!$O:$O,'DF Calculation'!$B:$B,'To Populate Tariff'!$A13,'DF Calculation'!$C:$C,'To Populate Tariff'!$B13)</f>
        <v>43.2134152726398</v>
      </c>
      <c r="K13" s="316" t="str">
        <f t="shared" si="0"/>
        <v>ok</v>
      </c>
      <c r="N13" s="341">
        <v>43.406896201690401</v>
      </c>
      <c r="O13" s="341">
        <v>43.206896201690398</v>
      </c>
      <c r="P13" s="342">
        <f t="shared" si="1"/>
        <v>6.5190709494018506E-3</v>
      </c>
      <c r="Q13" s="342">
        <f t="shared" si="2"/>
        <v>6.5190709494018506E-3</v>
      </c>
    </row>
    <row r="14" spans="1:17">
      <c r="A14" s="279">
        <v>24</v>
      </c>
      <c r="B14" s="280" t="s">
        <v>283</v>
      </c>
      <c r="C14" s="280" t="str">
        <f>VLOOKUP(B14,Mapping!$D$2:$H$157,5,FALSE)</f>
        <v>20 Gallon Cart  On Call</v>
      </c>
      <c r="D14" s="303">
        <f>SUMIFS('DF Calculation'!K:K,'DF Calculation'!B:B,'To Populate Tariff'!A14,'DF Calculation'!C:C,'To Populate Tariff'!B14)</f>
        <v>11.28</v>
      </c>
      <c r="E14" s="303">
        <f>SUMIFS('DF Calculation'!M:M,'DF Calculation'!B:B,'To Populate Tariff'!A14,'DF Calculation'!C:C,'To Populate Tariff'!B14)</f>
        <v>-1.7415252988248978E-2</v>
      </c>
      <c r="F14" s="343">
        <f>SUMIFS('DF Calculation'!N:N,'DF Calculation'!B:B,'To Populate Tariff'!A14,'DF Calculation'!C:C,'To Populate Tariff'!B14)</f>
        <v>11.262584747011751</v>
      </c>
      <c r="G14" s="317" t="str">
        <f t="shared" si="3"/>
        <v>ok</v>
      </c>
      <c r="H14" s="303">
        <f>SUMIFS('DF Calculation'!$L:$L,'DF Calculation'!$B:$B,'To Populate Tariff'!$A14,'DF Calculation'!$C:$C,'To Populate Tariff'!$B14)</f>
        <v>11.23</v>
      </c>
      <c r="I14" s="303">
        <f>SUMIFS('DF Calculation'!$M:$M,'DF Calculation'!$B:$B,'To Populate Tariff'!$A14,'DF Calculation'!$C:$C,'To Populate Tariff'!$B14)</f>
        <v>-1.7415252988248978E-2</v>
      </c>
      <c r="J14" s="343">
        <f>SUMIFS('DF Calculation'!$O:$O,'DF Calculation'!$B:$B,'To Populate Tariff'!$A14,'DF Calculation'!$C:$C,'To Populate Tariff'!$B14)</f>
        <v>11.212584747011752</v>
      </c>
      <c r="K14" s="317" t="str">
        <f t="shared" si="0"/>
        <v>ok</v>
      </c>
      <c r="N14" s="1">
        <v>11.262142276132831</v>
      </c>
      <c r="O14" s="1">
        <v>11.212142276132832</v>
      </c>
      <c r="P14" s="310">
        <f t="shared" si="1"/>
        <v>4.4247087891946535E-4</v>
      </c>
      <c r="Q14" s="310">
        <f t="shared" si="2"/>
        <v>4.4247087891946535E-4</v>
      </c>
    </row>
    <row r="15" spans="1:17">
      <c r="A15" s="279">
        <v>24</v>
      </c>
      <c r="B15" s="280" t="s">
        <v>282</v>
      </c>
      <c r="C15" s="280" t="str">
        <f>VLOOKUP(B15,Mapping!$D$2:$H$157,5,FALSE)</f>
        <v>35 Gallon Cart On Call</v>
      </c>
      <c r="D15" s="303">
        <f>SUMIFS('DF Calculation'!K:K,'DF Calculation'!B:B,'To Populate Tariff'!A15,'DF Calculation'!C:C,'To Populate Tariff'!B15)</f>
        <v>14.03</v>
      </c>
      <c r="E15" s="303">
        <f>SUMIFS('DF Calculation'!M:M,'DF Calculation'!B:B,'To Populate Tariff'!A15,'DF Calculation'!C:C,'To Populate Tariff'!B15)</f>
        <v>-2.9605930080023265E-2</v>
      </c>
      <c r="F15" s="343">
        <f>SUMIFS('DF Calculation'!N:N,'DF Calculation'!B:B,'To Populate Tariff'!A15,'DF Calculation'!C:C,'To Populate Tariff'!B15)</f>
        <v>14.000394069919976</v>
      </c>
      <c r="G15" s="317" t="str">
        <f t="shared" si="3"/>
        <v>ok</v>
      </c>
      <c r="H15" s="303">
        <f>SUMIFS('DF Calculation'!$L:$L,'DF Calculation'!$B:$B,'To Populate Tariff'!$A15,'DF Calculation'!$C:$C,'To Populate Tariff'!$B15)</f>
        <v>13.97</v>
      </c>
      <c r="I15" s="303">
        <f>SUMIFS('DF Calculation'!$M:$M,'DF Calculation'!$B:$B,'To Populate Tariff'!$A15,'DF Calculation'!$C:$C,'To Populate Tariff'!$B15)</f>
        <v>-2.9605930080023265E-2</v>
      </c>
      <c r="J15" s="343">
        <f>SUMIFS('DF Calculation'!$O:$O,'DF Calculation'!$B:$B,'To Populate Tariff'!$A15,'DF Calculation'!$C:$C,'To Populate Tariff'!$B15)</f>
        <v>13.940394069919977</v>
      </c>
      <c r="K15" s="317" t="str">
        <f t="shared" si="0"/>
        <v>ok</v>
      </c>
      <c r="N15" s="1">
        <v>13.999641869425814</v>
      </c>
      <c r="O15" s="1">
        <v>13.939641869425815</v>
      </c>
      <c r="P15" s="310">
        <f t="shared" si="1"/>
        <v>7.5220049416202528E-4</v>
      </c>
      <c r="Q15" s="310">
        <f t="shared" si="2"/>
        <v>7.5220049416202528E-4</v>
      </c>
    </row>
    <row r="16" spans="1:17">
      <c r="A16" s="279">
        <v>24</v>
      </c>
      <c r="B16" s="280" t="s">
        <v>284</v>
      </c>
      <c r="C16" s="280" t="str">
        <f>VLOOKUP(B16,Mapping!$D$2:$H$157,5,FALSE)</f>
        <v>65 Gallon Cart On Call</v>
      </c>
      <c r="D16" s="303">
        <f>SUMIFS('DF Calculation'!K:K,'DF Calculation'!B:B,'To Populate Tariff'!A16,'DF Calculation'!C:C,'To Populate Tariff'!B16)</f>
        <v>20.98</v>
      </c>
      <c r="E16" s="303">
        <f>SUMIFS('DF Calculation'!M:M,'DF Calculation'!B:B,'To Populate Tariff'!A16,'DF Calculation'!C:C,'To Populate Tariff'!B16)</f>
        <v>-4.0925844522385096E-2</v>
      </c>
      <c r="F16" s="343">
        <f>SUMIFS('DF Calculation'!N:N,'DF Calculation'!B:B,'To Populate Tariff'!A16,'DF Calculation'!C:C,'To Populate Tariff'!B16)</f>
        <v>20.939074155477616</v>
      </c>
      <c r="G16" s="317" t="str">
        <f t="shared" si="3"/>
        <v>ok</v>
      </c>
      <c r="H16" s="303">
        <f>SUMIFS('DF Calculation'!$L:$L,'DF Calculation'!$B:$B,'To Populate Tariff'!$A16,'DF Calculation'!$C:$C,'To Populate Tariff'!$B16)</f>
        <v>20.88</v>
      </c>
      <c r="I16" s="303">
        <f>SUMIFS('DF Calculation'!$M:$M,'DF Calculation'!$B:$B,'To Populate Tariff'!$A16,'DF Calculation'!$C:$C,'To Populate Tariff'!$B16)</f>
        <v>-4.0925844522385096E-2</v>
      </c>
      <c r="J16" s="343">
        <f>SUMIFS('DF Calculation'!$O:$O,'DF Calculation'!$B:$B,'To Populate Tariff'!$A16,'DF Calculation'!$C:$C,'To Populate Tariff'!$B16)</f>
        <v>20.839074155477615</v>
      </c>
      <c r="K16" s="317" t="str">
        <f t="shared" si="0"/>
        <v>ok</v>
      </c>
      <c r="N16" s="1">
        <v>20.938034348912158</v>
      </c>
      <c r="O16" s="1">
        <v>20.838034348912156</v>
      </c>
      <c r="P16" s="310">
        <f t="shared" si="1"/>
        <v>1.0398065654584343E-3</v>
      </c>
      <c r="Q16" s="310">
        <f t="shared" si="2"/>
        <v>1.0398065654584343E-3</v>
      </c>
    </row>
    <row r="17" spans="1:17">
      <c r="A17" s="279">
        <v>24</v>
      </c>
      <c r="B17" s="280" t="s">
        <v>285</v>
      </c>
      <c r="C17" s="280" t="str">
        <f>VLOOKUP(B17,Mapping!$D$2:$H$157,5,FALSE)</f>
        <v>95 Gallon Cart On Call</v>
      </c>
      <c r="D17" s="303">
        <f>SUMIFS('DF Calculation'!K:K,'DF Calculation'!B:B,'To Populate Tariff'!A17,'DF Calculation'!C:C,'To Populate Tariff'!B17)</f>
        <v>29.35</v>
      </c>
      <c r="E17" s="303">
        <f>SUMIFS('DF Calculation'!M:M,'DF Calculation'!B:B,'To Populate Tariff'!A17,'DF Calculation'!C:C,'To Populate Tariff'!B17)</f>
        <v>-5.921186016004653E-2</v>
      </c>
      <c r="F17" s="343">
        <f>SUMIFS('DF Calculation'!N:N,'DF Calculation'!B:B,'To Populate Tariff'!A17,'DF Calculation'!C:C,'To Populate Tariff'!B17)</f>
        <v>29.290788139839954</v>
      </c>
      <c r="G17" s="317" t="str">
        <f t="shared" si="3"/>
        <v>ok</v>
      </c>
      <c r="H17" s="303">
        <f>SUMIFS('DF Calculation'!$L:$L,'DF Calculation'!$B:$B,'To Populate Tariff'!$A17,'DF Calculation'!$C:$C,'To Populate Tariff'!$B17)</f>
        <v>29.21</v>
      </c>
      <c r="I17" s="303">
        <f>SUMIFS('DF Calculation'!$M:$M,'DF Calculation'!$B:$B,'To Populate Tariff'!$A17,'DF Calculation'!$C:$C,'To Populate Tariff'!$B17)</f>
        <v>-5.921186016004653E-2</v>
      </c>
      <c r="J17" s="343">
        <f>SUMIFS('DF Calculation'!$O:$O,'DF Calculation'!$B:$B,'To Populate Tariff'!$A17,'DF Calculation'!$C:$C,'To Populate Tariff'!$B17)</f>
        <v>29.150788139839953</v>
      </c>
      <c r="K17" s="317" t="str">
        <f t="shared" si="0"/>
        <v>ok</v>
      </c>
      <c r="N17" s="1">
        <v>29.28928373885163</v>
      </c>
      <c r="O17" s="1">
        <v>29.149283738851629</v>
      </c>
      <c r="P17" s="310">
        <f t="shared" si="1"/>
        <v>1.5044009883240506E-3</v>
      </c>
      <c r="Q17" s="310">
        <f t="shared" si="2"/>
        <v>1.5044009883240506E-3</v>
      </c>
    </row>
    <row r="18" spans="1:17">
      <c r="A18" s="279">
        <v>24</v>
      </c>
      <c r="B18" s="280" t="s">
        <v>106</v>
      </c>
      <c r="C18" s="280" t="str">
        <f>VLOOKUP(B18,Mapping!$D$2:$H$157,5,FALSE)</f>
        <v>Extra Units Extra</v>
      </c>
      <c r="D18" s="303">
        <f>SUMIFS('DF Calculation'!K:K,'DF Calculation'!B:B,'To Populate Tariff'!A18,'DF Calculation'!C:C,'To Populate Tariff'!B18)</f>
        <v>4.88</v>
      </c>
      <c r="E18" s="303">
        <f>SUMIFS('DF Calculation'!M:M,'DF Calculation'!B:B,'To Populate Tariff'!A18,'DF Calculation'!C:C,'To Populate Tariff'!B18)</f>
        <v>-2.9605930080023268E-2</v>
      </c>
      <c r="F18" s="343">
        <f>SUMIFS('DF Calculation'!N:N,'DF Calculation'!B:B,'To Populate Tariff'!A18,'DF Calculation'!C:C,'To Populate Tariff'!B18)</f>
        <v>4.850394069919977</v>
      </c>
      <c r="G18" s="317" t="str">
        <f t="shared" si="3"/>
        <v>ok</v>
      </c>
      <c r="H18" s="303">
        <f>SUMIFS('DF Calculation'!$L:$L,'DF Calculation'!$B:$B,'To Populate Tariff'!$A18,'DF Calculation'!$C:$C,'To Populate Tariff'!$B18)</f>
        <v>4.8600000000000003</v>
      </c>
      <c r="I18" s="303">
        <f>SUMIFS('DF Calculation'!$M:$M,'DF Calculation'!$B:$B,'To Populate Tariff'!$A18,'DF Calculation'!$C:$C,'To Populate Tariff'!$B18)</f>
        <v>-2.9605930080023268E-2</v>
      </c>
      <c r="J18" s="343">
        <f>SUMIFS('DF Calculation'!$O:$O,'DF Calculation'!$B:$B,'To Populate Tariff'!$A18,'DF Calculation'!$C:$C,'To Populate Tariff'!$B18)</f>
        <v>4.8303940699199774</v>
      </c>
      <c r="K18" s="317" t="str">
        <f t="shared" si="0"/>
        <v>ok</v>
      </c>
      <c r="N18" s="1">
        <v>4.849641869425815</v>
      </c>
      <c r="O18" s="1">
        <v>4.8296418694258154</v>
      </c>
      <c r="P18" s="310">
        <f t="shared" si="1"/>
        <v>7.5220049416202528E-4</v>
      </c>
      <c r="Q18" s="310">
        <f t="shared" si="2"/>
        <v>7.5220049416202528E-4</v>
      </c>
    </row>
    <row r="19" spans="1:17">
      <c r="A19" s="283">
        <v>27</v>
      </c>
      <c r="B19" s="288" t="s">
        <v>254</v>
      </c>
      <c r="C19" s="288" t="str">
        <f>VLOOKUP(B19,Mapping!$D$2:$H$157,5,FALSE)</f>
        <v>20 Gallon Cart WG-R</v>
      </c>
      <c r="D19" s="304">
        <f>SUMIFS('DF Calculation'!K:K,'DF Calculation'!B:B,'To Populate Tariff'!A19,'DF Calculation'!C:C,'To Populate Tariff'!B19)</f>
        <v>18.16</v>
      </c>
      <c r="E19" s="304">
        <f>SUMIFS('DF Calculation'!M:M,'DF Calculation'!B:B,'To Populate Tariff'!A19,'DF Calculation'!C:C,'To Populate Tariff'!B19)</f>
        <v>-7.5466096282412229E-2</v>
      </c>
      <c r="F19" s="343">
        <f>SUMIFS('DF Calculation'!N:N,'DF Calculation'!B:B,'To Populate Tariff'!A19,'DF Calculation'!C:C,'To Populate Tariff'!B19)</f>
        <v>18.084533903717588</v>
      </c>
      <c r="G19" s="318" t="str">
        <f t="shared" si="3"/>
        <v>ok</v>
      </c>
      <c r="H19" s="304">
        <f>SUMIFS('DF Calculation'!$L:$L,'DF Calculation'!$B:$B,'To Populate Tariff'!$A19,'DF Calculation'!$C:$C,'To Populate Tariff'!$B19)</f>
        <v>18.079999999999998</v>
      </c>
      <c r="I19" s="304">
        <f>SUMIFS('DF Calculation'!$M:$M,'DF Calculation'!$B:$B,'To Populate Tariff'!$A19,'DF Calculation'!$C:$C,'To Populate Tariff'!$B19)</f>
        <v>-7.5466096282412229E-2</v>
      </c>
      <c r="J19" s="343">
        <f>SUMIFS('DF Calculation'!$O:$O,'DF Calculation'!$B:$B,'To Populate Tariff'!$A19,'DF Calculation'!$C:$C,'To Populate Tariff'!$B19)</f>
        <v>18.004533903717586</v>
      </c>
      <c r="K19" s="318" t="str">
        <f t="shared" si="0"/>
        <v>ok</v>
      </c>
      <c r="L19" s="310"/>
      <c r="N19" s="1">
        <v>18.08261652990894</v>
      </c>
      <c r="O19" s="1">
        <v>18.002616529908938</v>
      </c>
      <c r="P19" s="310">
        <f t="shared" si="1"/>
        <v>1.917373808648648E-3</v>
      </c>
      <c r="Q19" s="310">
        <f t="shared" si="2"/>
        <v>1.917373808648648E-3</v>
      </c>
    </row>
    <row r="20" spans="1:17">
      <c r="A20" s="283">
        <v>27</v>
      </c>
      <c r="B20" s="288" t="s">
        <v>255</v>
      </c>
      <c r="C20" s="288" t="str">
        <f>VLOOKUP(B20,Mapping!$D$2:$H$157,5,FALSE)</f>
        <v>20 Gallon Cart WG-NR</v>
      </c>
      <c r="D20" s="304">
        <f>SUMIFS('DF Calculation'!K:K,'DF Calculation'!B:B,'To Populate Tariff'!A20,'DF Calculation'!C:C,'To Populate Tariff'!B20)</f>
        <v>18.91</v>
      </c>
      <c r="E20" s="304">
        <f>SUMIFS('DF Calculation'!M:M,'DF Calculation'!B:B,'To Populate Tariff'!A20,'DF Calculation'!C:C,'To Populate Tariff'!B20)</f>
        <v>-7.5466096282412229E-2</v>
      </c>
      <c r="F20" s="343">
        <f>SUMIFS('DF Calculation'!N:N,'DF Calculation'!B:B,'To Populate Tariff'!A20,'DF Calculation'!C:C,'To Populate Tariff'!B20)</f>
        <v>18.834533903717588</v>
      </c>
      <c r="G20" s="318" t="str">
        <f t="shared" si="3"/>
        <v>ok</v>
      </c>
      <c r="H20" s="304">
        <f>SUMIFS('DF Calculation'!$L:$L,'DF Calculation'!$B:$B,'To Populate Tariff'!$A20,'DF Calculation'!$C:$C,'To Populate Tariff'!$B20)</f>
        <v>18.829999999999998</v>
      </c>
      <c r="I20" s="304">
        <f>SUMIFS('DF Calculation'!$M:$M,'DF Calculation'!$B:$B,'To Populate Tariff'!$A20,'DF Calculation'!$C:$C,'To Populate Tariff'!$B20)</f>
        <v>-7.5466096282412229E-2</v>
      </c>
      <c r="J20" s="343">
        <f>SUMIFS('DF Calculation'!$O:$O,'DF Calculation'!$B:$B,'To Populate Tariff'!$A20,'DF Calculation'!$C:$C,'To Populate Tariff'!$B20)</f>
        <v>18.754533903717586</v>
      </c>
      <c r="K20" s="318" t="str">
        <f t="shared" si="0"/>
        <v>ok</v>
      </c>
      <c r="N20" s="1">
        <v>18.83261652990894</v>
      </c>
      <c r="O20" s="1">
        <v>18.752616529908938</v>
      </c>
      <c r="P20" s="310">
        <f t="shared" si="1"/>
        <v>1.917373808648648E-3</v>
      </c>
      <c r="Q20" s="310">
        <f t="shared" si="2"/>
        <v>1.917373808648648E-3</v>
      </c>
    </row>
    <row r="21" spans="1:17">
      <c r="A21" s="283">
        <v>27</v>
      </c>
      <c r="B21" s="288" t="s">
        <v>228</v>
      </c>
      <c r="C21" s="288" t="str">
        <f>VLOOKUP(B21,Mapping!$D$2:$H$157,5,FALSE)</f>
        <v>35 Gallon Cart WG-R</v>
      </c>
      <c r="D21" s="304">
        <f>SUMIFS('DF Calculation'!K:K,'DF Calculation'!B:B,'To Populate Tariff'!A21,'DF Calculation'!C:C,'To Populate Tariff'!B21)</f>
        <v>23.13</v>
      </c>
      <c r="E21" s="304">
        <f>SUMIFS('DF Calculation'!M:M,'DF Calculation'!B:B,'To Populate Tariff'!A21,'DF Calculation'!C:C,'To Populate Tariff'!B21)</f>
        <v>-0.1282923636801008</v>
      </c>
      <c r="F21" s="343">
        <f>SUMIFS('DF Calculation'!N:N,'DF Calculation'!B:B,'To Populate Tariff'!A21,'DF Calculation'!C:C,'To Populate Tariff'!B21)</f>
        <v>23.0017076363199</v>
      </c>
      <c r="G21" s="318" t="str">
        <f t="shared" si="3"/>
        <v>ok</v>
      </c>
      <c r="H21" s="304">
        <f>SUMIFS('DF Calculation'!$L:$L,'DF Calculation'!$B:$B,'To Populate Tariff'!$A21,'DF Calculation'!$C:$C,'To Populate Tariff'!$B21)</f>
        <v>23.02</v>
      </c>
      <c r="I21" s="304">
        <f>SUMIFS('DF Calculation'!$M:$M,'DF Calculation'!$B:$B,'To Populate Tariff'!$A21,'DF Calculation'!$C:$C,'To Populate Tariff'!$B21)</f>
        <v>-0.1282923636801008</v>
      </c>
      <c r="J21" s="343">
        <f>SUMIFS('DF Calculation'!$O:$O,'DF Calculation'!$B:$B,'To Populate Tariff'!$A21,'DF Calculation'!$C:$C,'To Populate Tariff'!$B21)</f>
        <v>22.8917076363199</v>
      </c>
      <c r="K21" s="318" t="str">
        <f t="shared" si="0"/>
        <v>ok</v>
      </c>
      <c r="L21" s="310"/>
      <c r="N21" s="1">
        <v>22.998448100845199</v>
      </c>
      <c r="O21" s="1">
        <v>22.888448100845199</v>
      </c>
      <c r="P21" s="310">
        <f t="shared" si="1"/>
        <v>3.2595354747009253E-3</v>
      </c>
      <c r="Q21" s="310">
        <f t="shared" si="2"/>
        <v>3.2595354747009253E-3</v>
      </c>
    </row>
    <row r="22" spans="1:17">
      <c r="A22" s="283">
        <v>27</v>
      </c>
      <c r="B22" s="288" t="s">
        <v>229</v>
      </c>
      <c r="C22" s="288" t="str">
        <f>VLOOKUP(B22,Mapping!$D$2:$H$157,5,FALSE)</f>
        <v>35 Gallon Cart WG-NR</v>
      </c>
      <c r="D22" s="304">
        <f>SUMIFS('DF Calculation'!K:K,'DF Calculation'!B:B,'To Populate Tariff'!A22,'DF Calculation'!C:C,'To Populate Tariff'!B22)</f>
        <v>23.88</v>
      </c>
      <c r="E22" s="304">
        <f>SUMIFS('DF Calculation'!M:M,'DF Calculation'!B:B,'To Populate Tariff'!A22,'DF Calculation'!C:C,'To Populate Tariff'!B22)</f>
        <v>-0.1282923636801008</v>
      </c>
      <c r="F22" s="343">
        <f>SUMIFS('DF Calculation'!N:N,'DF Calculation'!B:B,'To Populate Tariff'!A22,'DF Calculation'!C:C,'To Populate Tariff'!B22)</f>
        <v>23.7517076363199</v>
      </c>
      <c r="G22" s="318" t="str">
        <f t="shared" si="3"/>
        <v>ok</v>
      </c>
      <c r="H22" s="304">
        <f>SUMIFS('DF Calculation'!$L:$L,'DF Calculation'!$B:$B,'To Populate Tariff'!$A22,'DF Calculation'!$C:$C,'To Populate Tariff'!$B22)</f>
        <v>23.77</v>
      </c>
      <c r="I22" s="304">
        <f>SUMIFS('DF Calculation'!$M:$M,'DF Calculation'!$B:$B,'To Populate Tariff'!$A22,'DF Calculation'!$C:$C,'To Populate Tariff'!$B22)</f>
        <v>-0.1282923636801008</v>
      </c>
      <c r="J22" s="343">
        <f>SUMIFS('DF Calculation'!$O:$O,'DF Calculation'!$B:$B,'To Populate Tariff'!$A22,'DF Calculation'!$C:$C,'To Populate Tariff'!$B22)</f>
        <v>23.6417076363199</v>
      </c>
      <c r="K22" s="318" t="str">
        <f t="shared" si="0"/>
        <v>ok</v>
      </c>
      <c r="L22" s="310"/>
      <c r="N22" s="1">
        <v>23.748448100845199</v>
      </c>
      <c r="O22" s="1">
        <v>23.638448100845199</v>
      </c>
      <c r="P22" s="310">
        <f t="shared" si="1"/>
        <v>3.2595354747009253E-3</v>
      </c>
      <c r="Q22" s="310">
        <f t="shared" si="2"/>
        <v>3.2595354747009253E-3</v>
      </c>
    </row>
    <row r="23" spans="1:17">
      <c r="A23" s="283">
        <v>27</v>
      </c>
      <c r="B23" s="288" t="s">
        <v>230</v>
      </c>
      <c r="C23" s="288" t="str">
        <f>VLOOKUP(B23,Mapping!$D$2:$H$157,5,FALSE)</f>
        <v>65 Gallon Cart WG-R</v>
      </c>
      <c r="D23" s="304">
        <f>SUMIFS('DF Calculation'!K:K,'DF Calculation'!B:B,'To Populate Tariff'!A23,'DF Calculation'!C:C,'To Populate Tariff'!B23)</f>
        <v>36.130000000000003</v>
      </c>
      <c r="E23" s="304">
        <f>SUMIFS('DF Calculation'!M:M,'DF Calculation'!B:B,'To Populate Tariff'!A23,'DF Calculation'!C:C,'To Populate Tariff'!B23)</f>
        <v>-0.17734532626366875</v>
      </c>
      <c r="F23" s="343">
        <f>SUMIFS('DF Calculation'!N:N,'DF Calculation'!B:B,'To Populate Tariff'!A23,'DF Calculation'!C:C,'To Populate Tariff'!B23)</f>
        <v>35.952654673736333</v>
      </c>
      <c r="G23" s="318" t="str">
        <f t="shared" si="3"/>
        <v>ok</v>
      </c>
      <c r="H23" s="304">
        <f>SUMIFS('DF Calculation'!$L:$L,'DF Calculation'!$B:$B,'To Populate Tariff'!$A23,'DF Calculation'!$C:$C,'To Populate Tariff'!$B23)</f>
        <v>35.96</v>
      </c>
      <c r="I23" s="304">
        <f>SUMIFS('DF Calculation'!$M:$M,'DF Calculation'!$B:$B,'To Populate Tariff'!$A23,'DF Calculation'!$C:$C,'To Populate Tariff'!$B23)</f>
        <v>-0.17734532626366875</v>
      </c>
      <c r="J23" s="343">
        <f>SUMIFS('DF Calculation'!$O:$O,'DF Calculation'!$B:$B,'To Populate Tariff'!$A23,'DF Calculation'!$C:$C,'To Populate Tariff'!$B23)</f>
        <v>35.782654673736332</v>
      </c>
      <c r="K23" s="318" t="str">
        <f t="shared" si="0"/>
        <v>ok</v>
      </c>
      <c r="L23" s="310"/>
      <c r="N23" s="1">
        <v>35.948148845286013</v>
      </c>
      <c r="O23" s="1">
        <v>35.778148845286012</v>
      </c>
      <c r="P23" s="310">
        <f t="shared" si="1"/>
        <v>4.505828450319882E-3</v>
      </c>
      <c r="Q23" s="310">
        <f t="shared" si="2"/>
        <v>4.505828450319882E-3</v>
      </c>
    </row>
    <row r="24" spans="1:17">
      <c r="A24" s="283">
        <v>27</v>
      </c>
      <c r="B24" s="288" t="s">
        <v>231</v>
      </c>
      <c r="C24" s="288" t="str">
        <f>VLOOKUP(B24,Mapping!$D$2:$H$157,5,FALSE)</f>
        <v>65 Gallon Cart WG-NR</v>
      </c>
      <c r="D24" s="304">
        <f>SUMIFS('DF Calculation'!K:K,'DF Calculation'!B:B,'To Populate Tariff'!A24,'DF Calculation'!C:C,'To Populate Tariff'!B24)</f>
        <v>36.880000000000003</v>
      </c>
      <c r="E24" s="304">
        <f>SUMIFS('DF Calculation'!M:M,'DF Calculation'!B:B,'To Populate Tariff'!A24,'DF Calculation'!C:C,'To Populate Tariff'!B24)</f>
        <v>-0.17734532626366875</v>
      </c>
      <c r="F24" s="343">
        <f>SUMIFS('DF Calculation'!N:N,'DF Calculation'!B:B,'To Populate Tariff'!A24,'DF Calculation'!C:C,'To Populate Tariff'!B24)</f>
        <v>36.702654673736333</v>
      </c>
      <c r="G24" s="318" t="str">
        <f t="shared" si="3"/>
        <v>ok</v>
      </c>
      <c r="H24" s="304">
        <f>SUMIFS('DF Calculation'!$L:$L,'DF Calculation'!$B:$B,'To Populate Tariff'!$A24,'DF Calculation'!$C:$C,'To Populate Tariff'!$B24)</f>
        <v>36.71</v>
      </c>
      <c r="I24" s="304">
        <f>SUMIFS('DF Calculation'!$M:$M,'DF Calculation'!$B:$B,'To Populate Tariff'!$A24,'DF Calculation'!$C:$C,'To Populate Tariff'!$B24)</f>
        <v>-0.17734532626366875</v>
      </c>
      <c r="J24" s="343">
        <f>SUMIFS('DF Calculation'!$O:$O,'DF Calculation'!$B:$B,'To Populate Tariff'!$A24,'DF Calculation'!$C:$C,'To Populate Tariff'!$B24)</f>
        <v>36.532654673736332</v>
      </c>
      <c r="K24" s="318" t="str">
        <f t="shared" si="0"/>
        <v>ok</v>
      </c>
      <c r="N24" s="1">
        <v>36.698148845286013</v>
      </c>
      <c r="O24" s="1">
        <v>36.528148845286012</v>
      </c>
      <c r="P24" s="310">
        <f t="shared" si="1"/>
        <v>4.505828450319882E-3</v>
      </c>
      <c r="Q24" s="310">
        <f t="shared" si="2"/>
        <v>4.505828450319882E-3</v>
      </c>
    </row>
    <row r="25" spans="1:17">
      <c r="A25" s="283">
        <v>27</v>
      </c>
      <c r="B25" s="288" t="s">
        <v>232</v>
      </c>
      <c r="C25" s="288" t="str">
        <f>VLOOKUP(B25,Mapping!$D$2:$H$157,5,FALSE)</f>
        <v>95 Gallon Cart WG-R</v>
      </c>
      <c r="D25" s="304">
        <f>SUMIFS('DF Calculation'!K:K,'DF Calculation'!B:B,'To Populate Tariff'!A25,'DF Calculation'!C:C,'To Populate Tariff'!B25)</f>
        <v>53.19</v>
      </c>
      <c r="E25" s="304">
        <f>SUMIFS('DF Calculation'!M:M,'DF Calculation'!B:B,'To Populate Tariff'!A25,'DF Calculation'!C:C,'To Populate Tariff'!B25)</f>
        <v>-0.2565847273602016</v>
      </c>
      <c r="F25" s="343">
        <f>SUMIFS('DF Calculation'!N:N,'DF Calculation'!B:B,'To Populate Tariff'!A25,'DF Calculation'!C:C,'To Populate Tariff'!B25)</f>
        <v>52.933415272639799</v>
      </c>
      <c r="G25" s="318" t="str">
        <f t="shared" si="3"/>
        <v>ok</v>
      </c>
      <c r="H25" s="304">
        <f>SUMIFS('DF Calculation'!$L:$L,'DF Calculation'!$B:$B,'To Populate Tariff'!$A25,'DF Calculation'!$C:$C,'To Populate Tariff'!$B25)</f>
        <v>52.94</v>
      </c>
      <c r="I25" s="304">
        <f>SUMIFS('DF Calculation'!$M:$M,'DF Calculation'!$B:$B,'To Populate Tariff'!$A25,'DF Calculation'!$C:$C,'To Populate Tariff'!$B25)</f>
        <v>-0.2565847273602016</v>
      </c>
      <c r="J25" s="343">
        <f>SUMIFS('DF Calculation'!$O:$O,'DF Calculation'!$B:$B,'To Populate Tariff'!$A25,'DF Calculation'!$C:$C,'To Populate Tariff'!$B25)</f>
        <v>52.683415272639799</v>
      </c>
      <c r="K25" s="318" t="str">
        <f t="shared" si="0"/>
        <v>ok</v>
      </c>
      <c r="L25" s="310"/>
      <c r="N25" s="341">
        <v>52.926896201690397</v>
      </c>
      <c r="O25" s="341">
        <v>52.676896201690397</v>
      </c>
      <c r="P25" s="342">
        <f t="shared" si="1"/>
        <v>6.5190709494018506E-3</v>
      </c>
      <c r="Q25" s="342">
        <f t="shared" si="2"/>
        <v>6.5190709494018506E-3</v>
      </c>
    </row>
    <row r="26" spans="1:17">
      <c r="A26" s="283">
        <v>27</v>
      </c>
      <c r="B26" s="288" t="s">
        <v>233</v>
      </c>
      <c r="C26" s="288" t="str">
        <f>VLOOKUP(B26,Mapping!$D$2:$H$157,5,FALSE)</f>
        <v>95 Gallon Cart WG-NR</v>
      </c>
      <c r="D26" s="304">
        <f>SUMIFS('DF Calculation'!K:K,'DF Calculation'!B:B,'To Populate Tariff'!A26,'DF Calculation'!C:C,'To Populate Tariff'!B26)</f>
        <v>53.94</v>
      </c>
      <c r="E26" s="304">
        <f>SUMIFS('DF Calculation'!M:M,'DF Calculation'!B:B,'To Populate Tariff'!A26,'DF Calculation'!C:C,'To Populate Tariff'!B26)</f>
        <v>-0.2565847273602016</v>
      </c>
      <c r="F26" s="343">
        <f>SUMIFS('DF Calculation'!N:N,'DF Calculation'!B:B,'To Populate Tariff'!A26,'DF Calculation'!C:C,'To Populate Tariff'!B26)</f>
        <v>53.683415272639799</v>
      </c>
      <c r="G26" s="318" t="str">
        <f t="shared" si="3"/>
        <v>ok</v>
      </c>
      <c r="H26" s="304">
        <f>SUMIFS('DF Calculation'!$L:$L,'DF Calculation'!$B:$B,'To Populate Tariff'!$A26,'DF Calculation'!$C:$C,'To Populate Tariff'!$B26)</f>
        <v>53.69</v>
      </c>
      <c r="I26" s="304">
        <f>SUMIFS('DF Calculation'!$M:$M,'DF Calculation'!$B:$B,'To Populate Tariff'!$A26,'DF Calculation'!$C:$C,'To Populate Tariff'!$B26)</f>
        <v>-0.2565847273602016</v>
      </c>
      <c r="J26" s="343">
        <f>SUMIFS('DF Calculation'!$O:$O,'DF Calculation'!$B:$B,'To Populate Tariff'!$A26,'DF Calculation'!$C:$C,'To Populate Tariff'!$B26)</f>
        <v>53.433415272639799</v>
      </c>
      <c r="K26" s="318" t="str">
        <f t="shared" si="0"/>
        <v>ok</v>
      </c>
      <c r="N26" s="341">
        <v>53.676896201690397</v>
      </c>
      <c r="O26" s="341">
        <v>53.426896201690397</v>
      </c>
      <c r="P26" s="342">
        <f t="shared" si="1"/>
        <v>6.5190709494018506E-3</v>
      </c>
      <c r="Q26" s="342">
        <f t="shared" si="2"/>
        <v>6.5190709494018506E-3</v>
      </c>
    </row>
    <row r="27" spans="1:17">
      <c r="A27" s="284">
        <v>28</v>
      </c>
      <c r="B27" s="289" t="s">
        <v>176</v>
      </c>
      <c r="C27" s="289" t="str">
        <f>VLOOKUP(B27,Mapping!$D$2:$H$157,5,FALSE)</f>
        <v>20 Gallon Cart  On Call</v>
      </c>
      <c r="D27" s="305">
        <f>SUMIFS('DF Calculation'!K:K,'DF Calculation'!B:B,'To Populate Tariff'!A27,'DF Calculation'!C:C,'To Populate Tariff'!B27)</f>
        <v>15.91</v>
      </c>
      <c r="E27" s="305">
        <f>SUMIFS('DF Calculation'!M:M,'DF Calculation'!B:B,'To Populate Tariff'!A27,'DF Calculation'!C:C,'To Populate Tariff'!B27)</f>
        <v>-1.7415252988248978E-2</v>
      </c>
      <c r="F27" s="343">
        <f>SUMIFS('DF Calculation'!N:N,'DF Calculation'!B:B,'To Populate Tariff'!A27,'DF Calculation'!C:C,'To Populate Tariff'!B27)</f>
        <v>15.892584747011751</v>
      </c>
      <c r="G27" s="319" t="str">
        <f t="shared" si="3"/>
        <v>ok</v>
      </c>
      <c r="H27" s="305">
        <f>SUMIFS('DF Calculation'!$L:$L,'DF Calculation'!$B:$B,'To Populate Tariff'!$A27,'DF Calculation'!$C:$C,'To Populate Tariff'!$B27)</f>
        <v>15.84</v>
      </c>
      <c r="I27" s="305">
        <f>SUMIFS('DF Calculation'!$M:$M,'DF Calculation'!$B:$B,'To Populate Tariff'!$A27,'DF Calculation'!$C:$C,'To Populate Tariff'!$B27)</f>
        <v>-1.7415252988248978E-2</v>
      </c>
      <c r="J27" s="343">
        <f>SUMIFS('DF Calculation'!$O:$O,'DF Calculation'!$B:$B,'To Populate Tariff'!$A27,'DF Calculation'!$C:$C,'To Populate Tariff'!$B27)</f>
        <v>15.822584747011751</v>
      </c>
      <c r="K27" s="319" t="str">
        <f t="shared" si="0"/>
        <v>ok</v>
      </c>
      <c r="N27" s="1">
        <v>15.892142276132832</v>
      </c>
      <c r="O27" s="1">
        <v>15.822142276132832</v>
      </c>
      <c r="P27" s="310">
        <f t="shared" si="1"/>
        <v>4.4247087891946535E-4</v>
      </c>
      <c r="Q27" s="310">
        <f t="shared" si="2"/>
        <v>4.4247087891946535E-4</v>
      </c>
    </row>
    <row r="28" spans="1:17">
      <c r="A28" s="284">
        <v>28</v>
      </c>
      <c r="B28" s="289" t="s">
        <v>178</v>
      </c>
      <c r="C28" s="289" t="str">
        <f>VLOOKUP(B28,Mapping!$D$2:$H$157,5,FALSE)</f>
        <v>35 Gallon Cart On Call</v>
      </c>
      <c r="D28" s="305">
        <f>SUMIFS('DF Calculation'!K:K,'DF Calculation'!B:B,'To Populate Tariff'!A28,'DF Calculation'!C:C,'To Populate Tariff'!B28)</f>
        <v>19.84</v>
      </c>
      <c r="E28" s="305">
        <f>SUMIFS('DF Calculation'!M:M,'DF Calculation'!B:B,'To Populate Tariff'!A28,'DF Calculation'!C:C,'To Populate Tariff'!B28)</f>
        <v>-2.9605930080023265E-2</v>
      </c>
      <c r="F28" s="343">
        <f>SUMIFS('DF Calculation'!N:N,'DF Calculation'!B:B,'To Populate Tariff'!A28,'DF Calculation'!C:C,'To Populate Tariff'!B28)</f>
        <v>19.810394069919976</v>
      </c>
      <c r="G28" s="319" t="str">
        <f t="shared" si="3"/>
        <v>ok</v>
      </c>
      <c r="H28" s="305">
        <f>SUMIFS('DF Calculation'!$L:$L,'DF Calculation'!$B:$B,'To Populate Tariff'!$A28,'DF Calculation'!$C:$C,'To Populate Tariff'!$B28)</f>
        <v>19.75</v>
      </c>
      <c r="I28" s="305">
        <f>SUMIFS('DF Calculation'!$M:$M,'DF Calculation'!$B:$B,'To Populate Tariff'!$A28,'DF Calculation'!$C:$C,'To Populate Tariff'!$B28)</f>
        <v>-2.9605930080023265E-2</v>
      </c>
      <c r="J28" s="343">
        <f>SUMIFS('DF Calculation'!$O:$O,'DF Calculation'!$B:$B,'To Populate Tariff'!$A28,'DF Calculation'!$C:$C,'To Populate Tariff'!$B28)</f>
        <v>19.720394069919976</v>
      </c>
      <c r="K28" s="319" t="str">
        <f t="shared" si="0"/>
        <v>ok</v>
      </c>
      <c r="N28" s="1">
        <v>19.809641869425814</v>
      </c>
      <c r="O28" s="1">
        <v>19.719641869425814</v>
      </c>
      <c r="P28" s="310">
        <f t="shared" si="1"/>
        <v>7.5220049416202528E-4</v>
      </c>
      <c r="Q28" s="310">
        <f t="shared" si="2"/>
        <v>7.5220049416202528E-4</v>
      </c>
    </row>
    <row r="29" spans="1:17">
      <c r="A29" s="284">
        <v>28</v>
      </c>
      <c r="B29" s="289" t="s">
        <v>177</v>
      </c>
      <c r="C29" s="289" t="str">
        <f>VLOOKUP(B29,Mapping!$D$2:$H$157,5,FALSE)</f>
        <v>65 Gallon Cart On Call</v>
      </c>
      <c r="D29" s="305">
        <f>SUMIFS('DF Calculation'!K:K,'DF Calculation'!B:B,'To Populate Tariff'!A29,'DF Calculation'!C:C,'To Populate Tariff'!B29)</f>
        <v>26.69</v>
      </c>
      <c r="E29" s="305">
        <f>SUMIFS('DF Calculation'!M:M,'DF Calculation'!B:B,'To Populate Tariff'!A29,'DF Calculation'!C:C,'To Populate Tariff'!B29)</f>
        <v>-4.0925844522385096E-2</v>
      </c>
      <c r="F29" s="343">
        <f>SUMIFS('DF Calculation'!N:N,'DF Calculation'!B:B,'To Populate Tariff'!A29,'DF Calculation'!C:C,'To Populate Tariff'!B29)</f>
        <v>26.649074155477617</v>
      </c>
      <c r="G29" s="319" t="str">
        <f t="shared" si="3"/>
        <v>ok</v>
      </c>
      <c r="H29" s="305">
        <f>SUMIFS('DF Calculation'!$L:$L,'DF Calculation'!$B:$B,'To Populate Tariff'!$A29,'DF Calculation'!$C:$C,'To Populate Tariff'!$B29)</f>
        <v>29.55</v>
      </c>
      <c r="I29" s="305">
        <f>SUMIFS('DF Calculation'!$M:$M,'DF Calculation'!$B:$B,'To Populate Tariff'!$A29,'DF Calculation'!$C:$C,'To Populate Tariff'!$B29)</f>
        <v>-4.0925844522385096E-2</v>
      </c>
      <c r="J29" s="343">
        <f>SUMIFS('DF Calculation'!$O:$O,'DF Calculation'!$B:$B,'To Populate Tariff'!$A29,'DF Calculation'!$C:$C,'To Populate Tariff'!$B29)</f>
        <v>29.509074155477617</v>
      </c>
      <c r="K29" s="319" t="str">
        <f t="shared" si="0"/>
        <v>ok</v>
      </c>
      <c r="N29" s="1">
        <v>26.648034348912159</v>
      </c>
      <c r="O29" s="1">
        <v>29.508034348912158</v>
      </c>
      <c r="P29" s="310">
        <f t="shared" si="1"/>
        <v>1.0398065654584343E-3</v>
      </c>
      <c r="Q29" s="310">
        <f t="shared" si="2"/>
        <v>1.0398065654584343E-3</v>
      </c>
    </row>
    <row r="30" spans="1:17">
      <c r="A30" s="284">
        <v>28</v>
      </c>
      <c r="B30" s="289" t="s">
        <v>179</v>
      </c>
      <c r="C30" s="289" t="str">
        <f>VLOOKUP(B30,Mapping!$D$2:$H$157,5,FALSE)</f>
        <v>95 Gallon Cart On Call</v>
      </c>
      <c r="D30" s="305">
        <f>SUMIFS('DF Calculation'!K:K,'DF Calculation'!B:B,'To Populate Tariff'!A30,'DF Calculation'!C:C,'To Populate Tariff'!B30)</f>
        <v>41.56</v>
      </c>
      <c r="E30" s="305">
        <f>SUMIFS('DF Calculation'!M:M,'DF Calculation'!B:B,'To Populate Tariff'!A30,'DF Calculation'!C:C,'To Populate Tariff'!B30)</f>
        <v>-5.921186016004653E-2</v>
      </c>
      <c r="F30" s="343">
        <f>SUMIFS('DF Calculation'!N:N,'DF Calculation'!B:B,'To Populate Tariff'!A30,'DF Calculation'!C:C,'To Populate Tariff'!B30)</f>
        <v>41.500788139839955</v>
      </c>
      <c r="G30" s="319" t="str">
        <f t="shared" si="3"/>
        <v>ok</v>
      </c>
      <c r="H30" s="305">
        <f>SUMIFS('DF Calculation'!$L:$L,'DF Calculation'!$B:$B,'To Populate Tariff'!$A30,'DF Calculation'!$C:$C,'To Populate Tariff'!$B30)</f>
        <v>41.37</v>
      </c>
      <c r="I30" s="305">
        <f>SUMIFS('DF Calculation'!$M:$M,'DF Calculation'!$B:$B,'To Populate Tariff'!$A30,'DF Calculation'!$C:$C,'To Populate Tariff'!$B30)</f>
        <v>-5.921186016004653E-2</v>
      </c>
      <c r="J30" s="343">
        <f>SUMIFS('DF Calculation'!$O:$O,'DF Calculation'!$B:$B,'To Populate Tariff'!$A30,'DF Calculation'!$C:$C,'To Populate Tariff'!$B30)</f>
        <v>41.31078813983995</v>
      </c>
      <c r="K30" s="319" t="str">
        <f t="shared" si="0"/>
        <v>ok</v>
      </c>
      <c r="N30" s="1">
        <v>41.499283738851631</v>
      </c>
      <c r="O30" s="1">
        <v>41.309283738851626</v>
      </c>
      <c r="P30" s="310">
        <f t="shared" si="1"/>
        <v>1.5044009883240506E-3</v>
      </c>
      <c r="Q30" s="310">
        <f t="shared" si="2"/>
        <v>1.5044009883240506E-3</v>
      </c>
    </row>
    <row r="31" spans="1:17">
      <c r="A31" s="284">
        <v>28</v>
      </c>
      <c r="B31" s="289" t="s">
        <v>243</v>
      </c>
      <c r="C31" s="289" t="str">
        <f>VLOOKUP(B31,Mapping!$D$2:$H$157,5,FALSE)</f>
        <v>Extra Units Extra</v>
      </c>
      <c r="D31" s="305">
        <f>SUMIFS('DF Calculation'!K:K,'DF Calculation'!B:B,'To Populate Tariff'!A31,'DF Calculation'!C:C,'To Populate Tariff'!B31)</f>
        <v>4.8499999999999996</v>
      </c>
      <c r="E31" s="305">
        <f>SUMIFS('DF Calculation'!M:M,'DF Calculation'!B:B,'To Populate Tariff'!A31,'DF Calculation'!C:C,'To Populate Tariff'!B31)</f>
        <v>-2.5252116832961018E-2</v>
      </c>
      <c r="F31" s="343">
        <f>SUMIFS('DF Calculation'!N:N,'DF Calculation'!B:B,'To Populate Tariff'!A31,'DF Calculation'!C:C,'To Populate Tariff'!B31)</f>
        <v>4.8247478831670385</v>
      </c>
      <c r="G31" s="319" t="str">
        <f t="shared" si="3"/>
        <v>ok</v>
      </c>
      <c r="H31" s="305">
        <f>SUMIFS('DF Calculation'!$L:$L,'DF Calculation'!$B:$B,'To Populate Tariff'!$A31,'DF Calculation'!$C:$C,'To Populate Tariff'!$B31)</f>
        <v>4.83</v>
      </c>
      <c r="I31" s="305">
        <f>SUMIFS('DF Calculation'!$M:$M,'DF Calculation'!$B:$B,'To Populate Tariff'!$A31,'DF Calculation'!$C:$C,'To Populate Tariff'!$B31)</f>
        <v>-2.5252116832961018E-2</v>
      </c>
      <c r="J31" s="343">
        <f>SUMIFS('DF Calculation'!$O:$O,'DF Calculation'!$B:$B,'To Populate Tariff'!$A31,'DF Calculation'!$C:$C,'To Populate Tariff'!$B31)</f>
        <v>4.8047478831670389</v>
      </c>
      <c r="K31" s="319" t="str">
        <f t="shared" si="0"/>
        <v>ok</v>
      </c>
      <c r="N31" s="1">
        <v>4.8241063003926064</v>
      </c>
      <c r="O31" s="1">
        <v>4.8041063003926068</v>
      </c>
      <c r="P31" s="310">
        <f t="shared" si="1"/>
        <v>6.4158277443215894E-4</v>
      </c>
      <c r="Q31" s="310">
        <f t="shared" si="2"/>
        <v>6.4158277443215894E-4</v>
      </c>
    </row>
    <row r="32" spans="1:17">
      <c r="A32" s="281">
        <v>29</v>
      </c>
      <c r="B32" s="282" t="s">
        <v>246</v>
      </c>
      <c r="C32" s="282" t="str">
        <f>VLOOKUP(B32,Mapping!$D$2:$H$157,5,FALSE)</f>
        <v>20 Gallon Cart Count Regular</v>
      </c>
      <c r="D32" s="302">
        <f>SUMIFS('DF Calculation'!K:K,'DF Calculation'!B:B,'To Populate Tariff'!A32,'DF Calculation'!C:C,'To Populate Tariff'!B32)</f>
        <v>3.9</v>
      </c>
      <c r="E32" s="302">
        <f>SUMIFS('DF Calculation'!M:M,'DF Calculation'!B:B,'To Populate Tariff'!A32,'DF Calculation'!C:C,'To Populate Tariff'!B32)</f>
        <v>-1.7415252988248978E-2</v>
      </c>
      <c r="F32" s="343">
        <f>SUMIFS('DF Calculation'!N:N,'DF Calculation'!B:B,'To Populate Tariff'!A32,'DF Calculation'!C:C,'To Populate Tariff'!B32)</f>
        <v>3.8825847470117507</v>
      </c>
      <c r="G32" s="316" t="str">
        <f t="shared" si="3"/>
        <v>ok</v>
      </c>
      <c r="H32" s="302">
        <f>SUMIFS('DF Calculation'!$L:$L,'DF Calculation'!$B:$B,'To Populate Tariff'!$A32,'DF Calculation'!$C:$C,'To Populate Tariff'!$B32)</f>
        <v>3.88</v>
      </c>
      <c r="I32" s="302">
        <f>SUMIFS('DF Calculation'!$M:$M,'DF Calculation'!$B:$B,'To Populate Tariff'!$A32,'DF Calculation'!$C:$C,'To Populate Tariff'!$B32)</f>
        <v>-1.7415252988248978E-2</v>
      </c>
      <c r="J32" s="343">
        <f>SUMIFS('DF Calculation'!$O:$O,'DF Calculation'!$B:$B,'To Populate Tariff'!$A32,'DF Calculation'!$C:$C,'To Populate Tariff'!$B32)</f>
        <v>3.8625847470117507</v>
      </c>
      <c r="K32" s="316" t="str">
        <f t="shared" si="0"/>
        <v>ok</v>
      </c>
      <c r="N32" s="1">
        <v>3.8821422761328321</v>
      </c>
      <c r="O32" s="1">
        <v>3.8621422761328321</v>
      </c>
      <c r="P32" s="310">
        <f t="shared" si="1"/>
        <v>4.4247087891857717E-4</v>
      </c>
      <c r="Q32" s="310">
        <f t="shared" si="2"/>
        <v>4.4247087891857717E-4</v>
      </c>
    </row>
    <row r="33" spans="1:17">
      <c r="A33" s="281">
        <v>29</v>
      </c>
      <c r="B33" s="282" t="s">
        <v>240</v>
      </c>
      <c r="C33" s="282" t="str">
        <f>VLOOKUP(B33,Mapping!$D$2:$H$157,5,FALSE)</f>
        <v>35 Gallon Cart Count Regular</v>
      </c>
      <c r="D33" s="302">
        <f>SUMIFS('DF Calculation'!K:K,'DF Calculation'!B:B,'To Populate Tariff'!A33,'DF Calculation'!C:C,'To Populate Tariff'!B33)</f>
        <v>4.88</v>
      </c>
      <c r="E33" s="302">
        <f>SUMIFS('DF Calculation'!M:M,'DF Calculation'!B:B,'To Populate Tariff'!A33,'DF Calculation'!C:C,'To Populate Tariff'!B33)</f>
        <v>-2.9605930080023265E-2</v>
      </c>
      <c r="F33" s="343">
        <f>SUMIFS('DF Calculation'!N:N,'DF Calculation'!B:B,'To Populate Tariff'!A33,'DF Calculation'!C:C,'To Populate Tariff'!B33)</f>
        <v>4.850394069919977</v>
      </c>
      <c r="G33" s="316" t="str">
        <f t="shared" si="3"/>
        <v>ok</v>
      </c>
      <c r="H33" s="302">
        <f>SUMIFS('DF Calculation'!$L:$L,'DF Calculation'!$B:$B,'To Populate Tariff'!$A33,'DF Calculation'!$C:$C,'To Populate Tariff'!$B33)</f>
        <v>4.8600000000000003</v>
      </c>
      <c r="I33" s="302">
        <f>SUMIFS('DF Calculation'!$M:$M,'DF Calculation'!$B:$B,'To Populate Tariff'!$A33,'DF Calculation'!$C:$C,'To Populate Tariff'!$B33)</f>
        <v>-2.9605930080023265E-2</v>
      </c>
      <c r="J33" s="343">
        <f>SUMIFS('DF Calculation'!$O:$O,'DF Calculation'!$B:$B,'To Populate Tariff'!$A33,'DF Calculation'!$C:$C,'To Populate Tariff'!$B33)</f>
        <v>4.8303940699199774</v>
      </c>
      <c r="K33" s="316" t="str">
        <f t="shared" si="0"/>
        <v>ok</v>
      </c>
      <c r="N33" s="1">
        <v>4.849641869425815</v>
      </c>
      <c r="O33" s="1">
        <v>4.8296418694258154</v>
      </c>
      <c r="P33" s="310">
        <f t="shared" si="1"/>
        <v>7.5220049416202528E-4</v>
      </c>
      <c r="Q33" s="310">
        <f t="shared" si="2"/>
        <v>7.5220049416202528E-4</v>
      </c>
    </row>
    <row r="34" spans="1:17">
      <c r="A34" s="281">
        <v>29</v>
      </c>
      <c r="B34" s="282" t="s">
        <v>241</v>
      </c>
      <c r="C34" s="282" t="str">
        <f>VLOOKUP(B34,Mapping!$D$2:$H$157,5,FALSE)</f>
        <v>65 Gallon Cart Count Regular</v>
      </c>
      <c r="D34" s="302">
        <f>SUMIFS('DF Calculation'!K:K,'DF Calculation'!B:B,'To Populate Tariff'!A34,'DF Calculation'!C:C,'To Populate Tariff'!B34)</f>
        <v>7.23</v>
      </c>
      <c r="E34" s="302">
        <f>SUMIFS('DF Calculation'!M:M,'DF Calculation'!B:B,'To Populate Tariff'!A34,'DF Calculation'!C:C,'To Populate Tariff'!B34)</f>
        <v>-4.0925844522385103E-2</v>
      </c>
      <c r="F34" s="343">
        <f>SUMIFS('DF Calculation'!N:N,'DF Calculation'!B:B,'To Populate Tariff'!A34,'DF Calculation'!C:C,'To Populate Tariff'!B34)</f>
        <v>7.1890741554776154</v>
      </c>
      <c r="G34" s="316" t="str">
        <f t="shared" si="3"/>
        <v>ok</v>
      </c>
      <c r="H34" s="302">
        <f>SUMIFS('DF Calculation'!$L:$L,'DF Calculation'!$B:$B,'To Populate Tariff'!$A34,'DF Calculation'!$C:$C,'To Populate Tariff'!$B34)</f>
        <v>7.2</v>
      </c>
      <c r="I34" s="302">
        <f>SUMIFS('DF Calculation'!$M:$M,'DF Calculation'!$B:$B,'To Populate Tariff'!$A34,'DF Calculation'!$C:$C,'To Populate Tariff'!$B34)</f>
        <v>-4.0925844522385103E-2</v>
      </c>
      <c r="J34" s="343">
        <f>SUMIFS('DF Calculation'!$O:$O,'DF Calculation'!$B:$B,'To Populate Tariff'!$A34,'DF Calculation'!$C:$C,'To Populate Tariff'!$B34)</f>
        <v>7.1590741554776152</v>
      </c>
      <c r="K34" s="316" t="str">
        <f t="shared" si="0"/>
        <v>ok</v>
      </c>
      <c r="N34" s="1">
        <v>7.1880343489121561</v>
      </c>
      <c r="O34" s="1">
        <v>7.1580343489121558</v>
      </c>
      <c r="P34" s="310">
        <f t="shared" si="1"/>
        <v>1.0398065654593225E-3</v>
      </c>
      <c r="Q34" s="310">
        <f t="shared" si="2"/>
        <v>1.0398065654593225E-3</v>
      </c>
    </row>
    <row r="35" spans="1:17">
      <c r="A35" s="281">
        <v>29</v>
      </c>
      <c r="B35" s="282" t="s">
        <v>242</v>
      </c>
      <c r="C35" s="282" t="str">
        <f>VLOOKUP(B35,Mapping!$D$2:$H$157,5,FALSE)</f>
        <v>95 Gallon Cart Count Regular</v>
      </c>
      <c r="D35" s="302">
        <f>SUMIFS('DF Calculation'!K:K,'DF Calculation'!B:B,'To Populate Tariff'!A35,'DF Calculation'!C:C,'To Populate Tariff'!B35)</f>
        <v>10.11</v>
      </c>
      <c r="E35" s="302">
        <f>SUMIFS('DF Calculation'!M:M,'DF Calculation'!B:B,'To Populate Tariff'!A35,'DF Calculation'!C:C,'To Populate Tariff'!B35)</f>
        <v>-5.921186016004653E-2</v>
      </c>
      <c r="F35" s="343">
        <f>SUMIFS('DF Calculation'!N:N,'DF Calculation'!B:B,'To Populate Tariff'!A35,'DF Calculation'!C:C,'To Populate Tariff'!B35)</f>
        <v>10.050788139839954</v>
      </c>
      <c r="G35" s="316" t="str">
        <f t="shared" si="3"/>
        <v>ok</v>
      </c>
      <c r="H35" s="302">
        <f>SUMIFS('DF Calculation'!$L:$L,'DF Calculation'!$B:$B,'To Populate Tariff'!$A35,'DF Calculation'!$C:$C,'To Populate Tariff'!$B35)</f>
        <v>10.06</v>
      </c>
      <c r="I35" s="302">
        <f>SUMIFS('DF Calculation'!$M:$M,'DF Calculation'!$B:$B,'To Populate Tariff'!$A35,'DF Calculation'!$C:$C,'To Populate Tariff'!$B35)</f>
        <v>-5.921186016004653E-2</v>
      </c>
      <c r="J35" s="343">
        <f>SUMIFS('DF Calculation'!$O:$O,'DF Calculation'!$B:$B,'To Populate Tariff'!$A35,'DF Calculation'!$C:$C,'To Populate Tariff'!$B35)</f>
        <v>10.000788139839955</v>
      </c>
      <c r="K35" s="316" t="str">
        <f t="shared" si="0"/>
        <v>ok</v>
      </c>
      <c r="N35" s="1">
        <v>10.04928373885163</v>
      </c>
      <c r="O35" s="1">
        <v>9.9992837388516307</v>
      </c>
      <c r="P35" s="310">
        <f t="shared" si="1"/>
        <v>1.5044009883240506E-3</v>
      </c>
      <c r="Q35" s="310">
        <f t="shared" si="2"/>
        <v>1.5044009883240506E-3</v>
      </c>
    </row>
    <row r="36" spans="1:17">
      <c r="A36" s="290">
        <v>30</v>
      </c>
      <c r="B36" s="291" t="s">
        <v>108</v>
      </c>
      <c r="C36" s="291" t="str">
        <f>VLOOKUP(B36,Mapping!$D$2:$H$157,5,FALSE)</f>
        <v>1.5 yard Regular</v>
      </c>
      <c r="D36" s="306">
        <f>SUMIFS('DF Calculation'!K:K,'DF Calculation'!B:B,'To Populate Tariff'!A36,'DF Calculation'!C:C,'To Populate Tariff'!B36)</f>
        <v>40.130000000000003</v>
      </c>
      <c r="E36" s="306">
        <f>SUMIFS('DF Calculation'!M:M,'DF Calculation'!B:B,'To Populate Tariff'!A36,'DF Calculation'!C:C,'To Populate Tariff'!B36)</f>
        <v>-0.21769066235311221</v>
      </c>
      <c r="F36" s="343">
        <f>SUMIFS('DF Calculation'!N:N,'DF Calculation'!B:B,'To Populate Tariff'!A36,'DF Calculation'!C:C,'To Populate Tariff'!B36)</f>
        <v>39.912309337646889</v>
      </c>
      <c r="G36" s="320" t="str">
        <f t="shared" si="3"/>
        <v>ok</v>
      </c>
      <c r="H36" s="306">
        <f>SUMIFS('DF Calculation'!$L:$L,'DF Calculation'!$B:$B,'To Populate Tariff'!$A36,'DF Calculation'!$C:$C,'To Populate Tariff'!$B36)</f>
        <v>39.94</v>
      </c>
      <c r="I36" s="306">
        <f>SUMIFS('DF Calculation'!$M:$M,'DF Calculation'!$B:$B,'To Populate Tariff'!$A36,'DF Calculation'!$C:$C,'To Populate Tariff'!$B36)</f>
        <v>-0.21769066235311221</v>
      </c>
      <c r="J36" s="343">
        <f>SUMIFS('DF Calculation'!$O:$O,'DF Calculation'!$B:$B,'To Populate Tariff'!$A36,'DF Calculation'!$C:$C,'To Populate Tariff'!$B36)</f>
        <v>39.722309337646884</v>
      </c>
      <c r="K36" s="320" t="str">
        <f t="shared" si="0"/>
        <v>ok</v>
      </c>
      <c r="N36" s="341">
        <v>39.906778451660408</v>
      </c>
      <c r="O36" s="341">
        <v>39.716778451660403</v>
      </c>
      <c r="P36" s="342">
        <f t="shared" si="1"/>
        <v>5.5308859864808824E-3</v>
      </c>
      <c r="Q36" s="342">
        <f t="shared" si="2"/>
        <v>5.5308859864808824E-3</v>
      </c>
    </row>
    <row r="37" spans="1:17">
      <c r="A37" s="290">
        <v>30</v>
      </c>
      <c r="B37" s="291" t="s">
        <v>234</v>
      </c>
      <c r="C37" s="291" t="str">
        <f>VLOOKUP(B37,Mapping!$D$2:$H$157,5,FALSE)</f>
        <v>1.5 yard Extra</v>
      </c>
      <c r="D37" s="306">
        <f>SUMIFS('DF Calculation'!K:K,'DF Calculation'!B:B,'To Populate Tariff'!A37,'DF Calculation'!C:C,'To Populate Tariff'!B37)</f>
        <v>40.130000000000003</v>
      </c>
      <c r="E37" s="306">
        <f>SUMIFS('DF Calculation'!M:M,'DF Calculation'!B:B,'To Populate Tariff'!A37,'DF Calculation'!C:C,'To Populate Tariff'!B37)</f>
        <v>-0.21769066235311227</v>
      </c>
      <c r="F37" s="343">
        <f>SUMIFS('DF Calculation'!N:N,'DF Calculation'!B:B,'To Populate Tariff'!A37,'DF Calculation'!C:C,'To Populate Tariff'!B37)</f>
        <v>39.912309337646889</v>
      </c>
      <c r="G37" s="320" t="str">
        <f t="shared" si="3"/>
        <v>ok</v>
      </c>
      <c r="H37" s="306">
        <f>SUMIFS('DF Calculation'!$L:$L,'DF Calculation'!$B:$B,'To Populate Tariff'!$A37,'DF Calculation'!$C:$C,'To Populate Tariff'!$B37)</f>
        <v>39.94</v>
      </c>
      <c r="I37" s="306">
        <f>SUMIFS('DF Calculation'!$M:$M,'DF Calculation'!$B:$B,'To Populate Tariff'!$A37,'DF Calculation'!$C:$C,'To Populate Tariff'!$B37)</f>
        <v>-0.21769066235311227</v>
      </c>
      <c r="J37" s="343">
        <f>SUMIFS('DF Calculation'!$O:$O,'DF Calculation'!$B:$B,'To Populate Tariff'!$A37,'DF Calculation'!$C:$C,'To Populate Tariff'!$B37)</f>
        <v>39.722309337646884</v>
      </c>
      <c r="K37" s="320" t="str">
        <f t="shared" si="0"/>
        <v>ok</v>
      </c>
      <c r="N37" s="341">
        <v>39.906778451660408</v>
      </c>
      <c r="O37" s="341">
        <v>39.716778451660403</v>
      </c>
      <c r="P37" s="342">
        <f t="shared" si="1"/>
        <v>5.5308859864808824E-3</v>
      </c>
      <c r="Q37" s="342">
        <f t="shared" si="2"/>
        <v>5.5308859864808824E-3</v>
      </c>
    </row>
    <row r="38" spans="1:17">
      <c r="A38" s="290">
        <v>30</v>
      </c>
      <c r="B38" s="291" t="s">
        <v>120</v>
      </c>
      <c r="C38" s="291" t="str">
        <f>VLOOKUP(B38,Mapping!$D$2:$H$157,5,FALSE)</f>
        <v>1.5 yard Temp</v>
      </c>
      <c r="D38" s="306">
        <f>SUMIFS('DF Calculation'!K:K,'DF Calculation'!B:B,'To Populate Tariff'!A38,'DF Calculation'!C:C,'To Populate Tariff'!B38)</f>
        <v>42.33</v>
      </c>
      <c r="E38" s="306">
        <f>SUMIFS('DF Calculation'!M:M,'DF Calculation'!B:B,'To Populate Tariff'!A38,'DF Calculation'!C:C,'To Populate Tariff'!B38)</f>
        <v>-0.21769066235311221</v>
      </c>
      <c r="F38" s="343">
        <f>SUMIFS('DF Calculation'!N:N,'DF Calculation'!B:B,'To Populate Tariff'!A38,'DF Calculation'!C:C,'To Populate Tariff'!B38)</f>
        <v>42.112309337646884</v>
      </c>
      <c r="G38" s="320" t="str">
        <f t="shared" si="3"/>
        <v>ok</v>
      </c>
      <c r="H38" s="306">
        <f>SUMIFS('DF Calculation'!$L:$L,'DF Calculation'!$B:$B,'To Populate Tariff'!$A38,'DF Calculation'!$C:$C,'To Populate Tariff'!$B38)</f>
        <v>42.13</v>
      </c>
      <c r="I38" s="306">
        <f>SUMIFS('DF Calculation'!$M:$M,'DF Calculation'!$B:$B,'To Populate Tariff'!$A38,'DF Calculation'!$C:$C,'To Populate Tariff'!$B38)</f>
        <v>-0.21769066235311221</v>
      </c>
      <c r="J38" s="343">
        <f>SUMIFS('DF Calculation'!$O:$O,'DF Calculation'!$B:$B,'To Populate Tariff'!$A38,'DF Calculation'!$C:$C,'To Populate Tariff'!$B38)</f>
        <v>41.912309337646889</v>
      </c>
      <c r="K38" s="320" t="str">
        <f t="shared" si="0"/>
        <v>ok</v>
      </c>
      <c r="N38" s="341">
        <v>42.106778451660404</v>
      </c>
      <c r="O38" s="341">
        <v>41.906778451660408</v>
      </c>
      <c r="P38" s="342">
        <f t="shared" si="1"/>
        <v>5.5308859864808824E-3</v>
      </c>
      <c r="Q38" s="342">
        <f t="shared" si="2"/>
        <v>5.5308859864808824E-3</v>
      </c>
    </row>
    <row r="39" spans="1:17">
      <c r="A39" s="290">
        <v>30</v>
      </c>
      <c r="B39" s="291" t="s">
        <v>107</v>
      </c>
      <c r="C39" s="291" t="str">
        <f>VLOOKUP(B39,Mapping!$D$2:$H$157,5,FALSE)</f>
        <v>1 yard Regular</v>
      </c>
      <c r="D39" s="306">
        <f>SUMIFS('DF Calculation'!K:K,'DF Calculation'!B:B,'To Populate Tariff'!A39,'DF Calculation'!C:C,'To Populate Tariff'!B39)</f>
        <v>28.6</v>
      </c>
      <c r="E39" s="306">
        <f>SUMIFS('DF Calculation'!M:M,'DF Calculation'!B:B,'To Populate Tariff'!A39,'DF Calculation'!C:C,'To Populate Tariff'!B39)</f>
        <v>-0.15238346364717859</v>
      </c>
      <c r="F39" s="343">
        <f>SUMIFS('DF Calculation'!N:N,'DF Calculation'!B:B,'To Populate Tariff'!A39,'DF Calculation'!C:C,'To Populate Tariff'!B39)</f>
        <v>28.447616536352822</v>
      </c>
      <c r="G39" s="320" t="str">
        <f t="shared" si="3"/>
        <v>ok</v>
      </c>
      <c r="H39" s="306">
        <f>SUMIFS('DF Calculation'!$L:$L,'DF Calculation'!$B:$B,'To Populate Tariff'!$A39,'DF Calculation'!$C:$C,'To Populate Tariff'!$B39)</f>
        <v>28.47</v>
      </c>
      <c r="I39" s="306">
        <f>SUMIFS('DF Calculation'!$M:$M,'DF Calculation'!$B:$B,'To Populate Tariff'!$A39,'DF Calculation'!$C:$C,'To Populate Tariff'!$B39)</f>
        <v>-0.15238346364717859</v>
      </c>
      <c r="J39" s="343">
        <f>SUMIFS('DF Calculation'!$O:$O,'DF Calculation'!$B:$B,'To Populate Tariff'!$A39,'DF Calculation'!$C:$C,'To Populate Tariff'!$B39)</f>
        <v>28.317616536352819</v>
      </c>
      <c r="K39" s="320" t="str">
        <f t="shared" si="0"/>
        <v>ok</v>
      </c>
      <c r="N39" s="344">
        <v>28.443744916162284</v>
      </c>
      <c r="O39" s="1">
        <v>28.313744916162282</v>
      </c>
      <c r="P39" s="310">
        <f t="shared" si="1"/>
        <v>3.8716201905373282E-3</v>
      </c>
      <c r="Q39" s="310">
        <f t="shared" si="2"/>
        <v>3.8716201905373282E-3</v>
      </c>
    </row>
    <row r="40" spans="1:17">
      <c r="A40" s="290">
        <v>30</v>
      </c>
      <c r="B40" s="291" t="s">
        <v>236</v>
      </c>
      <c r="C40" s="291" t="str">
        <f>VLOOKUP(B40,Mapping!$D$2:$H$157,5,FALSE)</f>
        <v>1 yard Extra</v>
      </c>
      <c r="D40" s="306">
        <f>SUMIFS('DF Calculation'!K:K,'DF Calculation'!B:B,'To Populate Tariff'!A40,'DF Calculation'!C:C,'To Populate Tariff'!B40)</f>
        <v>28.6</v>
      </c>
      <c r="E40" s="306">
        <f>SUMIFS('DF Calculation'!M:M,'DF Calculation'!B:B,'To Populate Tariff'!A40,'DF Calculation'!C:C,'To Populate Tariff'!B40)</f>
        <v>-0.15238346364717856</v>
      </c>
      <c r="F40" s="343">
        <f>SUMIFS('DF Calculation'!N:N,'DF Calculation'!B:B,'To Populate Tariff'!A40,'DF Calculation'!C:C,'To Populate Tariff'!B40)</f>
        <v>28.447616536352822</v>
      </c>
      <c r="G40" s="320" t="str">
        <f t="shared" si="3"/>
        <v>ok</v>
      </c>
      <c r="H40" s="306">
        <f>SUMIFS('DF Calculation'!$L:$L,'DF Calculation'!$B:$B,'To Populate Tariff'!$A40,'DF Calculation'!$C:$C,'To Populate Tariff'!$B40)</f>
        <v>28.47</v>
      </c>
      <c r="I40" s="306">
        <f>SUMIFS('DF Calculation'!$M:$M,'DF Calculation'!$B:$B,'To Populate Tariff'!$A40,'DF Calculation'!$C:$C,'To Populate Tariff'!$B40)</f>
        <v>-0.15238346364717856</v>
      </c>
      <c r="J40" s="343">
        <f>SUMIFS('DF Calculation'!$O:$O,'DF Calculation'!$B:$B,'To Populate Tariff'!$A40,'DF Calculation'!$C:$C,'To Populate Tariff'!$B40)</f>
        <v>28.317616536352819</v>
      </c>
      <c r="K40" s="320" t="str">
        <f t="shared" si="0"/>
        <v>ok</v>
      </c>
      <c r="N40" s="344">
        <v>28.443744916162284</v>
      </c>
      <c r="O40" s="1">
        <v>28.313744916162282</v>
      </c>
      <c r="P40" s="310">
        <f t="shared" si="1"/>
        <v>3.8716201905373282E-3</v>
      </c>
      <c r="Q40" s="310">
        <f t="shared" si="2"/>
        <v>3.8716201905373282E-3</v>
      </c>
    </row>
    <row r="41" spans="1:17">
      <c r="A41" s="290">
        <v>30</v>
      </c>
      <c r="B41" s="291" t="s">
        <v>119</v>
      </c>
      <c r="C41" s="291" t="str">
        <f>VLOOKUP(B41,Mapping!$D$2:$H$157,5,FALSE)</f>
        <v>1 yard Temp</v>
      </c>
      <c r="D41" s="306">
        <f>SUMIFS('DF Calculation'!K:K,'DF Calculation'!B:B,'To Populate Tariff'!A41,'DF Calculation'!C:C,'To Populate Tariff'!B41)</f>
        <v>30.78</v>
      </c>
      <c r="E41" s="306">
        <f>SUMIFS('DF Calculation'!M:M,'DF Calculation'!B:B,'To Populate Tariff'!A41,'DF Calculation'!C:C,'To Populate Tariff'!B41)</f>
        <v>-0.15238346364717859</v>
      </c>
      <c r="F41" s="343">
        <f>SUMIFS('DF Calculation'!N:N,'DF Calculation'!B:B,'To Populate Tariff'!A41,'DF Calculation'!C:C,'To Populate Tariff'!B41)</f>
        <v>30.627616536352821</v>
      </c>
      <c r="G41" s="320" t="str">
        <f t="shared" si="3"/>
        <v>ok</v>
      </c>
      <c r="H41" s="306">
        <f>SUMIFS('DF Calculation'!$L:$L,'DF Calculation'!$B:$B,'To Populate Tariff'!$A41,'DF Calculation'!$C:$C,'To Populate Tariff'!$B41)</f>
        <v>30.64</v>
      </c>
      <c r="I41" s="306">
        <f>SUMIFS('DF Calculation'!$M:$M,'DF Calculation'!$B:$B,'To Populate Tariff'!$A41,'DF Calculation'!$C:$C,'To Populate Tariff'!$B41)</f>
        <v>-0.15238346364717859</v>
      </c>
      <c r="J41" s="343">
        <f>SUMIFS('DF Calculation'!$O:$O,'DF Calculation'!$B:$B,'To Populate Tariff'!$A41,'DF Calculation'!$C:$C,'To Populate Tariff'!$B41)</f>
        <v>30.487616536352821</v>
      </c>
      <c r="K41" s="320" t="str">
        <f t="shared" si="0"/>
        <v>ok</v>
      </c>
      <c r="N41" s="344">
        <v>30.623744916162284</v>
      </c>
      <c r="O41" s="1">
        <v>30.483744916162284</v>
      </c>
      <c r="P41" s="310">
        <f t="shared" si="1"/>
        <v>3.8716201905373282E-3</v>
      </c>
      <c r="Q41" s="310">
        <f t="shared" si="2"/>
        <v>3.8716201905373282E-3</v>
      </c>
    </row>
    <row r="42" spans="1:17">
      <c r="A42" s="290">
        <v>30</v>
      </c>
      <c r="B42" s="291" t="s">
        <v>111</v>
      </c>
      <c r="C42" s="291" t="str">
        <f>VLOOKUP(B42,Mapping!$D$2:$H$157,5,FALSE)</f>
        <v>2 yard Regular</v>
      </c>
      <c r="D42" s="306">
        <f>SUMIFS('DF Calculation'!K:K,'DF Calculation'!B:B,'To Populate Tariff'!A42,'DF Calculation'!C:C,'To Populate Tariff'!B42)</f>
        <v>50.66</v>
      </c>
      <c r="E42" s="306">
        <f>SUMIFS('DF Calculation'!M:M,'DF Calculation'!B:B,'To Populate Tariff'!A42,'DF Calculation'!C:C,'To Populate Tariff'!B42)</f>
        <v>-0.28212709840963351</v>
      </c>
      <c r="F42" s="343">
        <f>SUMIFS('DF Calculation'!N:N,'DF Calculation'!B:B,'To Populate Tariff'!A42,'DF Calculation'!C:C,'To Populate Tariff'!B42)</f>
        <v>50.377872901590365</v>
      </c>
      <c r="G42" s="320" t="str">
        <f t="shared" si="3"/>
        <v>ok</v>
      </c>
      <c r="H42" s="306">
        <f>SUMIFS('DF Calculation'!$L:$L,'DF Calculation'!$B:$B,'To Populate Tariff'!$A42,'DF Calculation'!$C:$C,'To Populate Tariff'!$B42)</f>
        <v>50.42</v>
      </c>
      <c r="I42" s="306">
        <f>SUMIFS('DF Calculation'!$M:$M,'DF Calculation'!$B:$B,'To Populate Tariff'!$A42,'DF Calculation'!$C:$C,'To Populate Tariff'!$B42)</f>
        <v>-0.28212709840963351</v>
      </c>
      <c r="J42" s="343">
        <f>SUMIFS('DF Calculation'!$O:$O,'DF Calculation'!$B:$B,'To Populate Tariff'!$A42,'DF Calculation'!$C:$C,'To Populate Tariff'!$B42)</f>
        <v>50.13787290159037</v>
      </c>
      <c r="K42" s="320" t="str">
        <f t="shared" si="0"/>
        <v>ok</v>
      </c>
      <c r="N42" s="339">
        <v>50.370704873351883</v>
      </c>
      <c r="O42" s="339">
        <v>50.130704873351888</v>
      </c>
      <c r="P42" s="340">
        <f t="shared" si="1"/>
        <v>7.1680282384818383E-3</v>
      </c>
      <c r="Q42" s="340">
        <f t="shared" si="2"/>
        <v>7.1680282384818383E-3</v>
      </c>
    </row>
    <row r="43" spans="1:17">
      <c r="A43" s="290">
        <v>30</v>
      </c>
      <c r="B43" s="291" t="s">
        <v>237</v>
      </c>
      <c r="C43" s="291" t="str">
        <f>VLOOKUP(B43,Mapping!$D$2:$H$157,5,FALSE)</f>
        <v>2 yard Extra</v>
      </c>
      <c r="D43" s="306">
        <f>SUMIFS('DF Calculation'!K:K,'DF Calculation'!B:B,'To Populate Tariff'!A43,'DF Calculation'!C:C,'To Populate Tariff'!B43)</f>
        <v>50.66</v>
      </c>
      <c r="E43" s="306">
        <f>SUMIFS('DF Calculation'!M:M,'DF Calculation'!B:B,'To Populate Tariff'!A43,'DF Calculation'!C:C,'To Populate Tariff'!B43)</f>
        <v>-0.28212709840963346</v>
      </c>
      <c r="F43" s="343">
        <f>SUMIFS('DF Calculation'!N:N,'DF Calculation'!B:B,'To Populate Tariff'!A43,'DF Calculation'!C:C,'To Populate Tariff'!B43)</f>
        <v>50.377872901590365</v>
      </c>
      <c r="G43" s="320" t="str">
        <f t="shared" si="3"/>
        <v>ok</v>
      </c>
      <c r="H43" s="306">
        <f>SUMIFS('DF Calculation'!$L:$L,'DF Calculation'!$B:$B,'To Populate Tariff'!$A43,'DF Calculation'!$C:$C,'To Populate Tariff'!$B43)</f>
        <v>50.42</v>
      </c>
      <c r="I43" s="306">
        <f>SUMIFS('DF Calculation'!$M:$M,'DF Calculation'!$B:$B,'To Populate Tariff'!$A43,'DF Calculation'!$C:$C,'To Populate Tariff'!$B43)</f>
        <v>-0.28212709840963346</v>
      </c>
      <c r="J43" s="343">
        <f>SUMIFS('DF Calculation'!$O:$O,'DF Calculation'!$B:$B,'To Populate Tariff'!$A43,'DF Calculation'!$C:$C,'To Populate Tariff'!$B43)</f>
        <v>50.13787290159037</v>
      </c>
      <c r="K43" s="320" t="str">
        <f t="shared" si="0"/>
        <v>ok</v>
      </c>
      <c r="N43" s="339">
        <v>50.370704873351883</v>
      </c>
      <c r="O43" s="339">
        <v>50.130704873351888</v>
      </c>
      <c r="P43" s="340">
        <f t="shared" si="1"/>
        <v>7.1680282384818383E-3</v>
      </c>
      <c r="Q43" s="340">
        <f t="shared" si="2"/>
        <v>7.1680282384818383E-3</v>
      </c>
    </row>
    <row r="44" spans="1:17">
      <c r="A44" s="290">
        <v>30</v>
      </c>
      <c r="B44" s="291" t="s">
        <v>121</v>
      </c>
      <c r="C44" s="291" t="str">
        <f>VLOOKUP(B44,Mapping!$D$2:$H$157,5,FALSE)</f>
        <v>2 yard Temp</v>
      </c>
      <c r="D44" s="306">
        <f>SUMIFS('DF Calculation'!K:K,'DF Calculation'!B:B,'To Populate Tariff'!A44,'DF Calculation'!C:C,'To Populate Tariff'!B44)</f>
        <v>52.85</v>
      </c>
      <c r="E44" s="306">
        <f>SUMIFS('DF Calculation'!M:M,'DF Calculation'!B:B,'To Populate Tariff'!A44,'DF Calculation'!C:C,'To Populate Tariff'!B44)</f>
        <v>-0.28212709840963346</v>
      </c>
      <c r="F44" s="343">
        <f>SUMIFS('DF Calculation'!N:N,'DF Calculation'!B:B,'To Populate Tariff'!A44,'DF Calculation'!C:C,'To Populate Tariff'!B44)</f>
        <v>52.56787290159037</v>
      </c>
      <c r="G44" s="320" t="str">
        <f t="shared" si="3"/>
        <v>ok</v>
      </c>
      <c r="H44" s="306">
        <f>SUMIFS('DF Calculation'!$L:$L,'DF Calculation'!$B:$B,'To Populate Tariff'!$A44,'DF Calculation'!$C:$C,'To Populate Tariff'!$B44)</f>
        <v>52.6</v>
      </c>
      <c r="I44" s="306">
        <f>SUMIFS('DF Calculation'!$M:$M,'DF Calculation'!$B:$B,'To Populate Tariff'!$A44,'DF Calculation'!$C:$C,'To Populate Tariff'!$B44)</f>
        <v>-0.28212709840963346</v>
      </c>
      <c r="J44" s="343">
        <f>SUMIFS('DF Calculation'!$O:$O,'DF Calculation'!$B:$B,'To Populate Tariff'!$A44,'DF Calculation'!$C:$C,'To Populate Tariff'!$B44)</f>
        <v>52.31787290159037</v>
      </c>
      <c r="K44" s="320" t="str">
        <f t="shared" si="0"/>
        <v>ok</v>
      </c>
      <c r="N44" s="339">
        <v>52.560704873351888</v>
      </c>
      <c r="O44" s="339">
        <v>52.310704873351888</v>
      </c>
      <c r="P44" s="340">
        <f t="shared" si="1"/>
        <v>7.1680282384818383E-3</v>
      </c>
      <c r="Q44" s="340">
        <f t="shared" si="2"/>
        <v>7.1680282384818383E-3</v>
      </c>
    </row>
    <row r="45" spans="1:17">
      <c r="A45" s="290">
        <v>30</v>
      </c>
      <c r="B45" s="291" t="s">
        <v>114</v>
      </c>
      <c r="C45" s="291" t="str">
        <f>VLOOKUP(B45,Mapping!$D$2:$H$157,5,FALSE)</f>
        <v>4 yard Regular</v>
      </c>
      <c r="D45" s="306">
        <f>SUMIFS('DF Calculation'!K:K,'DF Calculation'!B:B,'To Populate Tariff'!A45,'DF Calculation'!C:C,'To Populate Tariff'!B45)</f>
        <v>96.3</v>
      </c>
      <c r="E45" s="306">
        <f>SUMIFS('DF Calculation'!M:M,'DF Calculation'!B:B,'To Populate Tariff'!A45,'DF Calculation'!C:C,'To Populate Tariff'!B45)</f>
        <v>-0.53377750408983127</v>
      </c>
      <c r="F45" s="343">
        <f>SUMIFS('DF Calculation'!N:N,'DF Calculation'!B:B,'To Populate Tariff'!A45,'DF Calculation'!C:C,'To Populate Tariff'!B45)</f>
        <v>95.766222495910171</v>
      </c>
      <c r="G45" s="320" t="str">
        <f t="shared" si="3"/>
        <v>ok</v>
      </c>
      <c r="H45" s="306">
        <f>SUMIFS('DF Calculation'!$L:$L,'DF Calculation'!$B:$B,'To Populate Tariff'!$A45,'DF Calculation'!$C:$C,'To Populate Tariff'!$B45)</f>
        <v>95.85</v>
      </c>
      <c r="I45" s="306">
        <f>SUMIFS('DF Calculation'!$M:$M,'DF Calculation'!$B:$B,'To Populate Tariff'!$A45,'DF Calculation'!$C:$C,'To Populate Tariff'!$B45)</f>
        <v>-0.53377750408983127</v>
      </c>
      <c r="J45" s="343">
        <f>SUMIFS('DF Calculation'!$O:$O,'DF Calculation'!$B:$B,'To Populate Tariff'!$A45,'DF Calculation'!$C:$C,'To Populate Tariff'!$B45)</f>
        <v>95.316222495910168</v>
      </c>
      <c r="K45" s="320" t="str">
        <f t="shared" si="0"/>
        <v>ok</v>
      </c>
      <c r="N45" s="339">
        <v>95.752660763471312</v>
      </c>
      <c r="O45" s="339">
        <v>95.302660763471309</v>
      </c>
      <c r="P45" s="340">
        <f t="shared" si="1"/>
        <v>1.3561732438859053E-2</v>
      </c>
      <c r="Q45" s="340">
        <f t="shared" si="2"/>
        <v>1.3561732438859053E-2</v>
      </c>
    </row>
    <row r="46" spans="1:17">
      <c r="A46" s="290">
        <v>30</v>
      </c>
      <c r="B46" s="292" t="s">
        <v>238</v>
      </c>
      <c r="C46" s="292" t="str">
        <f>VLOOKUP(B46,Mapping!$D$2:$H$157,5,FALSE)</f>
        <v>4 yard Extra</v>
      </c>
      <c r="D46" s="306">
        <f>SUMIFS('DF Calculation'!K:K,'DF Calculation'!B:B,'To Populate Tariff'!A46,'DF Calculation'!C:C,'To Populate Tariff'!B46)</f>
        <v>96.3</v>
      </c>
      <c r="E46" s="306">
        <f>SUMIFS('DF Calculation'!M:M,'DF Calculation'!B:B,'To Populate Tariff'!A46,'DF Calculation'!C:C,'To Populate Tariff'!B46)</f>
        <v>-0.53377750408983127</v>
      </c>
      <c r="F46" s="343">
        <f>SUMIFS('DF Calculation'!N:N,'DF Calculation'!B:B,'To Populate Tariff'!A46,'DF Calculation'!C:C,'To Populate Tariff'!B46)</f>
        <v>95.766222495910171</v>
      </c>
      <c r="G46" s="320" t="str">
        <f t="shared" si="3"/>
        <v>ok</v>
      </c>
      <c r="H46" s="306">
        <f>SUMIFS('DF Calculation'!$L:$L,'DF Calculation'!$B:$B,'To Populate Tariff'!$A46,'DF Calculation'!$C:$C,'To Populate Tariff'!$B46)</f>
        <v>95.85</v>
      </c>
      <c r="I46" s="306">
        <f>SUMIFS('DF Calculation'!$M:$M,'DF Calculation'!$B:$B,'To Populate Tariff'!$A46,'DF Calculation'!$C:$C,'To Populate Tariff'!$B46)</f>
        <v>-0.53377750408983127</v>
      </c>
      <c r="J46" s="343">
        <f>SUMIFS('DF Calculation'!$O:$O,'DF Calculation'!$B:$B,'To Populate Tariff'!$A46,'DF Calculation'!$C:$C,'To Populate Tariff'!$B46)</f>
        <v>95.316222495910168</v>
      </c>
      <c r="K46" s="320" t="str">
        <f t="shared" si="0"/>
        <v>ok</v>
      </c>
      <c r="N46" s="339">
        <v>95.752660763471312</v>
      </c>
      <c r="O46" s="339">
        <v>95.302660763471309</v>
      </c>
      <c r="P46" s="340">
        <f t="shared" si="1"/>
        <v>1.3561732438859053E-2</v>
      </c>
      <c r="Q46" s="340">
        <f t="shared" si="2"/>
        <v>1.3561732438859053E-2</v>
      </c>
    </row>
    <row r="47" spans="1:17">
      <c r="A47" s="290">
        <v>30</v>
      </c>
      <c r="B47" s="291" t="s">
        <v>244</v>
      </c>
      <c r="C47" s="291" t="str">
        <f>VLOOKUP(B47,Mapping!$D$2:$H$157,5,FALSE)</f>
        <v>4 yard Temp</v>
      </c>
      <c r="D47" s="306">
        <f>SUMIFS('DF Calculation'!K:K,'DF Calculation'!B:B,'To Populate Tariff'!A47,'DF Calculation'!C:C,'To Populate Tariff'!B47)</f>
        <v>98.48</v>
      </c>
      <c r="E47" s="306">
        <f>SUMIFS('DF Calculation'!M:M,'DF Calculation'!B:B,'To Populate Tariff'!A47,'DF Calculation'!C:C,'To Populate Tariff'!B47)</f>
        <v>-0.53377750408983127</v>
      </c>
      <c r="F47" s="343">
        <f>SUMIFS('DF Calculation'!N:N,'DF Calculation'!B:B,'To Populate Tariff'!A47,'DF Calculation'!C:C,'To Populate Tariff'!B47)</f>
        <v>97.946222495910177</v>
      </c>
      <c r="G47" s="320" t="str">
        <f t="shared" si="3"/>
        <v>ok</v>
      </c>
      <c r="H47" s="306">
        <f>SUMIFS('DF Calculation'!$L:$L,'DF Calculation'!$B:$B,'To Populate Tariff'!$A47,'DF Calculation'!$C:$C,'To Populate Tariff'!$B47)</f>
        <v>98.02</v>
      </c>
      <c r="I47" s="306">
        <f>SUMIFS('DF Calculation'!$M:$M,'DF Calculation'!$B:$B,'To Populate Tariff'!$A47,'DF Calculation'!$C:$C,'To Populate Tariff'!$B47)</f>
        <v>-0.53377750408983127</v>
      </c>
      <c r="J47" s="343">
        <f>SUMIFS('DF Calculation'!$O:$O,'DF Calculation'!$B:$B,'To Populate Tariff'!$A47,'DF Calculation'!$C:$C,'To Populate Tariff'!$B47)</f>
        <v>97.48622249591017</v>
      </c>
      <c r="K47" s="320" t="str">
        <f t="shared" si="0"/>
        <v>ok</v>
      </c>
      <c r="N47" s="339">
        <v>97.932660763471318</v>
      </c>
      <c r="O47" s="339">
        <v>97.47266076347131</v>
      </c>
      <c r="P47" s="340">
        <f t="shared" si="1"/>
        <v>1.3561732438859053E-2</v>
      </c>
      <c r="Q47" s="340">
        <f t="shared" si="2"/>
        <v>1.3561732438859053E-2</v>
      </c>
    </row>
    <row r="48" spans="1:17">
      <c r="A48" s="290">
        <v>30</v>
      </c>
      <c r="B48" s="291" t="s">
        <v>116</v>
      </c>
      <c r="C48" s="291" t="str">
        <f>VLOOKUP(B48,Mapping!$D$2:$H$157,5,FALSE)</f>
        <v>6 yard Regular</v>
      </c>
      <c r="D48" s="306">
        <f>SUMIFS('DF Calculation'!K:K,'DF Calculation'!B:B,'To Populate Tariff'!A48,'DF Calculation'!C:C,'To Populate Tariff'!B48)</f>
        <v>135.21</v>
      </c>
      <c r="E48" s="306">
        <f>SUMIFS('DF Calculation'!M:M,'DF Calculation'!B:B,'To Populate Tariff'!A48,'DF Calculation'!C:C,'To Populate Tariff'!B48)</f>
        <v>-0.73144062550645705</v>
      </c>
      <c r="F48" s="343">
        <f>SUMIFS('DF Calculation'!N:N,'DF Calculation'!B:B,'To Populate Tariff'!A48,'DF Calculation'!C:C,'To Populate Tariff'!B48)</f>
        <v>134.47855937449356</v>
      </c>
      <c r="G48" s="320" t="str">
        <f t="shared" si="3"/>
        <v>ok</v>
      </c>
      <c r="H48" s="306">
        <f>SUMIFS('DF Calculation'!$L:$L,'DF Calculation'!$B:$B,'To Populate Tariff'!$A48,'DF Calculation'!$C:$C,'To Populate Tariff'!$B48)</f>
        <v>134.58000000000001</v>
      </c>
      <c r="I48" s="306">
        <f>SUMIFS('DF Calculation'!$M:$M,'DF Calculation'!$B:$B,'To Populate Tariff'!$A48,'DF Calculation'!$C:$C,'To Populate Tariff'!$B48)</f>
        <v>-0.73144062550645705</v>
      </c>
      <c r="J48" s="343">
        <f>SUMIFS('DF Calculation'!$O:$O,'DF Calculation'!$B:$B,'To Populate Tariff'!$A48,'DF Calculation'!$C:$C,'To Populate Tariff'!$B48)</f>
        <v>133.84855937449356</v>
      </c>
      <c r="K48" s="320" t="str">
        <f t="shared" si="0"/>
        <v>ok</v>
      </c>
      <c r="N48" s="339">
        <v>134.45997559757896</v>
      </c>
      <c r="O48" s="339">
        <v>133.82997559757897</v>
      </c>
      <c r="P48" s="340">
        <f t="shared" si="1"/>
        <v>1.8583776914596228E-2</v>
      </c>
      <c r="Q48" s="340">
        <f t="shared" si="2"/>
        <v>1.8583776914596228E-2</v>
      </c>
    </row>
    <row r="49" spans="1:17">
      <c r="A49" s="290">
        <v>30</v>
      </c>
      <c r="B49" s="291" t="s">
        <v>239</v>
      </c>
      <c r="C49" s="291" t="str">
        <f>VLOOKUP(B49,Mapping!$D$2:$H$157,5,FALSE)</f>
        <v>6 yard Extra</v>
      </c>
      <c r="D49" s="306">
        <f>SUMIFS('DF Calculation'!K:K,'DF Calculation'!B:B,'To Populate Tariff'!A49,'DF Calculation'!C:C,'To Populate Tariff'!B49)</f>
        <v>135.21</v>
      </c>
      <c r="E49" s="306">
        <f>SUMIFS('DF Calculation'!M:M,'DF Calculation'!B:B,'To Populate Tariff'!A49,'DF Calculation'!C:C,'To Populate Tariff'!B49)</f>
        <v>-0.73144062550645705</v>
      </c>
      <c r="F49" s="343">
        <f>SUMIFS('DF Calculation'!N:N,'DF Calculation'!B:B,'To Populate Tariff'!A49,'DF Calculation'!C:C,'To Populate Tariff'!B49)</f>
        <v>134.47855937449356</v>
      </c>
      <c r="G49" s="320" t="str">
        <f t="shared" si="3"/>
        <v>ok</v>
      </c>
      <c r="H49" s="306">
        <f>SUMIFS('DF Calculation'!$L:$L,'DF Calculation'!$B:$B,'To Populate Tariff'!$A49,'DF Calculation'!$C:$C,'To Populate Tariff'!$B49)</f>
        <v>134.58000000000001</v>
      </c>
      <c r="I49" s="306">
        <f>SUMIFS('DF Calculation'!$M:$M,'DF Calculation'!$B:$B,'To Populate Tariff'!$A49,'DF Calculation'!$C:$C,'To Populate Tariff'!$B49)</f>
        <v>-0.73144062550645705</v>
      </c>
      <c r="J49" s="343">
        <f>SUMIFS('DF Calculation'!$O:$O,'DF Calculation'!$B:$B,'To Populate Tariff'!$A49,'DF Calculation'!$C:$C,'To Populate Tariff'!$B49)</f>
        <v>133.84855937449356</v>
      </c>
      <c r="K49" s="320" t="str">
        <f t="shared" si="0"/>
        <v>ok</v>
      </c>
      <c r="N49" s="339">
        <v>134.45997559757896</v>
      </c>
      <c r="O49" s="339">
        <v>133.82997559757897</v>
      </c>
      <c r="P49" s="340">
        <f t="shared" si="1"/>
        <v>1.8583776914596228E-2</v>
      </c>
      <c r="Q49" s="340">
        <f t="shared" si="2"/>
        <v>1.8583776914596228E-2</v>
      </c>
    </row>
    <row r="50" spans="1:17">
      <c r="A50" s="290">
        <v>30</v>
      </c>
      <c r="B50" s="292" t="s">
        <v>245</v>
      </c>
      <c r="C50" s="292" t="str">
        <f>VLOOKUP(B50,Mapping!$D$2:$H$157,5,FALSE)</f>
        <v>6 yard Temp</v>
      </c>
      <c r="D50" s="306">
        <f>SUMIFS('DF Calculation'!K:K,'DF Calculation'!B:B,'To Populate Tariff'!A50,'DF Calculation'!C:C,'To Populate Tariff'!B50)</f>
        <v>137.41</v>
      </c>
      <c r="E50" s="306">
        <f>SUMIFS('DF Calculation'!M:M,'DF Calculation'!B:B,'To Populate Tariff'!A50,'DF Calculation'!C:C,'To Populate Tariff'!B50)</f>
        <v>-0.73144062550645705</v>
      </c>
      <c r="F50" s="343">
        <f>SUMIFS('DF Calculation'!N:N,'DF Calculation'!B:B,'To Populate Tariff'!A50,'DF Calculation'!C:C,'To Populate Tariff'!B50)</f>
        <v>136.67855937449355</v>
      </c>
      <c r="G50" s="320" t="str">
        <f t="shared" si="3"/>
        <v>ok</v>
      </c>
      <c r="H50" s="306">
        <f>SUMIFS('DF Calculation'!$L:$L,'DF Calculation'!$B:$B,'To Populate Tariff'!$A50,'DF Calculation'!$C:$C,'To Populate Tariff'!$B50)</f>
        <v>136.77000000000001</v>
      </c>
      <c r="I50" s="306">
        <f>SUMIFS('DF Calculation'!$M:$M,'DF Calculation'!$B:$B,'To Populate Tariff'!$A50,'DF Calculation'!$C:$C,'To Populate Tariff'!$B50)</f>
        <v>-0.73144062550645705</v>
      </c>
      <c r="J50" s="343">
        <f>SUMIFS('DF Calculation'!$O:$O,'DF Calculation'!$B:$B,'To Populate Tariff'!$A50,'DF Calculation'!$C:$C,'To Populate Tariff'!$B50)</f>
        <v>136.03855937449356</v>
      </c>
      <c r="K50" s="320" t="str">
        <f t="shared" si="0"/>
        <v>ok</v>
      </c>
      <c r="N50" s="339">
        <v>136.65997559757895</v>
      </c>
      <c r="O50" s="339">
        <v>136.01997559757896</v>
      </c>
      <c r="P50" s="340">
        <f t="shared" si="1"/>
        <v>1.8583776914596228E-2</v>
      </c>
      <c r="Q50" s="340">
        <f t="shared" si="2"/>
        <v>1.8583776914596228E-2</v>
      </c>
    </row>
    <row r="51" spans="1:17">
      <c r="A51" s="284">
        <v>34</v>
      </c>
      <c r="B51" s="289" t="s">
        <v>227</v>
      </c>
      <c r="C51" s="289" t="str">
        <f>VLOOKUP(B51,Mapping!$D$2:$H$157,5,FALSE)</f>
        <v>Extra Yardage Extra</v>
      </c>
      <c r="D51" s="305">
        <f>SUMIFS('DF Calculation'!K:K,'DF Calculation'!B:B,'To Populate Tariff'!A51,'DF Calculation'!C:C,'To Populate Tariff'!B51)</f>
        <v>25.92</v>
      </c>
      <c r="E51" s="305">
        <f>SUMIFS('DF Calculation'!M:M,'DF Calculation'!B:B,'To Populate Tariff'!A51,'DF Calculation'!C:C,'To Populate Tariff'!B51)</f>
        <v>-0.10884533117655612</v>
      </c>
      <c r="F51" s="343">
        <f>SUMIFS('DF Calculation'!N:N,'DF Calculation'!B:B,'To Populate Tariff'!A51,'DF Calculation'!C:C,'To Populate Tariff'!B51)</f>
        <v>25.811154668823445</v>
      </c>
      <c r="G51" s="319" t="str">
        <f t="shared" si="3"/>
        <v>ok</v>
      </c>
      <c r="H51" s="305">
        <f>SUMIFS('DF Calculation'!$L:$L,'DF Calculation'!$B:$B,'To Populate Tariff'!$A51,'DF Calculation'!$C:$C,'To Populate Tariff'!$B51)</f>
        <v>25.8</v>
      </c>
      <c r="I51" s="305">
        <f>SUMIFS('DF Calculation'!$M:$M,'DF Calculation'!$B:$B,'To Populate Tariff'!$A51,'DF Calculation'!$C:$C,'To Populate Tariff'!$B51)</f>
        <v>-0.10884533117655612</v>
      </c>
      <c r="J51" s="343">
        <f>SUMIFS('DF Calculation'!$O:$O,'DF Calculation'!$B:$B,'To Populate Tariff'!$A51,'DF Calculation'!$C:$C,'To Populate Tariff'!$B51)</f>
        <v>25.691154668823444</v>
      </c>
      <c r="K51" s="319" t="str">
        <f t="shared" si="0"/>
        <v>ok</v>
      </c>
      <c r="N51" s="1">
        <v>25.808389225830204</v>
      </c>
      <c r="O51" s="1">
        <v>25.688389225830203</v>
      </c>
      <c r="P51" s="310">
        <f t="shared" si="1"/>
        <v>2.7654429932404412E-3</v>
      </c>
      <c r="Q51" s="310">
        <f t="shared" si="2"/>
        <v>2.7654429932404412E-3</v>
      </c>
    </row>
    <row r="52" spans="1:17">
      <c r="A52" s="284">
        <v>34</v>
      </c>
      <c r="B52" s="285" t="s">
        <v>807</v>
      </c>
      <c r="C52" s="285" t="str">
        <f>VLOOKUP(B52,Mapping!$D$2:$H$157,5,FALSE)</f>
        <v>Drum Extra</v>
      </c>
      <c r="D52" s="305">
        <f>SUMIFS('DF Calculation'!K:K,'DF Calculation'!B:B,'To Populate Tariff'!A52,'DF Calculation'!C:C,'To Populate Tariff'!B52)</f>
        <v>26.85</v>
      </c>
      <c r="E52" s="305">
        <f>SUMIFS('DF Calculation'!M:M,'DF Calculation'!B:B,'To Populate Tariff'!A52,'DF Calculation'!C:C,'To Populate Tariff'!B52)</f>
        <v>-5.921186016004653E-2</v>
      </c>
      <c r="F52" s="343">
        <f>SUMIFS('DF Calculation'!N:N,'DF Calculation'!B:B,'To Populate Tariff'!A52,'DF Calculation'!C:C,'To Populate Tariff'!B52)</f>
        <v>26.790788139839954</v>
      </c>
      <c r="G52" s="319" t="str">
        <f t="shared" si="3"/>
        <v>ok</v>
      </c>
      <c r="H52" s="305">
        <f>SUMIFS('DF Calculation'!$L:$L,'DF Calculation'!$B:$B,'To Populate Tariff'!$A52,'DF Calculation'!$C:$C,'To Populate Tariff'!$B52)</f>
        <v>26.72</v>
      </c>
      <c r="I52" s="305">
        <f>SUMIFS('DF Calculation'!$M:$M,'DF Calculation'!$B:$B,'To Populate Tariff'!$A52,'DF Calculation'!$C:$C,'To Populate Tariff'!$B52)</f>
        <v>-5.921186016004653E-2</v>
      </c>
      <c r="J52" s="343">
        <f>SUMIFS('DF Calculation'!$O:$O,'DF Calculation'!$B:$B,'To Populate Tariff'!$A52,'DF Calculation'!$C:$C,'To Populate Tariff'!$B52)</f>
        <v>26.660788139839951</v>
      </c>
      <c r="K52" s="319" t="str">
        <f t="shared" si="0"/>
        <v>ok</v>
      </c>
      <c r="N52" s="1">
        <v>26.78928373885163</v>
      </c>
      <c r="O52" s="1">
        <v>26.659283738851627</v>
      </c>
      <c r="P52" s="310">
        <f t="shared" si="1"/>
        <v>1.5044009883240506E-3</v>
      </c>
      <c r="Q52" s="310">
        <f t="shared" si="2"/>
        <v>1.5044009883240506E-3</v>
      </c>
    </row>
    <row r="53" spans="1:17">
      <c r="A53" s="284">
        <v>34</v>
      </c>
      <c r="B53" s="289" t="s">
        <v>808</v>
      </c>
      <c r="C53" s="289" t="str">
        <f>VLOOKUP(B53,Mapping!$D$2:$H$157,5,FALSE)</f>
        <v>Drum Special</v>
      </c>
      <c r="D53" s="305">
        <f>SUMIFS('DF Calculation'!K:K,'DF Calculation'!B:B,'To Populate Tariff'!A53,'DF Calculation'!C:C,'To Populate Tariff'!B53)</f>
        <v>31.33</v>
      </c>
      <c r="E53" s="305">
        <f>SUMIFS('DF Calculation'!M:M,'DF Calculation'!B:B,'To Populate Tariff'!A53,'DF Calculation'!C:C,'To Populate Tariff'!B53)</f>
        <v>-5.921186016004653E-2</v>
      </c>
      <c r="F53" s="343">
        <f>SUMIFS('DF Calculation'!N:N,'DF Calculation'!B:B,'To Populate Tariff'!A53,'DF Calculation'!C:C,'To Populate Tariff'!B53)</f>
        <v>31.270788139839951</v>
      </c>
      <c r="G53" s="319" t="str">
        <f t="shared" si="3"/>
        <v>ok</v>
      </c>
      <c r="H53" s="305">
        <f>SUMIFS('DF Calculation'!$L:$L,'DF Calculation'!$B:$B,'To Populate Tariff'!$A53,'DF Calculation'!$C:$C,'To Populate Tariff'!$B53)</f>
        <v>31.18</v>
      </c>
      <c r="I53" s="305">
        <f>SUMIFS('DF Calculation'!$M:$M,'DF Calculation'!$B:$B,'To Populate Tariff'!$A53,'DF Calculation'!$C:$C,'To Populate Tariff'!$B53)</f>
        <v>-5.921186016004653E-2</v>
      </c>
      <c r="J53" s="343">
        <f>SUMIFS('DF Calculation'!$O:$O,'DF Calculation'!$B:$B,'To Populate Tariff'!$A53,'DF Calculation'!$C:$C,'To Populate Tariff'!$B53)</f>
        <v>31.120788139839952</v>
      </c>
      <c r="K53" s="319" t="str">
        <f t="shared" si="0"/>
        <v>ok</v>
      </c>
      <c r="N53" s="1">
        <v>31.269283738851627</v>
      </c>
      <c r="O53" s="1">
        <v>31.119283738851628</v>
      </c>
      <c r="P53" s="310">
        <f t="shared" si="1"/>
        <v>1.5044009883240506E-3</v>
      </c>
      <c r="Q53" s="310">
        <f t="shared" si="2"/>
        <v>1.5044009883240506E-3</v>
      </c>
    </row>
    <row r="54" spans="1:17">
      <c r="A54" s="283">
        <v>41</v>
      </c>
      <c r="B54" s="288" t="s">
        <v>84</v>
      </c>
      <c r="C54" s="288" t="str">
        <f>VLOOKUP(B54,Mapping!$D$2:$H$157,5,FALSE)</f>
        <v>1.5 yard Regular</v>
      </c>
      <c r="D54" s="304">
        <f>SUMIFS('DF Calculation'!K:K,'DF Calculation'!B:B,'To Populate Tariff'!A54,'DF Calculation'!C:C,'To Populate Tariff'!B54)</f>
        <v>33.25</v>
      </c>
      <c r="E54" s="304">
        <f>SUMIFS('DF Calculation'!M:M,'DF Calculation'!B:B,'To Populate Tariff'!A54,'DF Calculation'!C:C,'To Populate Tariff'!B54)</f>
        <v>-0.21769066235311221</v>
      </c>
      <c r="F54" s="343">
        <f>SUMIFS('DF Calculation'!N:N,'DF Calculation'!B:B,'To Populate Tariff'!A54,'DF Calculation'!C:C,'To Populate Tariff'!B54)</f>
        <v>33.032309337646886</v>
      </c>
      <c r="G54" s="318" t="str">
        <f t="shared" si="3"/>
        <v>ok</v>
      </c>
      <c r="H54" s="304">
        <f>SUMIFS('DF Calculation'!$L:$L,'DF Calculation'!$B:$B,'To Populate Tariff'!$A54,'DF Calculation'!$C:$C,'To Populate Tariff'!$B54)</f>
        <v>33.1</v>
      </c>
      <c r="I54" s="304">
        <f>SUMIFS('DF Calculation'!$M:$M,'DF Calculation'!$B:$B,'To Populate Tariff'!$A54,'DF Calculation'!$C:$C,'To Populate Tariff'!$B54)</f>
        <v>-0.21769066235311221</v>
      </c>
      <c r="J54" s="343">
        <f>SUMIFS('DF Calculation'!$O:$O,'DF Calculation'!$B:$B,'To Populate Tariff'!$A54,'DF Calculation'!$C:$C,'To Populate Tariff'!$B54)</f>
        <v>32.882309337646888</v>
      </c>
      <c r="K54" s="318" t="str">
        <f t="shared" si="0"/>
        <v>ok</v>
      </c>
      <c r="N54" s="341">
        <v>33.026778451660405</v>
      </c>
      <c r="O54" s="341">
        <v>32.876778451660407</v>
      </c>
      <c r="P54" s="342">
        <f t="shared" si="1"/>
        <v>5.5308859864808824E-3</v>
      </c>
      <c r="Q54" s="342">
        <f t="shared" si="2"/>
        <v>5.5308859864808824E-3</v>
      </c>
    </row>
    <row r="55" spans="1:17">
      <c r="A55" s="283">
        <v>41</v>
      </c>
      <c r="B55" s="288" t="s">
        <v>220</v>
      </c>
      <c r="C55" s="288" t="str">
        <f>VLOOKUP(B55,Mapping!$D$2:$H$157,5,FALSE)</f>
        <v>1.5 yard Extra</v>
      </c>
      <c r="D55" s="304">
        <f>SUMIFS('DF Calculation'!K:K,'DF Calculation'!B:B,'To Populate Tariff'!A55,'DF Calculation'!C:C,'To Populate Tariff'!B55)</f>
        <v>33.25</v>
      </c>
      <c r="E55" s="304">
        <f>SUMIFS('DF Calculation'!M:M,'DF Calculation'!B:B,'To Populate Tariff'!A55,'DF Calculation'!C:C,'To Populate Tariff'!B55)</f>
        <v>-0.21769066235311221</v>
      </c>
      <c r="F55" s="343">
        <f>SUMIFS('DF Calculation'!N:N,'DF Calculation'!B:B,'To Populate Tariff'!A55,'DF Calculation'!C:C,'To Populate Tariff'!B55)</f>
        <v>33.032309337646886</v>
      </c>
      <c r="G55" s="318" t="str">
        <f t="shared" si="3"/>
        <v>ok</v>
      </c>
      <c r="H55" s="304">
        <f>SUMIFS('DF Calculation'!$L:$L,'DF Calculation'!$B:$B,'To Populate Tariff'!$A55,'DF Calculation'!$C:$C,'To Populate Tariff'!$B55)</f>
        <v>33.1</v>
      </c>
      <c r="I55" s="304">
        <f>SUMIFS('DF Calculation'!$M:$M,'DF Calculation'!$B:$B,'To Populate Tariff'!$A55,'DF Calculation'!$C:$C,'To Populate Tariff'!$B55)</f>
        <v>-0.21769066235311221</v>
      </c>
      <c r="J55" s="343">
        <f>SUMIFS('DF Calculation'!$O:$O,'DF Calculation'!$B:$B,'To Populate Tariff'!$A55,'DF Calculation'!$C:$C,'To Populate Tariff'!$B55)</f>
        <v>32.882309337646888</v>
      </c>
      <c r="K55" s="318" t="str">
        <f t="shared" si="0"/>
        <v>ok</v>
      </c>
      <c r="N55" s="341">
        <v>33.026778451660405</v>
      </c>
      <c r="O55" s="341">
        <v>32.876778451660407</v>
      </c>
      <c r="P55" s="342">
        <f t="shared" si="1"/>
        <v>5.5308859864808824E-3</v>
      </c>
      <c r="Q55" s="342">
        <f t="shared" si="2"/>
        <v>5.5308859864808824E-3</v>
      </c>
    </row>
    <row r="56" spans="1:17">
      <c r="A56" s="283">
        <v>41</v>
      </c>
      <c r="B56" s="288" t="s">
        <v>139</v>
      </c>
      <c r="C56" s="288" t="str">
        <f>VLOOKUP(B56,Mapping!$D$2:$H$157,5,FALSE)</f>
        <v>1.5 yard Temp</v>
      </c>
      <c r="D56" s="304">
        <f>SUMIFS('DF Calculation'!K:K,'DF Calculation'!B:B,'To Populate Tariff'!A56,'DF Calculation'!C:C,'To Populate Tariff'!B56)</f>
        <v>35.46</v>
      </c>
      <c r="E56" s="304">
        <f>SUMIFS('DF Calculation'!M:M,'DF Calculation'!B:B,'To Populate Tariff'!A56,'DF Calculation'!C:C,'To Populate Tariff'!B56)</f>
        <v>-0.21769066235311221</v>
      </c>
      <c r="F56" s="343">
        <f>SUMIFS('DF Calculation'!N:N,'DF Calculation'!B:B,'To Populate Tariff'!A56,'DF Calculation'!C:C,'To Populate Tariff'!B56)</f>
        <v>35.242309337646887</v>
      </c>
      <c r="G56" s="318" t="str">
        <f t="shared" si="3"/>
        <v>ok</v>
      </c>
      <c r="H56" s="304">
        <f>SUMIFS('DF Calculation'!$L:$L,'DF Calculation'!$B:$B,'To Populate Tariff'!$A56,'DF Calculation'!$C:$C,'To Populate Tariff'!$B56)</f>
        <v>35.29</v>
      </c>
      <c r="I56" s="304">
        <f>SUMIFS('DF Calculation'!$M:$M,'DF Calculation'!$B:$B,'To Populate Tariff'!$A56,'DF Calculation'!$C:$C,'To Populate Tariff'!$B56)</f>
        <v>-0.21769066235311221</v>
      </c>
      <c r="J56" s="343">
        <f>SUMIFS('DF Calculation'!$O:$O,'DF Calculation'!$B:$B,'To Populate Tariff'!$A56,'DF Calculation'!$C:$C,'To Populate Tariff'!$B56)</f>
        <v>35.072309337646885</v>
      </c>
      <c r="K56" s="318" t="str">
        <f t="shared" si="0"/>
        <v>ok</v>
      </c>
      <c r="N56" s="341">
        <v>35.236778451660406</v>
      </c>
      <c r="O56" s="341">
        <v>35.066778451660404</v>
      </c>
      <c r="P56" s="342">
        <f t="shared" si="1"/>
        <v>5.5308859864808824E-3</v>
      </c>
      <c r="Q56" s="342">
        <f t="shared" si="2"/>
        <v>5.5308859864808824E-3</v>
      </c>
    </row>
    <row r="57" spans="1:17">
      <c r="A57" s="283">
        <v>41</v>
      </c>
      <c r="B57" s="288" t="s">
        <v>83</v>
      </c>
      <c r="C57" s="288" t="str">
        <f>VLOOKUP(B57,Mapping!$D$2:$H$157,5,FALSE)</f>
        <v>1 yard Regular</v>
      </c>
      <c r="D57" s="304">
        <f>SUMIFS('DF Calculation'!K:K,'DF Calculation'!B:B,'To Populate Tariff'!A57,'DF Calculation'!C:C,'To Populate Tariff'!B57)</f>
        <v>24.03</v>
      </c>
      <c r="E57" s="304">
        <f>SUMIFS('DF Calculation'!M:M,'DF Calculation'!B:B,'To Populate Tariff'!A57,'DF Calculation'!C:C,'To Populate Tariff'!B57)</f>
        <v>-0.15238346364717859</v>
      </c>
      <c r="F57" s="343">
        <f>SUMIFS('DF Calculation'!N:N,'DF Calculation'!B:B,'To Populate Tariff'!A57,'DF Calculation'!C:C,'To Populate Tariff'!B57)</f>
        <v>23.877616536352821</v>
      </c>
      <c r="G57" s="318" t="str">
        <f t="shared" si="3"/>
        <v>ok</v>
      </c>
      <c r="H57" s="304">
        <f>SUMIFS('DF Calculation'!$L:$L,'DF Calculation'!$B:$B,'To Populate Tariff'!$A57,'DF Calculation'!$C:$C,'To Populate Tariff'!$B57)</f>
        <v>23.92</v>
      </c>
      <c r="I57" s="304">
        <f>SUMIFS('DF Calculation'!$M:$M,'DF Calculation'!$B:$B,'To Populate Tariff'!$A57,'DF Calculation'!$C:$C,'To Populate Tariff'!$B57)</f>
        <v>-0.15238346364717859</v>
      </c>
      <c r="J57" s="343">
        <f>SUMIFS('DF Calculation'!$O:$O,'DF Calculation'!$B:$B,'To Populate Tariff'!$A57,'DF Calculation'!$C:$C,'To Populate Tariff'!$B57)</f>
        <v>23.767616536352822</v>
      </c>
      <c r="K57" s="318" t="str">
        <f t="shared" si="0"/>
        <v>ok</v>
      </c>
      <c r="N57" s="1">
        <v>23.873744916162284</v>
      </c>
      <c r="O57" s="1">
        <v>23.763744916162285</v>
      </c>
      <c r="P57" s="310">
        <f t="shared" si="1"/>
        <v>3.8716201905373282E-3</v>
      </c>
      <c r="Q57" s="310">
        <f t="shared" si="2"/>
        <v>3.8716201905373282E-3</v>
      </c>
    </row>
    <row r="58" spans="1:17">
      <c r="A58" s="283">
        <v>41</v>
      </c>
      <c r="B58" s="288" t="s">
        <v>204</v>
      </c>
      <c r="C58" s="288" t="str">
        <f>VLOOKUP(B58,Mapping!$D$2:$H$157,5,FALSE)</f>
        <v>1 yard Extra</v>
      </c>
      <c r="D58" s="304">
        <f>SUMIFS('DF Calculation'!K:K,'DF Calculation'!B:B,'To Populate Tariff'!A58,'DF Calculation'!C:C,'To Populate Tariff'!B58)</f>
        <v>24.03</v>
      </c>
      <c r="E58" s="304">
        <f>SUMIFS('DF Calculation'!M:M,'DF Calculation'!B:B,'To Populate Tariff'!A58,'DF Calculation'!C:C,'To Populate Tariff'!B58)</f>
        <v>-0.15238346364717859</v>
      </c>
      <c r="F58" s="343">
        <f>SUMIFS('DF Calculation'!N:N,'DF Calculation'!B:B,'To Populate Tariff'!A58,'DF Calculation'!C:C,'To Populate Tariff'!B58)</f>
        <v>23.877616536352821</v>
      </c>
      <c r="G58" s="318" t="str">
        <f t="shared" si="3"/>
        <v>ok</v>
      </c>
      <c r="H58" s="304">
        <f>SUMIFS('DF Calculation'!$L:$L,'DF Calculation'!$B:$B,'To Populate Tariff'!$A58,'DF Calculation'!$C:$C,'To Populate Tariff'!$B58)</f>
        <v>23.92</v>
      </c>
      <c r="I58" s="304">
        <f>SUMIFS('DF Calculation'!$M:$M,'DF Calculation'!$B:$B,'To Populate Tariff'!$A58,'DF Calculation'!$C:$C,'To Populate Tariff'!$B58)</f>
        <v>-0.15238346364717859</v>
      </c>
      <c r="J58" s="343">
        <f>SUMIFS('DF Calculation'!$O:$O,'DF Calculation'!$B:$B,'To Populate Tariff'!$A58,'DF Calculation'!$C:$C,'To Populate Tariff'!$B58)</f>
        <v>23.767616536352822</v>
      </c>
      <c r="K58" s="318" t="str">
        <f t="shared" si="0"/>
        <v>ok</v>
      </c>
      <c r="N58" s="1">
        <v>23.873744916162284</v>
      </c>
      <c r="O58" s="1">
        <v>23.763744916162285</v>
      </c>
      <c r="P58" s="310">
        <f t="shared" si="1"/>
        <v>3.8716201905373282E-3</v>
      </c>
      <c r="Q58" s="310">
        <f t="shared" si="2"/>
        <v>3.8716201905373282E-3</v>
      </c>
    </row>
    <row r="59" spans="1:17">
      <c r="A59" s="283">
        <v>41</v>
      </c>
      <c r="B59" s="288" t="s">
        <v>223</v>
      </c>
      <c r="C59" s="288" t="str">
        <f>VLOOKUP(B59,Mapping!$D$2:$H$157,5,FALSE)</f>
        <v>1 yard Temp</v>
      </c>
      <c r="D59" s="304">
        <f>SUMIFS('DF Calculation'!K:K,'DF Calculation'!B:B,'To Populate Tariff'!A59,'DF Calculation'!C:C,'To Populate Tariff'!B59)</f>
        <v>26.21</v>
      </c>
      <c r="E59" s="304">
        <f>SUMIFS('DF Calculation'!M:M,'DF Calculation'!B:B,'To Populate Tariff'!A59,'DF Calculation'!C:C,'To Populate Tariff'!B59)</f>
        <v>-0.15238346364717859</v>
      </c>
      <c r="F59" s="343">
        <f>SUMIFS('DF Calculation'!N:N,'DF Calculation'!B:B,'To Populate Tariff'!A59,'DF Calculation'!C:C,'To Populate Tariff'!B59)</f>
        <v>26.057616536352821</v>
      </c>
      <c r="G59" s="318" t="str">
        <f t="shared" si="3"/>
        <v>ok</v>
      </c>
      <c r="H59" s="304">
        <f>SUMIFS('DF Calculation'!$L:$L,'DF Calculation'!$B:$B,'To Populate Tariff'!$A59,'DF Calculation'!$C:$C,'To Populate Tariff'!$B59)</f>
        <v>26.09</v>
      </c>
      <c r="I59" s="304">
        <f>SUMIFS('DF Calculation'!$M:$M,'DF Calculation'!$B:$B,'To Populate Tariff'!$A59,'DF Calculation'!$C:$C,'To Populate Tariff'!$B59)</f>
        <v>-0.15238346364717859</v>
      </c>
      <c r="J59" s="343">
        <f>SUMIFS('DF Calculation'!$O:$O,'DF Calculation'!$B:$B,'To Populate Tariff'!$A59,'DF Calculation'!$C:$C,'To Populate Tariff'!$B59)</f>
        <v>25.93761653635282</v>
      </c>
      <c r="K59" s="318" t="str">
        <f t="shared" si="0"/>
        <v>ok</v>
      </c>
      <c r="N59" s="1">
        <v>26.053744916162284</v>
      </c>
      <c r="O59" s="1">
        <v>25.933744916162283</v>
      </c>
      <c r="P59" s="310">
        <f t="shared" si="1"/>
        <v>3.8716201905373282E-3</v>
      </c>
      <c r="Q59" s="310">
        <f t="shared" si="2"/>
        <v>3.8716201905373282E-3</v>
      </c>
    </row>
    <row r="60" spans="1:17">
      <c r="A60" s="283">
        <v>41</v>
      </c>
      <c r="B60" s="288" t="s">
        <v>85</v>
      </c>
      <c r="C60" s="288" t="str">
        <f>VLOOKUP(B60,Mapping!$D$2:$H$157,5,FALSE)</f>
        <v>2 yard Regular</v>
      </c>
      <c r="D60" s="304">
        <f>SUMIFS('DF Calculation'!K:K,'DF Calculation'!B:B,'To Populate Tariff'!A60,'DF Calculation'!C:C,'To Populate Tariff'!B60)</f>
        <v>41.5</v>
      </c>
      <c r="E60" s="304">
        <f>SUMIFS('DF Calculation'!M:M,'DF Calculation'!B:B,'To Populate Tariff'!A60,'DF Calculation'!C:C,'To Populate Tariff'!B60)</f>
        <v>-0.28212709840963346</v>
      </c>
      <c r="F60" s="343">
        <f>SUMIFS('DF Calculation'!N:N,'DF Calculation'!B:B,'To Populate Tariff'!A60,'DF Calculation'!C:C,'To Populate Tariff'!B60)</f>
        <v>41.217872901590368</v>
      </c>
      <c r="G60" s="318" t="str">
        <f t="shared" si="3"/>
        <v>ok</v>
      </c>
      <c r="H60" s="304">
        <f>SUMIFS('DF Calculation'!$L:$L,'DF Calculation'!$B:$B,'To Populate Tariff'!$A60,'DF Calculation'!$C:$C,'To Populate Tariff'!$B60)</f>
        <v>41.31</v>
      </c>
      <c r="I60" s="304">
        <f>SUMIFS('DF Calculation'!$M:$M,'DF Calculation'!$B:$B,'To Populate Tariff'!$A60,'DF Calculation'!$C:$C,'To Populate Tariff'!$B60)</f>
        <v>-0.28212709840963346</v>
      </c>
      <c r="J60" s="343">
        <f>SUMIFS('DF Calculation'!$O:$O,'DF Calculation'!$B:$B,'To Populate Tariff'!$A60,'DF Calculation'!$C:$C,'To Populate Tariff'!$B60)</f>
        <v>41.027872901590371</v>
      </c>
      <c r="K60" s="318" t="str">
        <f t="shared" si="0"/>
        <v>ok</v>
      </c>
      <c r="N60" s="339">
        <v>41.210704873351887</v>
      </c>
      <c r="O60" s="339">
        <v>41.020704873351889</v>
      </c>
      <c r="P60" s="340">
        <f t="shared" si="1"/>
        <v>7.1680282384818383E-3</v>
      </c>
      <c r="Q60" s="340">
        <f t="shared" si="2"/>
        <v>7.1680282384818383E-3</v>
      </c>
    </row>
    <row r="61" spans="1:17">
      <c r="A61" s="283">
        <v>41</v>
      </c>
      <c r="B61" s="288" t="s">
        <v>205</v>
      </c>
      <c r="C61" s="288" t="str">
        <f>VLOOKUP(B61,Mapping!$D$2:$H$157,5,FALSE)</f>
        <v>2 yard Extra</v>
      </c>
      <c r="D61" s="304">
        <f>SUMIFS('DF Calculation'!K:K,'DF Calculation'!B:B,'To Populate Tariff'!A61,'DF Calculation'!C:C,'To Populate Tariff'!B61)</f>
        <v>41.5</v>
      </c>
      <c r="E61" s="304">
        <f>SUMIFS('DF Calculation'!M:M,'DF Calculation'!B:B,'To Populate Tariff'!A61,'DF Calculation'!C:C,'To Populate Tariff'!B61)</f>
        <v>-0.28212709840963346</v>
      </c>
      <c r="F61" s="343">
        <f>SUMIFS('DF Calculation'!N:N,'DF Calculation'!B:B,'To Populate Tariff'!A61,'DF Calculation'!C:C,'To Populate Tariff'!B61)</f>
        <v>41.217872901590368</v>
      </c>
      <c r="G61" s="318" t="str">
        <f t="shared" si="3"/>
        <v>ok</v>
      </c>
      <c r="H61" s="304">
        <f>SUMIFS('DF Calculation'!$L:$L,'DF Calculation'!$B:$B,'To Populate Tariff'!$A61,'DF Calculation'!$C:$C,'To Populate Tariff'!$B61)</f>
        <v>41.31</v>
      </c>
      <c r="I61" s="304">
        <f>SUMIFS('DF Calculation'!$M:$M,'DF Calculation'!$B:$B,'To Populate Tariff'!$A61,'DF Calculation'!$C:$C,'To Populate Tariff'!$B61)</f>
        <v>-0.28212709840963346</v>
      </c>
      <c r="J61" s="343">
        <f>SUMIFS('DF Calculation'!$O:$O,'DF Calculation'!$B:$B,'To Populate Tariff'!$A61,'DF Calculation'!$C:$C,'To Populate Tariff'!$B61)</f>
        <v>41.027872901590371</v>
      </c>
      <c r="K61" s="318" t="str">
        <f t="shared" si="0"/>
        <v>ok</v>
      </c>
      <c r="N61" s="339">
        <v>41.210704873351887</v>
      </c>
      <c r="O61" s="339">
        <v>41.020704873351889</v>
      </c>
      <c r="P61" s="340">
        <f t="shared" si="1"/>
        <v>7.1680282384818383E-3</v>
      </c>
      <c r="Q61" s="340">
        <f t="shared" si="2"/>
        <v>7.1680282384818383E-3</v>
      </c>
    </row>
    <row r="62" spans="1:17">
      <c r="A62" s="283">
        <v>41</v>
      </c>
      <c r="B62" s="288" t="s">
        <v>140</v>
      </c>
      <c r="C62" s="288" t="str">
        <f>VLOOKUP(B62,Mapping!$D$2:$H$157,5,FALSE)</f>
        <v>2 yard Temp</v>
      </c>
      <c r="D62" s="304">
        <f>SUMIFS('DF Calculation'!K:K,'DF Calculation'!B:B,'To Populate Tariff'!A62,'DF Calculation'!C:C,'To Populate Tariff'!B62)</f>
        <v>43.69</v>
      </c>
      <c r="E62" s="304">
        <f>SUMIFS('DF Calculation'!M:M,'DF Calculation'!B:B,'To Populate Tariff'!A62,'DF Calculation'!C:C,'To Populate Tariff'!B62)</f>
        <v>-0.28212709840963346</v>
      </c>
      <c r="F62" s="343">
        <f>SUMIFS('DF Calculation'!N:N,'DF Calculation'!B:B,'To Populate Tariff'!A62,'DF Calculation'!C:C,'To Populate Tariff'!B62)</f>
        <v>43.407872901590366</v>
      </c>
      <c r="G62" s="318" t="str">
        <f t="shared" si="3"/>
        <v>ok</v>
      </c>
      <c r="H62" s="304">
        <f>SUMIFS('DF Calculation'!$L:$L,'DF Calculation'!$B:$B,'To Populate Tariff'!$A62,'DF Calculation'!$C:$C,'To Populate Tariff'!$B62)</f>
        <v>43.49</v>
      </c>
      <c r="I62" s="304">
        <f>SUMIFS('DF Calculation'!$M:$M,'DF Calculation'!$B:$B,'To Populate Tariff'!$A62,'DF Calculation'!$C:$C,'To Populate Tariff'!$B62)</f>
        <v>-0.28212709840963346</v>
      </c>
      <c r="J62" s="343">
        <f>SUMIFS('DF Calculation'!$O:$O,'DF Calculation'!$B:$B,'To Populate Tariff'!$A62,'DF Calculation'!$C:$C,'To Populate Tariff'!$B62)</f>
        <v>43.20787290159037</v>
      </c>
      <c r="K62" s="318" t="str">
        <f t="shared" si="0"/>
        <v>ok</v>
      </c>
      <c r="N62" s="339">
        <v>43.400704873351884</v>
      </c>
      <c r="O62" s="339">
        <v>43.200704873351889</v>
      </c>
      <c r="P62" s="340">
        <f t="shared" si="1"/>
        <v>7.1680282384818383E-3</v>
      </c>
      <c r="Q62" s="340">
        <f t="shared" si="2"/>
        <v>7.1680282384818383E-3</v>
      </c>
    </row>
    <row r="63" spans="1:17">
      <c r="A63" s="283">
        <v>41</v>
      </c>
      <c r="B63" s="288" t="s">
        <v>123</v>
      </c>
      <c r="C63" s="288" t="str">
        <f>VLOOKUP(B63,Mapping!$D$2:$H$157,5,FALSE)</f>
        <v>4 yard Regular</v>
      </c>
      <c r="D63" s="304">
        <f>SUMIFS('DF Calculation'!K:K,'DF Calculation'!B:B,'To Populate Tariff'!A63,'DF Calculation'!C:C,'To Populate Tariff'!B63)</f>
        <v>77.98</v>
      </c>
      <c r="E63" s="304">
        <f>SUMIFS('DF Calculation'!M:M,'DF Calculation'!B:B,'To Populate Tariff'!A63,'DF Calculation'!C:C,'To Populate Tariff'!B63)</f>
        <v>-0.53377750408983116</v>
      </c>
      <c r="F63" s="343">
        <f>SUMIFS('DF Calculation'!N:N,'DF Calculation'!B:B,'To Populate Tariff'!A63,'DF Calculation'!C:C,'To Populate Tariff'!B63)</f>
        <v>77.446222495910177</v>
      </c>
      <c r="G63" s="318" t="str">
        <f t="shared" si="3"/>
        <v>ok</v>
      </c>
      <c r="H63" s="304">
        <f>SUMIFS('DF Calculation'!$L:$L,'DF Calculation'!$B:$B,'To Populate Tariff'!$A63,'DF Calculation'!$C:$C,'To Populate Tariff'!$B63)</f>
        <v>77.62</v>
      </c>
      <c r="I63" s="304">
        <f>SUMIFS('DF Calculation'!$M:$M,'DF Calculation'!$B:$B,'To Populate Tariff'!$A63,'DF Calculation'!$C:$C,'To Populate Tariff'!$B63)</f>
        <v>-0.53377750408983116</v>
      </c>
      <c r="J63" s="343">
        <f>SUMIFS('DF Calculation'!$O:$O,'DF Calculation'!$B:$B,'To Populate Tariff'!$A63,'DF Calculation'!$C:$C,'To Populate Tariff'!$B63)</f>
        <v>77.086222495910178</v>
      </c>
      <c r="K63" s="318" t="str">
        <f t="shared" si="0"/>
        <v>ok</v>
      </c>
      <c r="N63" s="339">
        <v>77.432660763471318</v>
      </c>
      <c r="O63" s="339">
        <v>77.072660763471319</v>
      </c>
      <c r="P63" s="340">
        <f t="shared" si="1"/>
        <v>1.3561732438859053E-2</v>
      </c>
      <c r="Q63" s="340">
        <f t="shared" si="2"/>
        <v>1.3561732438859053E-2</v>
      </c>
    </row>
    <row r="64" spans="1:17">
      <c r="A64" s="283">
        <v>41</v>
      </c>
      <c r="B64" s="288" t="s">
        <v>207</v>
      </c>
      <c r="C64" s="288" t="str">
        <f>VLOOKUP(B64,Mapping!$D$2:$H$157,5,FALSE)</f>
        <v>4 yard Extra</v>
      </c>
      <c r="D64" s="304">
        <f>SUMIFS('DF Calculation'!K:K,'DF Calculation'!B:B,'To Populate Tariff'!A64,'DF Calculation'!C:C,'To Populate Tariff'!B64)</f>
        <v>77.98</v>
      </c>
      <c r="E64" s="304">
        <f>SUMIFS('DF Calculation'!M:M,'DF Calculation'!B:B,'To Populate Tariff'!A64,'DF Calculation'!C:C,'To Populate Tariff'!B64)</f>
        <v>-0.53377750408983116</v>
      </c>
      <c r="F64" s="343">
        <f>SUMIFS('DF Calculation'!N:N,'DF Calculation'!B:B,'To Populate Tariff'!A64,'DF Calculation'!C:C,'To Populate Tariff'!B64)</f>
        <v>77.446222495910177</v>
      </c>
      <c r="G64" s="318" t="str">
        <f t="shared" si="3"/>
        <v>ok</v>
      </c>
      <c r="H64" s="304">
        <f>SUMIFS('DF Calculation'!$L:$L,'DF Calculation'!$B:$B,'To Populate Tariff'!$A64,'DF Calculation'!$C:$C,'To Populate Tariff'!$B64)</f>
        <v>77.62</v>
      </c>
      <c r="I64" s="304">
        <f>SUMIFS('DF Calculation'!$M:$M,'DF Calculation'!$B:$B,'To Populate Tariff'!$A64,'DF Calculation'!$C:$C,'To Populate Tariff'!$B64)</f>
        <v>-0.53377750408983116</v>
      </c>
      <c r="J64" s="343">
        <f>SUMIFS('DF Calculation'!$O:$O,'DF Calculation'!$B:$B,'To Populate Tariff'!$A64,'DF Calculation'!$C:$C,'To Populate Tariff'!$B64)</f>
        <v>77.086222495910178</v>
      </c>
      <c r="K64" s="318" t="str">
        <f t="shared" si="0"/>
        <v>ok</v>
      </c>
      <c r="N64" s="339">
        <v>77.432660763471318</v>
      </c>
      <c r="O64" s="339">
        <v>77.072660763471319</v>
      </c>
      <c r="P64" s="340">
        <f t="shared" si="1"/>
        <v>1.3561732438859053E-2</v>
      </c>
      <c r="Q64" s="340">
        <f t="shared" si="2"/>
        <v>1.3561732438859053E-2</v>
      </c>
    </row>
    <row r="65" spans="1:17">
      <c r="A65" s="283">
        <v>41</v>
      </c>
      <c r="B65" s="288" t="s">
        <v>252</v>
      </c>
      <c r="C65" s="288" t="str">
        <f>VLOOKUP(B65,Mapping!$D$2:$H$157,5,FALSE)</f>
        <v>4 yard Temp</v>
      </c>
      <c r="D65" s="304">
        <f>SUMIFS('DF Calculation'!K:K,'DF Calculation'!B:B,'To Populate Tariff'!A65,'DF Calculation'!C:C,'To Populate Tariff'!B65)</f>
        <v>80.17</v>
      </c>
      <c r="E65" s="304">
        <f>SUMIFS('DF Calculation'!M:M,'DF Calculation'!B:B,'To Populate Tariff'!A65,'DF Calculation'!C:C,'To Populate Tariff'!B65)</f>
        <v>-0.53377750408983127</v>
      </c>
      <c r="F65" s="343">
        <f>SUMIFS('DF Calculation'!N:N,'DF Calculation'!B:B,'To Populate Tariff'!A65,'DF Calculation'!C:C,'To Populate Tariff'!B65)</f>
        <v>79.636222495910175</v>
      </c>
      <c r="G65" s="318" t="str">
        <f t="shared" si="3"/>
        <v>ok</v>
      </c>
      <c r="H65" s="304">
        <f>SUMIFS('DF Calculation'!$L:$L,'DF Calculation'!$B:$B,'To Populate Tariff'!$A65,'DF Calculation'!$C:$C,'To Populate Tariff'!$B65)</f>
        <v>79.8</v>
      </c>
      <c r="I65" s="304">
        <f>SUMIFS('DF Calculation'!$M:$M,'DF Calculation'!$B:$B,'To Populate Tariff'!$A65,'DF Calculation'!$C:$C,'To Populate Tariff'!$B65)</f>
        <v>-0.53377750408983127</v>
      </c>
      <c r="J65" s="343">
        <f>SUMIFS('DF Calculation'!$O:$O,'DF Calculation'!$B:$B,'To Populate Tariff'!$A65,'DF Calculation'!$C:$C,'To Populate Tariff'!$B65)</f>
        <v>79.266222495910171</v>
      </c>
      <c r="K65" s="318" t="str">
        <f t="shared" si="0"/>
        <v>ok</v>
      </c>
      <c r="N65" s="339">
        <v>79.622660763471316</v>
      </c>
      <c r="O65" s="339">
        <v>79.252660763471312</v>
      </c>
      <c r="P65" s="340">
        <f t="shared" si="1"/>
        <v>1.3561732438859053E-2</v>
      </c>
      <c r="Q65" s="340">
        <f t="shared" si="2"/>
        <v>1.3561732438859053E-2</v>
      </c>
    </row>
    <row r="66" spans="1:17">
      <c r="A66" s="283">
        <v>41</v>
      </c>
      <c r="B66" s="288" t="s">
        <v>126</v>
      </c>
      <c r="C66" s="288" t="str">
        <f>VLOOKUP(B66,Mapping!$D$2:$H$157,5,FALSE)</f>
        <v>6 yard Regular</v>
      </c>
      <c r="D66" s="304">
        <f>SUMIFS('DF Calculation'!K:K,'DF Calculation'!B:B,'To Populate Tariff'!A66,'DF Calculation'!C:C,'To Populate Tariff'!B66)</f>
        <v>107.76</v>
      </c>
      <c r="E66" s="304">
        <f>SUMIFS('DF Calculation'!M:M,'DF Calculation'!B:B,'To Populate Tariff'!A66,'DF Calculation'!C:C,'To Populate Tariff'!B66)</f>
        <v>-0.73144062550645716</v>
      </c>
      <c r="F66" s="343">
        <f>SUMIFS('DF Calculation'!N:N,'DF Calculation'!B:B,'To Populate Tariff'!A66,'DF Calculation'!C:C,'To Populate Tariff'!B66)</f>
        <v>107.02855937449355</v>
      </c>
      <c r="G66" s="318" t="str">
        <f t="shared" si="3"/>
        <v>ok</v>
      </c>
      <c r="H66" s="304">
        <f>SUMIFS('DF Calculation'!$L:$L,'DF Calculation'!$B:$B,'To Populate Tariff'!$A66,'DF Calculation'!$C:$C,'To Populate Tariff'!$B66)</f>
        <v>107.26</v>
      </c>
      <c r="I66" s="304">
        <f>SUMIFS('DF Calculation'!$M:$M,'DF Calculation'!$B:$B,'To Populate Tariff'!$A66,'DF Calculation'!$C:$C,'To Populate Tariff'!$B66)</f>
        <v>-0.73144062550645716</v>
      </c>
      <c r="J66" s="343">
        <f>SUMIFS('DF Calculation'!$O:$O,'DF Calculation'!$B:$B,'To Populate Tariff'!$A66,'DF Calculation'!$C:$C,'To Populate Tariff'!$B66)</f>
        <v>106.52855937449355</v>
      </c>
      <c r="K66" s="318" t="str">
        <f t="shared" si="0"/>
        <v>ok</v>
      </c>
      <c r="N66" s="339">
        <v>107.00997559757897</v>
      </c>
      <c r="O66" s="339">
        <v>106.50997559757897</v>
      </c>
      <c r="P66" s="340">
        <f t="shared" si="1"/>
        <v>1.8583776914582018E-2</v>
      </c>
      <c r="Q66" s="340">
        <f t="shared" si="2"/>
        <v>1.8583776914582018E-2</v>
      </c>
    </row>
    <row r="67" spans="1:17">
      <c r="A67" s="283">
        <v>41</v>
      </c>
      <c r="B67" s="288" t="s">
        <v>208</v>
      </c>
      <c r="C67" s="288" t="str">
        <f>VLOOKUP(B67,Mapping!$D$2:$H$157,5,FALSE)</f>
        <v>6 yard Extra</v>
      </c>
      <c r="D67" s="304">
        <f>SUMIFS('DF Calculation'!K:K,'DF Calculation'!B:B,'To Populate Tariff'!A67,'DF Calculation'!C:C,'To Populate Tariff'!B67)</f>
        <v>107.76</v>
      </c>
      <c r="E67" s="304">
        <f>SUMIFS('DF Calculation'!M:M,'DF Calculation'!B:B,'To Populate Tariff'!A67,'DF Calculation'!C:C,'To Populate Tariff'!B67)</f>
        <v>-0.73144062550645705</v>
      </c>
      <c r="F67" s="343">
        <f>SUMIFS('DF Calculation'!N:N,'DF Calculation'!B:B,'To Populate Tariff'!A67,'DF Calculation'!C:C,'To Populate Tariff'!B67)</f>
        <v>107.02855937449355</v>
      </c>
      <c r="G67" s="318" t="str">
        <f t="shared" si="3"/>
        <v>ok</v>
      </c>
      <c r="H67" s="304">
        <f>SUMIFS('DF Calculation'!$L:$L,'DF Calculation'!$B:$B,'To Populate Tariff'!$A67,'DF Calculation'!$C:$C,'To Populate Tariff'!$B67)</f>
        <v>107.26</v>
      </c>
      <c r="I67" s="304">
        <f>SUMIFS('DF Calculation'!$M:$M,'DF Calculation'!$B:$B,'To Populate Tariff'!$A67,'DF Calculation'!$C:$C,'To Populate Tariff'!$B67)</f>
        <v>-0.73144062550645705</v>
      </c>
      <c r="J67" s="343">
        <f>SUMIFS('DF Calculation'!$O:$O,'DF Calculation'!$B:$B,'To Populate Tariff'!$A67,'DF Calculation'!$C:$C,'To Populate Tariff'!$B67)</f>
        <v>106.52855937449355</v>
      </c>
      <c r="K67" s="318" t="str">
        <f t="shared" ref="K67:K125" si="4">IF(ABS(J67-H67-I67)&lt;0.01,"ok","Error")</f>
        <v>ok</v>
      </c>
      <c r="N67" s="339">
        <v>107.00997559757897</v>
      </c>
      <c r="O67" s="339">
        <v>106.50997559757897</v>
      </c>
      <c r="P67" s="340">
        <f t="shared" ref="P67:P125" si="5">F67-N67</f>
        <v>1.8583776914582018E-2</v>
      </c>
      <c r="Q67" s="340">
        <f t="shared" ref="Q67:Q125" si="6">J67-O67</f>
        <v>1.8583776914582018E-2</v>
      </c>
    </row>
    <row r="68" spans="1:17">
      <c r="A68" s="283">
        <v>41</v>
      </c>
      <c r="B68" s="288" t="s">
        <v>253</v>
      </c>
      <c r="C68" s="288" t="str">
        <f>VLOOKUP(B68,Mapping!$D$2:$H$157,5,FALSE)</f>
        <v>6 yard Temp</v>
      </c>
      <c r="D68" s="304">
        <f>SUMIFS('DF Calculation'!K:K,'DF Calculation'!B:B,'To Populate Tariff'!A68,'DF Calculation'!C:C,'To Populate Tariff'!B68)</f>
        <v>109.95</v>
      </c>
      <c r="E68" s="304">
        <f>SUMIFS('DF Calculation'!M:M,'DF Calculation'!B:B,'To Populate Tariff'!A68,'DF Calculation'!C:C,'To Populate Tariff'!B68)</f>
        <v>-0.73144062550645705</v>
      </c>
      <c r="F68" s="343">
        <f>SUMIFS('DF Calculation'!N:N,'DF Calculation'!B:B,'To Populate Tariff'!A68,'DF Calculation'!C:C,'To Populate Tariff'!B68)</f>
        <v>109.21855937449355</v>
      </c>
      <c r="G68" s="318" t="str">
        <f t="shared" ref="G68:G125" si="7">IF(ABS(F68-D68-E68)&lt;0.01,"ok","Error")</f>
        <v>ok</v>
      </c>
      <c r="H68" s="304">
        <f>SUMIFS('DF Calculation'!$L:$L,'DF Calculation'!$B:$B,'To Populate Tariff'!$A68,'DF Calculation'!$C:$C,'To Populate Tariff'!$B68)</f>
        <v>109.44</v>
      </c>
      <c r="I68" s="304">
        <f>SUMIFS('DF Calculation'!$M:$M,'DF Calculation'!$B:$B,'To Populate Tariff'!$A68,'DF Calculation'!$C:$C,'To Populate Tariff'!$B68)</f>
        <v>-0.73144062550645705</v>
      </c>
      <c r="J68" s="343">
        <f>SUMIFS('DF Calculation'!$O:$O,'DF Calculation'!$B:$B,'To Populate Tariff'!$A68,'DF Calculation'!$C:$C,'To Populate Tariff'!$B68)</f>
        <v>108.70855937449355</v>
      </c>
      <c r="K68" s="318" t="str">
        <f t="shared" si="4"/>
        <v>ok</v>
      </c>
      <c r="N68" s="339">
        <v>109.19997559757897</v>
      </c>
      <c r="O68" s="339">
        <v>108.68997559757896</v>
      </c>
      <c r="P68" s="340">
        <f t="shared" si="5"/>
        <v>1.8583776914582018E-2</v>
      </c>
      <c r="Q68" s="340">
        <f t="shared" si="6"/>
        <v>1.8583776914582018E-2</v>
      </c>
    </row>
    <row r="69" spans="1:17">
      <c r="A69" s="279">
        <v>42</v>
      </c>
      <c r="B69" s="280" t="s">
        <v>199</v>
      </c>
      <c r="C69" s="280" t="str">
        <f>VLOOKUP(B69,Mapping!$D$2:$H$157,5,FALSE)</f>
        <v>20 Gallon Cart Minimum</v>
      </c>
      <c r="D69" s="303">
        <f>SUMIFS('DF Calculation'!K:K,'DF Calculation'!B:B,'To Populate Tariff'!A69,'DF Calculation'!C:C,'To Populate Tariff'!B69)</f>
        <v>17.2</v>
      </c>
      <c r="E69" s="303">
        <f>SUMIFS('DF Calculation'!M:M,'DF Calculation'!B:B,'To Populate Tariff'!A69,'DF Calculation'!C:C,'To Populate Tariff'!B69)</f>
        <v>-7.5466096282412229E-2</v>
      </c>
      <c r="F69" s="343">
        <f>SUMIFS('DF Calculation'!N:N,'DF Calculation'!B:B,'To Populate Tariff'!A69,'DF Calculation'!C:C,'To Populate Tariff'!B69)</f>
        <v>17.124533903717587</v>
      </c>
      <c r="G69" s="317" t="str">
        <f t="shared" si="7"/>
        <v>ok</v>
      </c>
      <c r="H69" s="303">
        <f>SUMIFS('DF Calculation'!$L:$L,'DF Calculation'!$B:$B,'To Populate Tariff'!$A69,'DF Calculation'!$C:$C,'To Populate Tariff'!$B69)</f>
        <v>17.12</v>
      </c>
      <c r="I69" s="303">
        <f>SUMIFS('DF Calculation'!$M:$M,'DF Calculation'!$B:$B,'To Populate Tariff'!$A69,'DF Calculation'!$C:$C,'To Populate Tariff'!$B69)</f>
        <v>-7.5466096282412229E-2</v>
      </c>
      <c r="J69" s="343">
        <f>SUMIFS('DF Calculation'!$O:$O,'DF Calculation'!$B:$B,'To Populate Tariff'!$A69,'DF Calculation'!$C:$C,'To Populate Tariff'!$B69)</f>
        <v>17.044533903717589</v>
      </c>
      <c r="K69" s="317" t="str">
        <f t="shared" si="4"/>
        <v>ok</v>
      </c>
      <c r="N69" s="1">
        <v>17.122616529908939</v>
      </c>
      <c r="O69" s="1">
        <v>17.04261652990894</v>
      </c>
      <c r="P69" s="310">
        <f t="shared" si="5"/>
        <v>1.917373808648648E-3</v>
      </c>
      <c r="Q69" s="310">
        <f t="shared" si="6"/>
        <v>1.917373808648648E-3</v>
      </c>
    </row>
    <row r="70" spans="1:17">
      <c r="A70" s="279">
        <v>42</v>
      </c>
      <c r="B70" s="280" t="s">
        <v>812</v>
      </c>
      <c r="C70" s="280" t="str">
        <f>VLOOKUP(B70,Mapping!$D$2:$H$157,5,FALSE)</f>
        <v>20 Gallon Cart per PU</v>
      </c>
      <c r="D70" s="303">
        <f>SUMIFS('DF Calculation'!K:K,'DF Calculation'!B:B,'To Populate Tariff'!A70,'DF Calculation'!C:C,'To Populate Tariff'!B70)</f>
        <v>3.97</v>
      </c>
      <c r="E70" s="303">
        <f>SUMIFS('DF Calculation'!M:M,'DF Calculation'!B:B,'To Populate Tariff'!A70,'DF Calculation'!C:C,'To Populate Tariff'!B70)</f>
        <v>-1.7415252988248978E-2</v>
      </c>
      <c r="F70" s="343">
        <f>SUMIFS('DF Calculation'!N:N,'DF Calculation'!B:B,'To Populate Tariff'!A70,'DF Calculation'!C:C,'To Populate Tariff'!B70)</f>
        <v>3.952584747011751</v>
      </c>
      <c r="G70" s="317" t="str">
        <f t="shared" si="7"/>
        <v>ok</v>
      </c>
      <c r="H70" s="303">
        <f>SUMIFS('DF Calculation'!$L:$L,'DF Calculation'!$B:$B,'To Populate Tariff'!$A70,'DF Calculation'!$C:$C,'To Populate Tariff'!$B70)</f>
        <v>3.95</v>
      </c>
      <c r="I70" s="303">
        <f>SUMIFS('DF Calculation'!$M:$M,'DF Calculation'!$B:$B,'To Populate Tariff'!$A70,'DF Calculation'!$C:$C,'To Populate Tariff'!$B70)</f>
        <v>-1.7415252988248978E-2</v>
      </c>
      <c r="J70" s="343">
        <f>SUMIFS('DF Calculation'!$O:$O,'DF Calculation'!$B:$B,'To Populate Tariff'!$A70,'DF Calculation'!$C:$C,'To Populate Tariff'!$B70)</f>
        <v>3.932584747011751</v>
      </c>
      <c r="K70" s="317" t="str">
        <f t="shared" si="4"/>
        <v>ok</v>
      </c>
      <c r="N70" s="1">
        <v>3.9521422761328324</v>
      </c>
      <c r="O70" s="1">
        <v>3.9321422761328324</v>
      </c>
      <c r="P70" s="310">
        <f t="shared" si="5"/>
        <v>4.4247087891857717E-4</v>
      </c>
      <c r="Q70" s="310">
        <f t="shared" si="6"/>
        <v>4.4247087891857717E-4</v>
      </c>
    </row>
    <row r="71" spans="1:17">
      <c r="A71" s="279">
        <v>42</v>
      </c>
      <c r="B71" s="280" t="s">
        <v>200</v>
      </c>
      <c r="C71" s="280" t="str">
        <f>VLOOKUP(B71,Mapping!$D$2:$H$157,5,FALSE)</f>
        <v>35 Gallon Cart Minimum</v>
      </c>
      <c r="D71" s="303">
        <f>SUMIFS('DF Calculation'!K:K,'DF Calculation'!B:B,'To Populate Tariff'!A71,'DF Calculation'!C:C,'To Populate Tariff'!B71)</f>
        <v>21.64</v>
      </c>
      <c r="E71" s="303">
        <f>SUMIFS('DF Calculation'!M:M,'DF Calculation'!B:B,'To Populate Tariff'!A71,'DF Calculation'!C:C,'To Populate Tariff'!B71)</f>
        <v>-0.12829236368010077</v>
      </c>
      <c r="F71" s="343">
        <f>SUMIFS('DF Calculation'!N:N,'DF Calculation'!B:B,'To Populate Tariff'!A71,'DF Calculation'!C:C,'To Populate Tariff'!B71)</f>
        <v>21.511707636319901</v>
      </c>
      <c r="G71" s="317" t="str">
        <f t="shared" si="7"/>
        <v>ok</v>
      </c>
      <c r="H71" s="303">
        <f>SUMIFS('DF Calculation'!$L:$L,'DF Calculation'!$B:$B,'To Populate Tariff'!$A71,'DF Calculation'!$C:$C,'To Populate Tariff'!$B71)</f>
        <v>21.54</v>
      </c>
      <c r="I71" s="303">
        <f>SUMIFS('DF Calculation'!$M:$M,'DF Calculation'!$B:$B,'To Populate Tariff'!$A71,'DF Calculation'!$C:$C,'To Populate Tariff'!$B71)</f>
        <v>-0.12829236368010077</v>
      </c>
      <c r="J71" s="343">
        <f>SUMIFS('DF Calculation'!$O:$O,'DF Calculation'!$B:$B,'To Populate Tariff'!$A71,'DF Calculation'!$C:$C,'To Populate Tariff'!$B71)</f>
        <v>21.4117076363199</v>
      </c>
      <c r="K71" s="317" t="str">
        <f t="shared" si="4"/>
        <v>ok</v>
      </c>
      <c r="N71" s="1">
        <v>21.5084481008452</v>
      </c>
      <c r="O71" s="1">
        <v>21.408448100845199</v>
      </c>
      <c r="P71" s="310">
        <f t="shared" si="5"/>
        <v>3.2595354747009253E-3</v>
      </c>
      <c r="Q71" s="310">
        <f t="shared" si="6"/>
        <v>3.2595354747009253E-3</v>
      </c>
    </row>
    <row r="72" spans="1:17">
      <c r="A72" s="279">
        <v>42</v>
      </c>
      <c r="B72" s="280" t="s">
        <v>813</v>
      </c>
      <c r="C72" s="280" t="str">
        <f>VLOOKUP(B72,Mapping!$D$2:$H$157,5,FALSE)</f>
        <v>35 Gallon Cart per PU</v>
      </c>
      <c r="D72" s="303">
        <f>SUMIFS('DF Calculation'!K:K,'DF Calculation'!B:B,'To Populate Tariff'!A72,'DF Calculation'!C:C,'To Populate Tariff'!B72)</f>
        <v>4.99</v>
      </c>
      <c r="E72" s="303">
        <f>SUMIFS('DF Calculation'!M:M,'DF Calculation'!B:B,'To Populate Tariff'!A72,'DF Calculation'!C:C,'To Populate Tariff'!B72)</f>
        <v>-2.9605930080023265E-2</v>
      </c>
      <c r="F72" s="343">
        <f>SUMIFS('DF Calculation'!N:N,'DF Calculation'!B:B,'To Populate Tariff'!A72,'DF Calculation'!C:C,'To Populate Tariff'!B72)</f>
        <v>4.9603940699199773</v>
      </c>
      <c r="G72" s="317" t="str">
        <f t="shared" si="7"/>
        <v>ok</v>
      </c>
      <c r="H72" s="303">
        <f>SUMIFS('DF Calculation'!$L:$L,'DF Calculation'!$B:$B,'To Populate Tariff'!$A72,'DF Calculation'!$C:$C,'To Populate Tariff'!$B72)</f>
        <v>4.97</v>
      </c>
      <c r="I72" s="303">
        <f>SUMIFS('DF Calculation'!$M:$M,'DF Calculation'!$B:$B,'To Populate Tariff'!$A72,'DF Calculation'!$C:$C,'To Populate Tariff'!$B72)</f>
        <v>-2.9605930080023265E-2</v>
      </c>
      <c r="J72" s="343">
        <f>SUMIFS('DF Calculation'!$O:$O,'DF Calculation'!$B:$B,'To Populate Tariff'!$A72,'DF Calculation'!$C:$C,'To Populate Tariff'!$B72)</f>
        <v>4.9403940699199769</v>
      </c>
      <c r="K72" s="317" t="str">
        <f t="shared" si="4"/>
        <v>ok</v>
      </c>
      <c r="N72" s="1">
        <v>4.9596418694258153</v>
      </c>
      <c r="O72" s="1">
        <v>4.9396418694258148</v>
      </c>
      <c r="P72" s="310">
        <f t="shared" si="5"/>
        <v>7.5220049416202528E-4</v>
      </c>
      <c r="Q72" s="310">
        <f t="shared" si="6"/>
        <v>7.5220049416202528E-4</v>
      </c>
    </row>
    <row r="73" spans="1:17">
      <c r="A73" s="279">
        <v>42</v>
      </c>
      <c r="B73" s="280" t="s">
        <v>201</v>
      </c>
      <c r="C73" s="280" t="str">
        <f>VLOOKUP(B73,Mapping!$D$2:$H$157,5,FALSE)</f>
        <v>65 Gallon Cart Minimum</v>
      </c>
      <c r="D73" s="303">
        <f>SUMIFS('DF Calculation'!K:K,'DF Calculation'!B:B,'To Populate Tariff'!A73,'DF Calculation'!C:C,'To Populate Tariff'!B73)</f>
        <v>32.31</v>
      </c>
      <c r="E73" s="303">
        <f>SUMIFS('DF Calculation'!M:M,'DF Calculation'!B:B,'To Populate Tariff'!A73,'DF Calculation'!C:C,'To Populate Tariff'!B73)</f>
        <v>-0.17734532626366875</v>
      </c>
      <c r="F73" s="343">
        <f>SUMIFS('DF Calculation'!N:N,'DF Calculation'!B:B,'To Populate Tariff'!A73,'DF Calculation'!C:C,'To Populate Tariff'!B73)</f>
        <v>32.132654673736333</v>
      </c>
      <c r="G73" s="317" t="str">
        <f t="shared" si="7"/>
        <v>ok</v>
      </c>
      <c r="H73" s="303">
        <f>SUMIFS('DF Calculation'!$L:$L,'DF Calculation'!$B:$B,'To Populate Tariff'!$A73,'DF Calculation'!$C:$C,'To Populate Tariff'!$B73)</f>
        <v>32.159999999999997</v>
      </c>
      <c r="I73" s="303">
        <f>SUMIFS('DF Calculation'!$M:$M,'DF Calculation'!$B:$B,'To Populate Tariff'!$A73,'DF Calculation'!$C:$C,'To Populate Tariff'!$B73)</f>
        <v>-0.17734532626366875</v>
      </c>
      <c r="J73" s="343">
        <f>SUMIFS('DF Calculation'!$O:$O,'DF Calculation'!$B:$B,'To Populate Tariff'!$A73,'DF Calculation'!$C:$C,'To Populate Tariff'!$B73)</f>
        <v>31.982654673736327</v>
      </c>
      <c r="K73" s="317" t="str">
        <f t="shared" si="4"/>
        <v>ok</v>
      </c>
      <c r="N73" s="1">
        <v>32.128148845286013</v>
      </c>
      <c r="O73" s="1">
        <v>31.978148845286007</v>
      </c>
      <c r="P73" s="310">
        <f t="shared" si="5"/>
        <v>4.505828450319882E-3</v>
      </c>
      <c r="Q73" s="310">
        <f t="shared" si="6"/>
        <v>4.505828450319882E-3</v>
      </c>
    </row>
    <row r="74" spans="1:17">
      <c r="A74" s="279">
        <v>42</v>
      </c>
      <c r="B74" s="280" t="s">
        <v>814</v>
      </c>
      <c r="C74" s="280" t="str">
        <f>VLOOKUP(B74,Mapping!$D$2:$H$157,5,FALSE)</f>
        <v>65 Gallon Cart per PU</v>
      </c>
      <c r="D74" s="303">
        <f>SUMIFS('DF Calculation'!K:K,'DF Calculation'!B:B,'To Populate Tariff'!A74,'DF Calculation'!C:C,'To Populate Tariff'!B74)</f>
        <v>7.44</v>
      </c>
      <c r="E74" s="303">
        <f>SUMIFS('DF Calculation'!M:M,'DF Calculation'!B:B,'To Populate Tariff'!A74,'DF Calculation'!C:C,'To Populate Tariff'!B74)</f>
        <v>-4.0925844522385096E-2</v>
      </c>
      <c r="F74" s="343">
        <f>SUMIFS('DF Calculation'!N:N,'DF Calculation'!B:B,'To Populate Tariff'!A74,'DF Calculation'!C:C,'To Populate Tariff'!B74)</f>
        <v>7.3990741554776154</v>
      </c>
      <c r="G74" s="317" t="str">
        <f t="shared" si="7"/>
        <v>ok</v>
      </c>
      <c r="H74" s="303">
        <f>SUMIFS('DF Calculation'!$L:$L,'DF Calculation'!$B:$B,'To Populate Tariff'!$A74,'DF Calculation'!$C:$C,'To Populate Tariff'!$B74)</f>
        <v>7.41</v>
      </c>
      <c r="I74" s="303">
        <f>SUMIFS('DF Calculation'!$M:$M,'DF Calculation'!$B:$B,'To Populate Tariff'!$A74,'DF Calculation'!$C:$C,'To Populate Tariff'!$B74)</f>
        <v>-4.0925844522385096E-2</v>
      </c>
      <c r="J74" s="343">
        <f>SUMIFS('DF Calculation'!$O:$O,'DF Calculation'!$B:$B,'To Populate Tariff'!$A74,'DF Calculation'!$C:$C,'To Populate Tariff'!$B74)</f>
        <v>7.3690741554776151</v>
      </c>
      <c r="K74" s="317" t="str">
        <f t="shared" si="4"/>
        <v>ok</v>
      </c>
      <c r="N74" s="1">
        <v>7.3980343489121561</v>
      </c>
      <c r="O74" s="1">
        <v>7.3680343489121558</v>
      </c>
      <c r="P74" s="310">
        <f t="shared" si="5"/>
        <v>1.0398065654593225E-3</v>
      </c>
      <c r="Q74" s="310">
        <f t="shared" si="6"/>
        <v>1.0398065654593225E-3</v>
      </c>
    </row>
    <row r="75" spans="1:17">
      <c r="A75" s="279">
        <v>42</v>
      </c>
      <c r="B75" s="280" t="s">
        <v>202</v>
      </c>
      <c r="C75" s="280" t="str">
        <f>VLOOKUP(B75,Mapping!$D$2:$H$157,5,FALSE)</f>
        <v>95 Gallon Cart Minimum</v>
      </c>
      <c r="D75" s="303">
        <f>SUMIFS('DF Calculation'!K:K,'DF Calculation'!B:B,'To Populate Tariff'!A75,'DF Calculation'!C:C,'To Populate Tariff'!B75)</f>
        <v>45.25</v>
      </c>
      <c r="E75" s="303">
        <f>SUMIFS('DF Calculation'!M:M,'DF Calculation'!B:B,'To Populate Tariff'!A75,'DF Calculation'!C:C,'To Populate Tariff'!B75)</f>
        <v>-0.25658472736020166</v>
      </c>
      <c r="F75" s="343">
        <f>SUMIFS('DF Calculation'!N:N,'DF Calculation'!B:B,'To Populate Tariff'!A75,'DF Calculation'!C:C,'To Populate Tariff'!B75)</f>
        <v>44.993415272639801</v>
      </c>
      <c r="G75" s="317" t="str">
        <f t="shared" si="7"/>
        <v>ok</v>
      </c>
      <c r="H75" s="303">
        <f>SUMIFS('DF Calculation'!$L:$L,'DF Calculation'!$B:$B,'To Populate Tariff'!$A75,'DF Calculation'!$C:$C,'To Populate Tariff'!$B75)</f>
        <v>45.04</v>
      </c>
      <c r="I75" s="303">
        <f>SUMIFS('DF Calculation'!$M:$M,'DF Calculation'!$B:$B,'To Populate Tariff'!$A75,'DF Calculation'!$C:$C,'To Populate Tariff'!$B75)</f>
        <v>-0.25658472736020166</v>
      </c>
      <c r="J75" s="343">
        <f>SUMIFS('DF Calculation'!$O:$O,'DF Calculation'!$B:$B,'To Populate Tariff'!$A75,'DF Calculation'!$C:$C,'To Populate Tariff'!$B75)</f>
        <v>44.7834152726398</v>
      </c>
      <c r="K75" s="317" t="str">
        <f t="shared" si="4"/>
        <v>ok</v>
      </c>
      <c r="N75" s="341">
        <v>44.986896201690399</v>
      </c>
      <c r="O75" s="341">
        <v>44.776896201690398</v>
      </c>
      <c r="P75" s="342">
        <f t="shared" si="5"/>
        <v>6.5190709494018506E-3</v>
      </c>
      <c r="Q75" s="342">
        <f t="shared" si="6"/>
        <v>6.5190709494018506E-3</v>
      </c>
    </row>
    <row r="76" spans="1:17">
      <c r="A76" s="279">
        <v>42</v>
      </c>
      <c r="B76" s="280" t="s">
        <v>815</v>
      </c>
      <c r="C76" s="280" t="str">
        <f>VLOOKUP(B76,Mapping!$D$2:$H$157,5,FALSE)</f>
        <v>95 Gallon Cart per PU</v>
      </c>
      <c r="D76" s="303">
        <f>SUMIFS('DF Calculation'!K:K,'DF Calculation'!B:B,'To Populate Tariff'!A76,'DF Calculation'!C:C,'To Populate Tariff'!B76)</f>
        <v>10.44</v>
      </c>
      <c r="E76" s="303">
        <f>SUMIFS('DF Calculation'!M:M,'DF Calculation'!B:B,'To Populate Tariff'!A76,'DF Calculation'!C:C,'To Populate Tariff'!B76)</f>
        <v>-5.921186016004653E-2</v>
      </c>
      <c r="F76" s="343">
        <f>SUMIFS('DF Calculation'!N:N,'DF Calculation'!B:B,'To Populate Tariff'!A76,'DF Calculation'!C:C,'To Populate Tariff'!B76)</f>
        <v>10.380788139839954</v>
      </c>
      <c r="G76" s="317" t="str">
        <f t="shared" si="7"/>
        <v>ok</v>
      </c>
      <c r="H76" s="303">
        <f>SUMIFS('DF Calculation'!$L:$L,'DF Calculation'!$B:$B,'To Populate Tariff'!$A76,'DF Calculation'!$C:$C,'To Populate Tariff'!$B76)</f>
        <v>10.39</v>
      </c>
      <c r="I76" s="303">
        <f>SUMIFS('DF Calculation'!$M:$M,'DF Calculation'!$B:$B,'To Populate Tariff'!$A76,'DF Calculation'!$C:$C,'To Populate Tariff'!$B76)</f>
        <v>-5.921186016004653E-2</v>
      </c>
      <c r="J76" s="343">
        <f>SUMIFS('DF Calculation'!$O:$O,'DF Calculation'!$B:$B,'To Populate Tariff'!$A76,'DF Calculation'!$C:$C,'To Populate Tariff'!$B76)</f>
        <v>10.330788139839955</v>
      </c>
      <c r="K76" s="317" t="str">
        <f t="shared" si="4"/>
        <v>ok</v>
      </c>
      <c r="N76" s="1">
        <v>10.37928373885163</v>
      </c>
      <c r="O76" s="1">
        <v>10.329283738851631</v>
      </c>
      <c r="P76" s="310">
        <f t="shared" si="5"/>
        <v>1.5044009883240506E-3</v>
      </c>
      <c r="Q76" s="310">
        <f t="shared" si="6"/>
        <v>1.5044009883240506E-3</v>
      </c>
    </row>
    <row r="77" spans="1:17">
      <c r="A77" s="279">
        <v>42</v>
      </c>
      <c r="B77" s="280" t="s">
        <v>226</v>
      </c>
      <c r="C77" s="280" t="str">
        <f>VLOOKUP(B77,Mapping!$D$2:$H$157,5,FALSE)</f>
        <v>Can Extra</v>
      </c>
      <c r="D77" s="303">
        <f>SUMIFS('DF Calculation'!K:K,'DF Calculation'!B:B,'To Populate Tariff'!A77,'DF Calculation'!C:C,'To Populate Tariff'!B77)</f>
        <v>4.82</v>
      </c>
      <c r="E77" s="303">
        <f>SUMIFS('DF Calculation'!M:M,'DF Calculation'!B:B,'To Populate Tariff'!A77,'DF Calculation'!C:C,'To Populate Tariff'!B77)</f>
        <v>-2.5252116832961018E-2</v>
      </c>
      <c r="F77" s="343">
        <f>SUMIFS('DF Calculation'!N:N,'DF Calculation'!B:B,'To Populate Tariff'!A77,'DF Calculation'!C:C,'To Populate Tariff'!B77)</f>
        <v>4.7947478831670391</v>
      </c>
      <c r="G77" s="317" t="str">
        <f t="shared" si="7"/>
        <v>ok</v>
      </c>
      <c r="H77" s="303">
        <f>SUMIFS('DF Calculation'!$L:$L,'DF Calculation'!$B:$B,'To Populate Tariff'!$A77,'DF Calculation'!$C:$C,'To Populate Tariff'!$B77)</f>
        <v>4.8</v>
      </c>
      <c r="I77" s="303">
        <f>SUMIFS('DF Calculation'!$M:$M,'DF Calculation'!$B:$B,'To Populate Tariff'!$A77,'DF Calculation'!$C:$C,'To Populate Tariff'!$B77)</f>
        <v>-2.5252116832961018E-2</v>
      </c>
      <c r="J77" s="343">
        <f>SUMIFS('DF Calculation'!$O:$O,'DF Calculation'!$B:$B,'To Populate Tariff'!$A77,'DF Calculation'!$C:$C,'To Populate Tariff'!$B77)</f>
        <v>4.7747478831670387</v>
      </c>
      <c r="K77" s="317" t="str">
        <f t="shared" si="4"/>
        <v>ok</v>
      </c>
      <c r="N77" s="1">
        <v>4.794106300392607</v>
      </c>
      <c r="O77" s="1">
        <v>4.7741063003926065</v>
      </c>
      <c r="P77" s="310">
        <f t="shared" si="5"/>
        <v>6.4158277443215894E-4</v>
      </c>
      <c r="Q77" s="310">
        <f t="shared" si="6"/>
        <v>6.4158277443215894E-4</v>
      </c>
    </row>
    <row r="78" spans="1:17">
      <c r="A78" s="284">
        <v>44</v>
      </c>
      <c r="B78" s="289" t="s">
        <v>210</v>
      </c>
      <c r="C78" s="289" t="str">
        <f>VLOOKUP(B78,Mapping!$D$2:$H$157,5,FALSE)</f>
        <v>2 yard Regular</v>
      </c>
      <c r="D78" s="305">
        <f>SUMIFS('DF Calculation'!K:K,'DF Calculation'!B:B,'To Populate Tariff'!A78,'DF Calculation'!C:C,'To Populate Tariff'!B78)</f>
        <v>88.63</v>
      </c>
      <c r="E78" s="305">
        <f>SUMIFS('DF Calculation'!M:M,'DF Calculation'!B:B,'To Populate Tariff'!A78,'DF Calculation'!C:C,'To Populate Tariff'!B78)</f>
        <v>-0.63478597142167525</v>
      </c>
      <c r="F78" s="343">
        <f>SUMIFS('DF Calculation'!N:N,'DF Calculation'!B:B,'To Populate Tariff'!A78,'DF Calculation'!C:C,'To Populate Tariff'!B78)</f>
        <v>87.995214028578317</v>
      </c>
      <c r="G78" s="319" t="str">
        <f t="shared" si="7"/>
        <v>ok</v>
      </c>
      <c r="H78" s="305">
        <f>SUMIFS('DF Calculation'!$L:$L,'DF Calculation'!$B:$B,'To Populate Tariff'!$A78,'DF Calculation'!$C:$C,'To Populate Tariff'!$B78)</f>
        <v>88.22</v>
      </c>
      <c r="I78" s="305">
        <f>SUMIFS('DF Calculation'!$M:$M,'DF Calculation'!$B:$B,'To Populate Tariff'!$A78,'DF Calculation'!$C:$C,'To Populate Tariff'!$B78)</f>
        <v>-0.63478597142167525</v>
      </c>
      <c r="J78" s="343">
        <f>SUMIFS('DF Calculation'!$O:$O,'DF Calculation'!$B:$B,'To Populate Tariff'!$A78,'DF Calculation'!$C:$C,'To Populate Tariff'!$B78)</f>
        <v>87.585214028578321</v>
      </c>
      <c r="K78" s="319" t="str">
        <f t="shared" si="4"/>
        <v>ok</v>
      </c>
      <c r="N78" s="339">
        <v>87.979085965041733</v>
      </c>
      <c r="O78" s="339">
        <v>87.569085965041737</v>
      </c>
      <c r="P78" s="340">
        <f t="shared" si="5"/>
        <v>1.6128063536584136E-2</v>
      </c>
      <c r="Q78" s="340">
        <f t="shared" si="6"/>
        <v>1.6128063536584136E-2</v>
      </c>
    </row>
    <row r="79" spans="1:17">
      <c r="A79" s="284">
        <v>44</v>
      </c>
      <c r="B79" s="289" t="s">
        <v>290</v>
      </c>
      <c r="C79" s="289" t="str">
        <f>VLOOKUP(B79,Mapping!$D$2:$H$157,5,FALSE)</f>
        <v>2 yard Special and Temporary</v>
      </c>
      <c r="D79" s="305">
        <f>SUMIFS('DF Calculation'!K:K,'DF Calculation'!B:B,'To Populate Tariff'!A79,'DF Calculation'!C:C,'To Populate Tariff'!B79)</f>
        <v>95.21</v>
      </c>
      <c r="E79" s="305">
        <f>SUMIFS('DF Calculation'!M:M,'DF Calculation'!B:B,'To Populate Tariff'!A79,'DF Calculation'!C:C,'To Populate Tariff'!B79)</f>
        <v>-0.63478597142167537</v>
      </c>
      <c r="F79" s="343">
        <f>SUMIFS('DF Calculation'!N:N,'DF Calculation'!B:B,'To Populate Tariff'!A79,'DF Calculation'!C:C,'To Populate Tariff'!B79)</f>
        <v>94.575214028578316</v>
      </c>
      <c r="G79" s="319" t="str">
        <f t="shared" si="7"/>
        <v>ok</v>
      </c>
      <c r="H79" s="305">
        <f>SUMIFS('DF Calculation'!$L:$L,'DF Calculation'!$B:$B,'To Populate Tariff'!$A79,'DF Calculation'!$C:$C,'To Populate Tariff'!$B79)</f>
        <v>94.77</v>
      </c>
      <c r="I79" s="305">
        <f>SUMIFS('DF Calculation'!$M:$M,'DF Calculation'!$B:$B,'To Populate Tariff'!$A79,'DF Calculation'!$C:$C,'To Populate Tariff'!$B79)</f>
        <v>-0.63478597142167537</v>
      </c>
      <c r="J79" s="343">
        <f>SUMIFS('DF Calculation'!$O:$O,'DF Calculation'!$B:$B,'To Populate Tariff'!$A79,'DF Calculation'!$C:$C,'To Populate Tariff'!$B79)</f>
        <v>94.135214028578318</v>
      </c>
      <c r="K79" s="319" t="str">
        <f t="shared" si="4"/>
        <v>ok</v>
      </c>
      <c r="N79" s="339">
        <v>94.559085965041731</v>
      </c>
      <c r="O79" s="339">
        <v>94.119085965041734</v>
      </c>
      <c r="P79" s="340">
        <f t="shared" si="5"/>
        <v>1.6128063536584136E-2</v>
      </c>
      <c r="Q79" s="340">
        <f t="shared" si="6"/>
        <v>1.6128063536584136E-2</v>
      </c>
    </row>
    <row r="80" spans="1:17">
      <c r="A80" s="284">
        <v>44</v>
      </c>
      <c r="B80" s="289" t="s">
        <v>211</v>
      </c>
      <c r="C80" s="289" t="str">
        <f>VLOOKUP(B80,Mapping!$D$2:$H$157,5,FALSE)</f>
        <v>4 yard Regular</v>
      </c>
      <c r="D80" s="305">
        <f>SUMIFS('DF Calculation'!K:K,'DF Calculation'!B:B,'To Populate Tariff'!A80,'DF Calculation'!C:C,'To Populate Tariff'!B80)</f>
        <v>161.09</v>
      </c>
      <c r="E80" s="305">
        <f>SUMIFS('DF Calculation'!M:M,'DF Calculation'!B:B,'To Populate Tariff'!A80,'DF Calculation'!C:C,'To Populate Tariff'!B80)</f>
        <v>-1.20099938420212</v>
      </c>
      <c r="F80" s="343">
        <f>SUMIFS('DF Calculation'!N:N,'DF Calculation'!B:B,'To Populate Tariff'!A80,'DF Calculation'!C:C,'To Populate Tariff'!B80)</f>
        <v>159.8890006157979</v>
      </c>
      <c r="G80" s="319" t="str">
        <f t="shared" si="7"/>
        <v>ok</v>
      </c>
      <c r="H80" s="305">
        <f>SUMIFS('DF Calculation'!$L:$L,'DF Calculation'!$B:$B,'To Populate Tariff'!$A80,'DF Calculation'!$C:$C,'To Populate Tariff'!$B80)</f>
        <v>160.34</v>
      </c>
      <c r="I80" s="305">
        <f>SUMIFS('DF Calculation'!$M:$M,'DF Calculation'!$B:$B,'To Populate Tariff'!$A80,'DF Calculation'!$C:$C,'To Populate Tariff'!$B80)</f>
        <v>-1.20099938420212</v>
      </c>
      <c r="J80" s="343">
        <f>SUMIFS('DF Calculation'!$O:$O,'DF Calculation'!$B:$B,'To Populate Tariff'!$A80,'DF Calculation'!$C:$C,'To Populate Tariff'!$B80)</f>
        <v>159.1390006157979</v>
      </c>
      <c r="K80" s="319" t="str">
        <f t="shared" si="4"/>
        <v>ok</v>
      </c>
      <c r="N80" s="339">
        <v>159.85848671781045</v>
      </c>
      <c r="O80" s="339">
        <v>159.10848671781045</v>
      </c>
      <c r="P80" s="340">
        <f t="shared" si="5"/>
        <v>3.0513897987447081E-2</v>
      </c>
      <c r="Q80" s="340">
        <f t="shared" si="6"/>
        <v>3.0513897987447081E-2</v>
      </c>
    </row>
    <row r="81" spans="1:17">
      <c r="A81" s="284">
        <v>44</v>
      </c>
      <c r="B81" s="289" t="s">
        <v>288</v>
      </c>
      <c r="C81" s="289" t="str">
        <f>VLOOKUP(B81,Mapping!$D$2:$H$157,5,FALSE)</f>
        <v>4 yard Special and Temporary</v>
      </c>
      <c r="D81" s="305">
        <f>SUMIFS('DF Calculation'!K:K,'DF Calculation'!B:B,'To Populate Tariff'!A81,'DF Calculation'!C:C,'To Populate Tariff'!B81)</f>
        <v>167.67</v>
      </c>
      <c r="E81" s="305">
        <f>SUMIFS('DF Calculation'!M:M,'DF Calculation'!B:B,'To Populate Tariff'!A81,'DF Calculation'!C:C,'To Populate Tariff'!B81)</f>
        <v>-1.2009993842021203</v>
      </c>
      <c r="F81" s="343">
        <f>SUMIFS('DF Calculation'!N:N,'DF Calculation'!B:B,'To Populate Tariff'!A81,'DF Calculation'!C:C,'To Populate Tariff'!B81)</f>
        <v>166.46900061579788</v>
      </c>
      <c r="G81" s="319" t="str">
        <f t="shared" si="7"/>
        <v>ok</v>
      </c>
      <c r="H81" s="305">
        <f>SUMIFS('DF Calculation'!$L:$L,'DF Calculation'!$B:$B,'To Populate Tariff'!$A81,'DF Calculation'!$C:$C,'To Populate Tariff'!$B81)</f>
        <v>166.89</v>
      </c>
      <c r="I81" s="305">
        <f>SUMIFS('DF Calculation'!$M:$M,'DF Calculation'!$B:$B,'To Populate Tariff'!$A81,'DF Calculation'!$C:$C,'To Populate Tariff'!$B81)</f>
        <v>-1.2009993842021203</v>
      </c>
      <c r="J81" s="343">
        <f>SUMIFS('DF Calculation'!$O:$O,'DF Calculation'!$B:$B,'To Populate Tariff'!$A81,'DF Calculation'!$C:$C,'To Populate Tariff'!$B81)</f>
        <v>165.68900061579785</v>
      </c>
      <c r="K81" s="319" t="str">
        <f t="shared" si="4"/>
        <v>ok</v>
      </c>
      <c r="N81" s="339">
        <v>166.43848671781043</v>
      </c>
      <c r="O81" s="339">
        <v>165.65848671781043</v>
      </c>
      <c r="P81" s="340">
        <f t="shared" si="5"/>
        <v>3.0513897987447081E-2</v>
      </c>
      <c r="Q81" s="340">
        <f t="shared" si="6"/>
        <v>3.0513897987418659E-2</v>
      </c>
    </row>
    <row r="82" spans="1:17">
      <c r="A82" s="284">
        <v>44</v>
      </c>
      <c r="B82" s="289" t="s">
        <v>248</v>
      </c>
      <c r="C82" s="289" t="str">
        <f>VLOOKUP(B82,Mapping!$D$2:$H$157,5,FALSE)</f>
        <v>6 yard Regular</v>
      </c>
      <c r="D82" s="305">
        <f>SUMIFS('DF Calculation'!K:K,'DF Calculation'!B:B,'To Populate Tariff'!A82,'DF Calculation'!C:C,'To Populate Tariff'!B82)</f>
        <v>226.26</v>
      </c>
      <c r="E82" s="305">
        <f>SUMIFS('DF Calculation'!M:M,'DF Calculation'!B:B,'To Populate Tariff'!A82,'DF Calculation'!C:C,'To Populate Tariff'!B82)</f>
        <v>-1.6457414073895285</v>
      </c>
      <c r="F82" s="343">
        <f>SUMIFS('DF Calculation'!N:N,'DF Calculation'!B:B,'To Populate Tariff'!A82,'DF Calculation'!C:C,'To Populate Tariff'!B82)</f>
        <v>224.61425859261047</v>
      </c>
      <c r="G82" s="319" t="str">
        <f t="shared" si="7"/>
        <v>ok</v>
      </c>
      <c r="H82" s="305">
        <f>SUMIFS('DF Calculation'!$L:$L,'DF Calculation'!$B:$B,'To Populate Tariff'!$A82,'DF Calculation'!$C:$C,'To Populate Tariff'!$B82)</f>
        <v>225.21</v>
      </c>
      <c r="I82" s="305">
        <f>SUMIFS('DF Calculation'!$M:$M,'DF Calculation'!$B:$B,'To Populate Tariff'!$A82,'DF Calculation'!$C:$C,'To Populate Tariff'!$B82)</f>
        <v>-1.6457414073895285</v>
      </c>
      <c r="J82" s="343">
        <f>SUMIFS('DF Calculation'!$O:$O,'DF Calculation'!$B:$B,'To Populate Tariff'!$A82,'DF Calculation'!$C:$C,'To Populate Tariff'!$B82)</f>
        <v>223.56425859261049</v>
      </c>
      <c r="K82" s="319" t="str">
        <f t="shared" si="4"/>
        <v>ok</v>
      </c>
      <c r="N82" s="339">
        <v>224.57244509455265</v>
      </c>
      <c r="O82" s="339">
        <v>223.52244509455267</v>
      </c>
      <c r="P82" s="340">
        <f t="shared" si="5"/>
        <v>4.1813498057820198E-2</v>
      </c>
      <c r="Q82" s="340">
        <f t="shared" si="6"/>
        <v>4.1813498057820198E-2</v>
      </c>
    </row>
    <row r="83" spans="1:17">
      <c r="A83" s="284">
        <v>44</v>
      </c>
      <c r="B83" s="289" t="s">
        <v>289</v>
      </c>
      <c r="C83" s="289" t="str">
        <f>VLOOKUP(B83,Mapping!$D$2:$H$157,5,FALSE)</f>
        <v>6 yard Special and Temporary</v>
      </c>
      <c r="D83" s="305">
        <f>SUMIFS('DF Calculation'!K:K,'DF Calculation'!B:B,'To Populate Tariff'!A83,'DF Calculation'!C:C,'To Populate Tariff'!B83)</f>
        <v>232.83</v>
      </c>
      <c r="E83" s="305">
        <f>SUMIFS('DF Calculation'!M:M,'DF Calculation'!B:B,'To Populate Tariff'!A83,'DF Calculation'!C:C,'To Populate Tariff'!B83)</f>
        <v>-1.6457414073895285</v>
      </c>
      <c r="F83" s="343">
        <f>SUMIFS('DF Calculation'!N:N,'DF Calculation'!B:B,'To Populate Tariff'!A83,'DF Calculation'!C:C,'To Populate Tariff'!B83)</f>
        <v>231.18425859261049</v>
      </c>
      <c r="G83" s="319" t="str">
        <f t="shared" si="7"/>
        <v>ok</v>
      </c>
      <c r="H83" s="305">
        <f>SUMIFS('DF Calculation'!$L:$L,'DF Calculation'!$B:$B,'To Populate Tariff'!$A83,'DF Calculation'!$C:$C,'To Populate Tariff'!$B83)</f>
        <v>231.75</v>
      </c>
      <c r="I83" s="305">
        <f>SUMIFS('DF Calculation'!$M:$M,'DF Calculation'!$B:$B,'To Populate Tariff'!$A83,'DF Calculation'!$C:$C,'To Populate Tariff'!$B83)</f>
        <v>-1.6457414073895285</v>
      </c>
      <c r="J83" s="343">
        <f>SUMIFS('DF Calculation'!$O:$O,'DF Calculation'!$B:$B,'To Populate Tariff'!$A83,'DF Calculation'!$C:$C,'To Populate Tariff'!$B83)</f>
        <v>230.10425859261048</v>
      </c>
      <c r="K83" s="319" t="str">
        <f t="shared" si="4"/>
        <v>ok</v>
      </c>
      <c r="N83" s="339">
        <v>231.14244509455267</v>
      </c>
      <c r="O83" s="339">
        <v>230.06244509455266</v>
      </c>
      <c r="P83" s="340">
        <f t="shared" si="5"/>
        <v>4.1813498057820198E-2</v>
      </c>
      <c r="Q83" s="340">
        <f t="shared" si="6"/>
        <v>4.1813498057820198E-2</v>
      </c>
    </row>
    <row r="84" spans="1:17">
      <c r="A84" s="283">
        <v>45</v>
      </c>
      <c r="B84" s="288" t="s">
        <v>257</v>
      </c>
      <c r="C84" s="288" t="str">
        <f>VLOOKUP(B84,Mapping!$D$2:$H$157,5,FALSE)</f>
        <v>2 yard Regular</v>
      </c>
      <c r="D84" s="304">
        <f>SUMIFS('DF Calculation'!K:K,'DF Calculation'!B:B,'To Populate Tariff'!A84,'DF Calculation'!C:C,'To Populate Tariff'!B84)</f>
        <v>113.02</v>
      </c>
      <c r="E84" s="304">
        <f>SUMIFS('DF Calculation'!M:M,'DF Calculation'!B:B,'To Populate Tariff'!A84,'DF Calculation'!C:C,'To Populate Tariff'!B84)</f>
        <v>-0.84638129522890027</v>
      </c>
      <c r="F84" s="343">
        <f>SUMIFS('DF Calculation'!N:N,'DF Calculation'!B:B,'To Populate Tariff'!A84,'DF Calculation'!C:C,'To Populate Tariff'!B84)</f>
        <v>112.1736187047711</v>
      </c>
      <c r="G84" s="318" t="str">
        <f t="shared" si="7"/>
        <v>ok</v>
      </c>
      <c r="H84" s="304">
        <f>SUMIFS('DF Calculation'!$L:$L,'DF Calculation'!$B:$B,'To Populate Tariff'!$A84,'DF Calculation'!$C:$C,'To Populate Tariff'!$B84)</f>
        <v>112.49</v>
      </c>
      <c r="I84" s="304">
        <f>SUMIFS('DF Calculation'!$M:$M,'DF Calculation'!$B:$B,'To Populate Tariff'!$A84,'DF Calculation'!$C:$C,'To Populate Tariff'!$B84)</f>
        <v>-0.84638129522890027</v>
      </c>
      <c r="J84" s="343">
        <f>SUMIFS('DF Calculation'!$O:$O,'DF Calculation'!$B:$B,'To Populate Tariff'!$A84,'DF Calculation'!$C:$C,'To Populate Tariff'!$B84)</f>
        <v>111.6436187047711</v>
      </c>
      <c r="K84" s="318" t="str">
        <f t="shared" si="4"/>
        <v>ok</v>
      </c>
      <c r="N84" s="339">
        <v>112.15211462005566</v>
      </c>
      <c r="O84" s="339">
        <v>111.62211462005565</v>
      </c>
      <c r="P84" s="340">
        <f t="shared" si="5"/>
        <v>2.1504084715445515E-2</v>
      </c>
      <c r="Q84" s="340">
        <f t="shared" si="6"/>
        <v>2.1504084715445515E-2</v>
      </c>
    </row>
    <row r="85" spans="1:17">
      <c r="A85" s="283">
        <v>45</v>
      </c>
      <c r="B85" s="288" t="s">
        <v>291</v>
      </c>
      <c r="C85" s="288" t="str">
        <f>VLOOKUP(B85,Mapping!$D$2:$H$157,5,FALSE)</f>
        <v>2 yard Special and Temporary</v>
      </c>
      <c r="D85" s="304">
        <f>SUMIFS('DF Calculation'!K:K,'DF Calculation'!B:B,'To Populate Tariff'!A85,'DF Calculation'!C:C,'To Populate Tariff'!B85)</f>
        <v>119.59</v>
      </c>
      <c r="E85" s="304">
        <f>SUMIFS('DF Calculation'!M:M,'DF Calculation'!B:B,'To Populate Tariff'!A85,'DF Calculation'!C:C,'To Populate Tariff'!B85)</f>
        <v>-0.84638129522890038</v>
      </c>
      <c r="F85" s="343">
        <f>SUMIFS('DF Calculation'!N:N,'DF Calculation'!B:B,'To Populate Tariff'!A85,'DF Calculation'!C:C,'To Populate Tariff'!B85)</f>
        <v>118.74361870477111</v>
      </c>
      <c r="G85" s="318" t="str">
        <f t="shared" si="7"/>
        <v>ok</v>
      </c>
      <c r="H85" s="304">
        <f>SUMIFS('DF Calculation'!$L:$L,'DF Calculation'!$B:$B,'To Populate Tariff'!$A85,'DF Calculation'!$C:$C,'To Populate Tariff'!$B85)</f>
        <v>119.03</v>
      </c>
      <c r="I85" s="304">
        <f>SUMIFS('DF Calculation'!$M:$M,'DF Calculation'!$B:$B,'To Populate Tariff'!$A85,'DF Calculation'!$C:$C,'To Populate Tariff'!$B85)</f>
        <v>-0.84638129522890038</v>
      </c>
      <c r="J85" s="343">
        <f>SUMIFS('DF Calculation'!$O:$O,'DF Calculation'!$B:$B,'To Populate Tariff'!$A85,'DF Calculation'!$C:$C,'To Populate Tariff'!$B85)</f>
        <v>118.18361870477111</v>
      </c>
      <c r="K85" s="318" t="str">
        <f t="shared" si="4"/>
        <v>ok</v>
      </c>
      <c r="N85" s="339">
        <v>118.72211462005566</v>
      </c>
      <c r="O85" s="339">
        <v>118.16211462005566</v>
      </c>
      <c r="P85" s="340">
        <f t="shared" si="5"/>
        <v>2.1504084715445515E-2</v>
      </c>
      <c r="Q85" s="340">
        <f t="shared" si="6"/>
        <v>2.1504084715445515E-2</v>
      </c>
    </row>
    <row r="86" spans="1:17">
      <c r="A86" s="283">
        <v>45</v>
      </c>
      <c r="B86" s="288" t="s">
        <v>258</v>
      </c>
      <c r="C86" s="288" t="str">
        <f>VLOOKUP(B86,Mapping!$D$2:$H$157,5,FALSE)</f>
        <v>3 yard Regular</v>
      </c>
      <c r="D86" s="304">
        <f>SUMIFS('DF Calculation'!K:K,'DF Calculation'!B:B,'To Populate Tariff'!A86,'DF Calculation'!C:C,'To Populate Tariff'!B86)</f>
        <v>154.68</v>
      </c>
      <c r="E86" s="304">
        <f>SUMIFS('DF Calculation'!M:M,'DF Calculation'!B:B,'To Populate Tariff'!A86,'DF Calculation'!C:C,'To Populate Tariff'!B86)</f>
        <v>-1.2356121995162648</v>
      </c>
      <c r="F86" s="343">
        <f>SUMIFS('DF Calculation'!N:N,'DF Calculation'!B:B,'To Populate Tariff'!A86,'DF Calculation'!C:C,'To Populate Tariff'!B86)</f>
        <v>153.44438780048375</v>
      </c>
      <c r="G86" s="318" t="str">
        <f t="shared" si="7"/>
        <v>ok</v>
      </c>
      <c r="H86" s="304">
        <f>SUMIFS('DF Calculation'!$L:$L,'DF Calculation'!$B:$B,'To Populate Tariff'!$A86,'DF Calculation'!$C:$C,'To Populate Tariff'!$B86)</f>
        <v>153.96</v>
      </c>
      <c r="I86" s="304">
        <f>SUMIFS('DF Calculation'!$M:$M,'DF Calculation'!$B:$B,'To Populate Tariff'!$A86,'DF Calculation'!$C:$C,'To Populate Tariff'!$B86)</f>
        <v>-1.2356121995162648</v>
      </c>
      <c r="J86" s="343">
        <f>SUMIFS('DF Calculation'!$O:$O,'DF Calculation'!$B:$B,'To Populate Tariff'!$A86,'DF Calculation'!$C:$C,'To Populate Tariff'!$B86)</f>
        <v>152.72438780048375</v>
      </c>
      <c r="K86" s="318" t="str">
        <f t="shared" si="4"/>
        <v>ok</v>
      </c>
      <c r="N86" s="339">
        <v>153.41299449162446</v>
      </c>
      <c r="O86" s="339">
        <v>152.69299449162446</v>
      </c>
      <c r="P86" s="340">
        <f t="shared" si="5"/>
        <v>3.1393308859293256E-2</v>
      </c>
      <c r="Q86" s="340">
        <f t="shared" si="6"/>
        <v>3.1393308859293256E-2</v>
      </c>
    </row>
    <row r="87" spans="1:17">
      <c r="A87" s="283">
        <v>45</v>
      </c>
      <c r="B87" s="288" t="s">
        <v>292</v>
      </c>
      <c r="C87" s="288" t="str">
        <f>VLOOKUP(B87,Mapping!$D$2:$H$157,5,FALSE)</f>
        <v>3 yard Special and Temporary</v>
      </c>
      <c r="D87" s="304">
        <f>SUMIFS('DF Calculation'!K:K,'DF Calculation'!B:B,'To Populate Tariff'!A87,'DF Calculation'!C:C,'To Populate Tariff'!B87)</f>
        <v>161.24</v>
      </c>
      <c r="E87" s="304">
        <f>SUMIFS('DF Calculation'!M:M,'DF Calculation'!B:B,'To Populate Tariff'!A87,'DF Calculation'!C:C,'To Populate Tariff'!B87)</f>
        <v>-1.235612199516265</v>
      </c>
      <c r="F87" s="343">
        <f>SUMIFS('DF Calculation'!N:N,'DF Calculation'!B:B,'To Populate Tariff'!A87,'DF Calculation'!C:C,'To Populate Tariff'!B87)</f>
        <v>160.00438780048376</v>
      </c>
      <c r="G87" s="318" t="str">
        <f t="shared" si="7"/>
        <v>ok</v>
      </c>
      <c r="H87" s="304">
        <f>SUMIFS('DF Calculation'!$L:$L,'DF Calculation'!$B:$B,'To Populate Tariff'!$A87,'DF Calculation'!$C:$C,'To Populate Tariff'!$B87)</f>
        <v>160.49</v>
      </c>
      <c r="I87" s="304">
        <f>SUMIFS('DF Calculation'!$M:$M,'DF Calculation'!$B:$B,'To Populate Tariff'!$A87,'DF Calculation'!$C:$C,'To Populate Tariff'!$B87)</f>
        <v>-1.235612199516265</v>
      </c>
      <c r="J87" s="343">
        <f>SUMIFS('DF Calculation'!$O:$O,'DF Calculation'!$B:$B,'To Populate Tariff'!$A87,'DF Calculation'!$C:$C,'To Populate Tariff'!$B87)</f>
        <v>159.25438780048376</v>
      </c>
      <c r="K87" s="318" t="str">
        <f t="shared" si="4"/>
        <v>ok</v>
      </c>
      <c r="N87" s="339">
        <v>159.97299449162446</v>
      </c>
      <c r="O87" s="339">
        <v>159.22299449162446</v>
      </c>
      <c r="P87" s="340">
        <f t="shared" si="5"/>
        <v>3.1393308859293256E-2</v>
      </c>
      <c r="Q87" s="340">
        <f t="shared" si="6"/>
        <v>3.1393308859293256E-2</v>
      </c>
    </row>
    <row r="88" spans="1:17">
      <c r="A88" s="283">
        <v>45</v>
      </c>
      <c r="B88" s="288" t="s">
        <v>259</v>
      </c>
      <c r="C88" s="288" t="str">
        <f>VLOOKUP(B88,Mapping!$D$2:$H$157,5,FALSE)</f>
        <v>4 yard Regular</v>
      </c>
      <c r="D88" s="304">
        <f>SUMIFS('DF Calculation'!K:K,'DF Calculation'!B:B,'To Populate Tariff'!A88,'DF Calculation'!C:C,'To Populate Tariff'!B88)</f>
        <v>192.22</v>
      </c>
      <c r="E88" s="304">
        <f>SUMIFS('DF Calculation'!M:M,'DF Calculation'!B:B,'To Populate Tariff'!A88,'DF Calculation'!C:C,'To Populate Tariff'!B88)</f>
        <v>-1.6013325122694935</v>
      </c>
      <c r="F88" s="343">
        <f>SUMIFS('DF Calculation'!N:N,'DF Calculation'!B:B,'To Populate Tariff'!A88,'DF Calculation'!C:C,'To Populate Tariff'!B88)</f>
        <v>190.61866748773051</v>
      </c>
      <c r="G88" s="318" t="str">
        <f t="shared" si="7"/>
        <v>ok</v>
      </c>
      <c r="H88" s="304">
        <f>SUMIFS('DF Calculation'!$L:$L,'DF Calculation'!$B:$B,'To Populate Tariff'!$A88,'DF Calculation'!$C:$C,'To Populate Tariff'!$B88)</f>
        <v>191.32</v>
      </c>
      <c r="I88" s="304">
        <f>SUMIFS('DF Calculation'!$M:$M,'DF Calculation'!$B:$B,'To Populate Tariff'!$A88,'DF Calculation'!$C:$C,'To Populate Tariff'!$B88)</f>
        <v>-1.6013325122694935</v>
      </c>
      <c r="J88" s="343">
        <f>SUMIFS('DF Calculation'!$O:$O,'DF Calculation'!$B:$B,'To Populate Tariff'!$A88,'DF Calculation'!$C:$C,'To Populate Tariff'!$B88)</f>
        <v>189.7186674877305</v>
      </c>
      <c r="K88" s="318" t="str">
        <f t="shared" si="4"/>
        <v>ok</v>
      </c>
      <c r="N88" s="339">
        <v>190.57798229041393</v>
      </c>
      <c r="O88" s="339">
        <v>189.67798229041392</v>
      </c>
      <c r="P88" s="340">
        <f t="shared" si="5"/>
        <v>4.068519731657716E-2</v>
      </c>
      <c r="Q88" s="340">
        <f t="shared" si="6"/>
        <v>4.068519731657716E-2</v>
      </c>
    </row>
    <row r="89" spans="1:17">
      <c r="A89" s="283">
        <v>45</v>
      </c>
      <c r="B89" s="288" t="s">
        <v>287</v>
      </c>
      <c r="C89" s="288" t="str">
        <f>VLOOKUP(B89,Mapping!$D$2:$H$157,5,FALSE)</f>
        <v>4 yard Special and Temporary</v>
      </c>
      <c r="D89" s="304">
        <f>SUMIFS('DF Calculation'!K:K,'DF Calculation'!B:B,'To Populate Tariff'!A89,'DF Calculation'!C:C,'To Populate Tariff'!B89)</f>
        <v>198.79</v>
      </c>
      <c r="E89" s="304">
        <f>SUMIFS('DF Calculation'!M:M,'DF Calculation'!B:B,'To Populate Tariff'!A89,'DF Calculation'!C:C,'To Populate Tariff'!B89)</f>
        <v>-1.6013325122694937</v>
      </c>
      <c r="F89" s="343">
        <f>SUMIFS('DF Calculation'!N:N,'DF Calculation'!B:B,'To Populate Tariff'!A89,'DF Calculation'!C:C,'To Populate Tariff'!B89)</f>
        <v>197.1886674877305</v>
      </c>
      <c r="G89" s="318" t="str">
        <f t="shared" si="7"/>
        <v>ok</v>
      </c>
      <c r="H89" s="304">
        <f>SUMIFS('DF Calculation'!$L:$L,'DF Calculation'!$B:$B,'To Populate Tariff'!$A89,'DF Calculation'!$C:$C,'To Populate Tariff'!$B89)</f>
        <v>197.86</v>
      </c>
      <c r="I89" s="304">
        <f>SUMIFS('DF Calculation'!$M:$M,'DF Calculation'!$B:$B,'To Populate Tariff'!$A89,'DF Calculation'!$C:$C,'To Populate Tariff'!$B89)</f>
        <v>-1.6013325122694937</v>
      </c>
      <c r="J89" s="343">
        <f>SUMIFS('DF Calculation'!$O:$O,'DF Calculation'!$B:$B,'To Populate Tariff'!$A89,'DF Calculation'!$C:$C,'To Populate Tariff'!$B89)</f>
        <v>196.25866748773052</v>
      </c>
      <c r="K89" s="318" t="str">
        <f t="shared" si="4"/>
        <v>ok</v>
      </c>
      <c r="N89" s="339">
        <v>197.14798229041392</v>
      </c>
      <c r="O89" s="339">
        <v>196.21798229041394</v>
      </c>
      <c r="P89" s="340">
        <f t="shared" si="5"/>
        <v>4.068519731657716E-2</v>
      </c>
      <c r="Q89" s="340">
        <f t="shared" si="6"/>
        <v>4.068519731657716E-2</v>
      </c>
    </row>
    <row r="90" spans="1:17">
      <c r="A90" s="283">
        <v>45</v>
      </c>
      <c r="B90" s="288" t="s">
        <v>251</v>
      </c>
      <c r="C90" s="288" t="str">
        <f>VLOOKUP(B90,Mapping!$D$2:$H$157,5,FALSE)</f>
        <v>6 yard Regular</v>
      </c>
      <c r="D90" s="304">
        <f>SUMIFS('DF Calculation'!K:K,'DF Calculation'!B:B,'To Populate Tariff'!A90,'DF Calculation'!C:C,'To Populate Tariff'!B90)</f>
        <v>285.02</v>
      </c>
      <c r="E90" s="304">
        <f>SUMIFS('DF Calculation'!M:M,'DF Calculation'!B:B,'To Populate Tariff'!A90,'DF Calculation'!C:C,'To Populate Tariff'!B90)</f>
        <v>-2.1943218765193713</v>
      </c>
      <c r="F90" s="343">
        <f>SUMIFS('DF Calculation'!N:N,'DF Calculation'!B:B,'To Populate Tariff'!A90,'DF Calculation'!C:C,'To Populate Tariff'!B90)</f>
        <v>282.8256781234806</v>
      </c>
      <c r="G90" s="318" t="str">
        <f t="shared" si="7"/>
        <v>ok</v>
      </c>
      <c r="H90" s="304">
        <f>SUMIFS('DF Calculation'!$L:$L,'DF Calculation'!$B:$B,'To Populate Tariff'!$A90,'DF Calculation'!$C:$C,'To Populate Tariff'!$B90)</f>
        <v>283.69</v>
      </c>
      <c r="I90" s="304">
        <f>SUMIFS('DF Calculation'!$M:$M,'DF Calculation'!$B:$B,'To Populate Tariff'!$A90,'DF Calculation'!$C:$C,'To Populate Tariff'!$B90)</f>
        <v>-2.1943218765193713</v>
      </c>
      <c r="J90" s="343">
        <f>SUMIFS('DF Calculation'!$O:$O,'DF Calculation'!$B:$B,'To Populate Tariff'!$A90,'DF Calculation'!$C:$C,'To Populate Tariff'!$B90)</f>
        <v>281.49567812348062</v>
      </c>
      <c r="K90" s="318" t="str">
        <f t="shared" si="4"/>
        <v>ok</v>
      </c>
      <c r="N90" s="339">
        <v>282.76992679273684</v>
      </c>
      <c r="O90" s="339">
        <v>281.43992679273686</v>
      </c>
      <c r="P90" s="340">
        <f t="shared" si="5"/>
        <v>5.5751330743760263E-2</v>
      </c>
      <c r="Q90" s="340">
        <f t="shared" si="6"/>
        <v>5.5751330743760263E-2</v>
      </c>
    </row>
    <row r="91" spans="1:17">
      <c r="A91" s="283">
        <v>45</v>
      </c>
      <c r="B91" s="288" t="s">
        <v>293</v>
      </c>
      <c r="C91" s="288" t="str">
        <f>VLOOKUP(B91,Mapping!$D$2:$H$157,5,FALSE)</f>
        <v>6 yard Special and Temporary</v>
      </c>
      <c r="D91" s="304">
        <f>SUMIFS('DF Calculation'!K:K,'DF Calculation'!B:B,'To Populate Tariff'!A91,'DF Calculation'!C:C,'To Populate Tariff'!B91)</f>
        <v>291.58999999999997</v>
      </c>
      <c r="E91" s="304">
        <f>SUMIFS('DF Calculation'!M:M,'DF Calculation'!B:B,'To Populate Tariff'!A91,'DF Calculation'!C:C,'To Populate Tariff'!B91)</f>
        <v>-2.1943218765193713</v>
      </c>
      <c r="F91" s="343">
        <f>SUMIFS('DF Calculation'!N:N,'DF Calculation'!B:B,'To Populate Tariff'!A91,'DF Calculation'!C:C,'To Populate Tariff'!B91)</f>
        <v>289.39567812348059</v>
      </c>
      <c r="G91" s="318" t="str">
        <f t="shared" si="7"/>
        <v>ok</v>
      </c>
      <c r="H91" s="304">
        <f>SUMIFS('DF Calculation'!$L:$L,'DF Calculation'!$B:$B,'To Populate Tariff'!$A91,'DF Calculation'!$C:$C,'To Populate Tariff'!$B91)</f>
        <v>290.23</v>
      </c>
      <c r="I91" s="304">
        <f>SUMIFS('DF Calculation'!$M:$M,'DF Calculation'!$B:$B,'To Populate Tariff'!$A91,'DF Calculation'!$C:$C,'To Populate Tariff'!$B91)</f>
        <v>-2.1943218765193713</v>
      </c>
      <c r="J91" s="343">
        <f>SUMIFS('DF Calculation'!$O:$O,'DF Calculation'!$B:$B,'To Populate Tariff'!$A91,'DF Calculation'!$C:$C,'To Populate Tariff'!$B91)</f>
        <v>288.03567812348064</v>
      </c>
      <c r="K91" s="318" t="str">
        <f t="shared" si="4"/>
        <v>ok</v>
      </c>
      <c r="N91" s="339">
        <v>289.33992679273683</v>
      </c>
      <c r="O91" s="339">
        <v>287.97992679273688</v>
      </c>
      <c r="P91" s="340">
        <f t="shared" si="5"/>
        <v>5.5751330743760263E-2</v>
      </c>
      <c r="Q91" s="340">
        <f t="shared" si="6"/>
        <v>5.5751330743760263E-2</v>
      </c>
    </row>
    <row r="92" spans="1:17">
      <c r="A92" s="290">
        <v>46</v>
      </c>
      <c r="B92" s="291" t="s">
        <v>250</v>
      </c>
      <c r="C92" s="291" t="str">
        <f>VLOOKUP(B92,Mapping!$D$2:$H$157,5,FALSE)</f>
        <v>3 yard Regular</v>
      </c>
      <c r="D92" s="306">
        <f>SUMIFS('DF Calculation'!K:K,'DF Calculation'!B:B,'To Populate Tariff'!A92,'DF Calculation'!C:C,'To Populate Tariff'!B92)</f>
        <v>196.75</v>
      </c>
      <c r="E92" s="306">
        <f>SUMIFS('DF Calculation'!M:M,'DF Calculation'!B:B,'To Populate Tariff'!A92,'DF Calculation'!C:C,'To Populate Tariff'!B92)</f>
        <v>-1.6474829326883536</v>
      </c>
      <c r="F92" s="343">
        <f>SUMIFS('DF Calculation'!N:N,'DF Calculation'!B:B,'To Populate Tariff'!A92,'DF Calculation'!C:C,'To Populate Tariff'!B92)</f>
        <v>195.10251706731165</v>
      </c>
      <c r="G92" s="320" t="str">
        <f t="shared" si="7"/>
        <v>ok</v>
      </c>
      <c r="H92" s="306">
        <f>SUMIFS('DF Calculation'!$L:$L,'DF Calculation'!$B:$B,'To Populate Tariff'!$A92,'DF Calculation'!$C:$C,'To Populate Tariff'!$B92)</f>
        <v>195.83</v>
      </c>
      <c r="I92" s="306">
        <f>SUMIFS('DF Calculation'!$M:$M,'DF Calculation'!$B:$B,'To Populate Tariff'!$A92,'DF Calculation'!$C:$C,'To Populate Tariff'!$B92)</f>
        <v>-1.6474829326883536</v>
      </c>
      <c r="J92" s="343">
        <f>SUMIFS('DF Calculation'!$O:$O,'DF Calculation'!$B:$B,'To Populate Tariff'!$A92,'DF Calculation'!$C:$C,'To Populate Tariff'!$B92)</f>
        <v>194.18251706731166</v>
      </c>
      <c r="K92" s="320" t="str">
        <f t="shared" si="4"/>
        <v>ok</v>
      </c>
      <c r="N92" s="339">
        <v>195.06065932216595</v>
      </c>
      <c r="O92" s="339">
        <v>194.14065932216596</v>
      </c>
      <c r="P92" s="340">
        <f t="shared" si="5"/>
        <v>4.1857745145705394E-2</v>
      </c>
      <c r="Q92" s="340">
        <f t="shared" si="6"/>
        <v>4.1857745145705394E-2</v>
      </c>
    </row>
    <row r="93" spans="1:17">
      <c r="A93" s="290">
        <v>46</v>
      </c>
      <c r="B93" s="291" t="s">
        <v>294</v>
      </c>
      <c r="C93" s="291" t="str">
        <f>VLOOKUP(B93,Mapping!$D$2:$H$157,5,FALSE)</f>
        <v>3 yard Special and Temporary</v>
      </c>
      <c r="D93" s="306">
        <f>SUMIFS('DF Calculation'!K:K,'DF Calculation'!B:B,'To Populate Tariff'!A93,'DF Calculation'!C:C,'To Populate Tariff'!B93)</f>
        <v>203.32</v>
      </c>
      <c r="E93" s="306">
        <f>SUMIFS('DF Calculation'!M:M,'DF Calculation'!B:B,'To Populate Tariff'!A93,'DF Calculation'!C:C,'To Populate Tariff'!B93)</f>
        <v>-1.6474829326883533</v>
      </c>
      <c r="F93" s="343">
        <f>SUMIFS('DF Calculation'!N:N,'DF Calculation'!B:B,'To Populate Tariff'!A93,'DF Calculation'!C:C,'To Populate Tariff'!B93)</f>
        <v>201.67251706731165</v>
      </c>
      <c r="G93" s="320" t="str">
        <f t="shared" si="7"/>
        <v>ok</v>
      </c>
      <c r="H93" s="306">
        <f>SUMIFS('DF Calculation'!$L:$L,'DF Calculation'!$B:$B,'To Populate Tariff'!$A93,'DF Calculation'!$C:$C,'To Populate Tariff'!$B93)</f>
        <v>202.37</v>
      </c>
      <c r="I93" s="306">
        <f>SUMIFS('DF Calculation'!$M:$M,'DF Calculation'!$B:$B,'To Populate Tariff'!$A93,'DF Calculation'!$C:$C,'To Populate Tariff'!$B93)</f>
        <v>-1.6474829326883533</v>
      </c>
      <c r="J93" s="343">
        <f>SUMIFS('DF Calculation'!$O:$O,'DF Calculation'!$B:$B,'To Populate Tariff'!$A93,'DF Calculation'!$C:$C,'To Populate Tariff'!$B93)</f>
        <v>200.72251706731166</v>
      </c>
      <c r="K93" s="320" t="str">
        <f t="shared" si="4"/>
        <v>ok</v>
      </c>
      <c r="N93" s="339">
        <v>201.63065932216594</v>
      </c>
      <c r="O93" s="339">
        <v>200.68065932216595</v>
      </c>
      <c r="P93" s="340">
        <f t="shared" si="5"/>
        <v>4.1857745145705394E-2</v>
      </c>
      <c r="Q93" s="340">
        <f t="shared" si="6"/>
        <v>4.1857745145705394E-2</v>
      </c>
    </row>
    <row r="94" spans="1:17">
      <c r="A94" s="290">
        <v>46</v>
      </c>
      <c r="B94" s="291" t="s">
        <v>212</v>
      </c>
      <c r="C94" s="291" t="str">
        <f>VLOOKUP(B94,Mapping!$D$2:$H$157,5,FALSE)</f>
        <v>4 yard Regular</v>
      </c>
      <c r="D94" s="306">
        <f>SUMIFS('DF Calculation'!K:K,'DF Calculation'!B:B,'To Populate Tariff'!A94,'DF Calculation'!C:C,'To Populate Tariff'!B94)</f>
        <v>258.56</v>
      </c>
      <c r="E94" s="306">
        <f>SUMIFS('DF Calculation'!M:M,'DF Calculation'!B:B,'To Populate Tariff'!A94,'DF Calculation'!C:C,'To Populate Tariff'!B94)</f>
        <v>-2.1351100163593246</v>
      </c>
      <c r="F94" s="343">
        <f>SUMIFS('DF Calculation'!N:N,'DF Calculation'!B:B,'To Populate Tariff'!A94,'DF Calculation'!C:C,'To Populate Tariff'!B94)</f>
        <v>256.4248899836407</v>
      </c>
      <c r="G94" s="320" t="str">
        <f t="shared" si="7"/>
        <v>ok</v>
      </c>
      <c r="H94" s="306">
        <f>SUMIFS('DF Calculation'!$L:$L,'DF Calculation'!$B:$B,'To Populate Tariff'!$A94,'DF Calculation'!$C:$C,'To Populate Tariff'!$B94)</f>
        <v>257.36</v>
      </c>
      <c r="I94" s="306">
        <f>SUMIFS('DF Calculation'!$M:$M,'DF Calculation'!$B:$B,'To Populate Tariff'!$A94,'DF Calculation'!$C:$C,'To Populate Tariff'!$B94)</f>
        <v>-2.1351100163593246</v>
      </c>
      <c r="J94" s="343">
        <f>SUMIFS('DF Calculation'!$O:$O,'DF Calculation'!$B:$B,'To Populate Tariff'!$A94,'DF Calculation'!$C:$C,'To Populate Tariff'!$B94)</f>
        <v>255.22488998364068</v>
      </c>
      <c r="K94" s="320" t="str">
        <f t="shared" si="4"/>
        <v>ok</v>
      </c>
      <c r="N94" s="339">
        <v>256.37064305388526</v>
      </c>
      <c r="O94" s="339">
        <v>255.17064305388527</v>
      </c>
      <c r="P94" s="340">
        <f t="shared" si="5"/>
        <v>5.4246929755436213E-2</v>
      </c>
      <c r="Q94" s="340">
        <f t="shared" si="6"/>
        <v>5.4246929755407791E-2</v>
      </c>
    </row>
    <row r="95" spans="1:17">
      <c r="A95" s="290">
        <v>46</v>
      </c>
      <c r="B95" s="291" t="s">
        <v>286</v>
      </c>
      <c r="C95" s="291" t="str">
        <f>VLOOKUP(B95,Mapping!$D$2:$H$157,5,FALSE)</f>
        <v>4 yard Special and Temporary</v>
      </c>
      <c r="D95" s="306">
        <f>SUMIFS('DF Calculation'!K:K,'DF Calculation'!B:B,'To Populate Tariff'!A95,'DF Calculation'!C:C,'To Populate Tariff'!B95)</f>
        <v>265.14999999999998</v>
      </c>
      <c r="E95" s="306">
        <f>SUMIFS('DF Calculation'!M:M,'DF Calculation'!B:B,'To Populate Tariff'!A95,'DF Calculation'!C:C,'To Populate Tariff'!B95)</f>
        <v>-2.1351100163593251</v>
      </c>
      <c r="F95" s="343">
        <f>SUMIFS('DF Calculation'!N:N,'DF Calculation'!B:B,'To Populate Tariff'!A95,'DF Calculation'!C:C,'To Populate Tariff'!B95)</f>
        <v>263.01488998364067</v>
      </c>
      <c r="G95" s="320" t="str">
        <f>IF(ABS(F95-D95-E95)&lt;0.01,"ok","Error")</f>
        <v>ok</v>
      </c>
      <c r="H95" s="306">
        <f>SUMIFS('DF Calculation'!$L:$L,'DF Calculation'!$B:$B,'To Populate Tariff'!$A95,'DF Calculation'!$C:$C,'To Populate Tariff'!$B95)</f>
        <v>263.91000000000003</v>
      </c>
      <c r="I95" s="306">
        <f>SUMIFS('DF Calculation'!$M:$M,'DF Calculation'!$B:$B,'To Populate Tariff'!$A95,'DF Calculation'!$C:$C,'To Populate Tariff'!$B95)</f>
        <v>-2.1351100163593251</v>
      </c>
      <c r="J95" s="343">
        <f>SUMIFS('DF Calculation'!$O:$O,'DF Calculation'!$B:$B,'To Populate Tariff'!$A95,'DF Calculation'!$C:$C,'To Populate Tariff'!$B95)</f>
        <v>261.77488998364072</v>
      </c>
      <c r="K95" s="320" t="str">
        <f>IF(ABS(J95-H95-I95)&lt;0.01,"ok","Error")</f>
        <v>ok</v>
      </c>
      <c r="N95" s="339">
        <v>262.96064305388524</v>
      </c>
      <c r="O95" s="339">
        <v>261.72064305388528</v>
      </c>
      <c r="P95" s="340">
        <f t="shared" si="5"/>
        <v>5.4246929755436213E-2</v>
      </c>
      <c r="Q95" s="340">
        <f t="shared" si="6"/>
        <v>5.4246929755436213E-2</v>
      </c>
    </row>
    <row r="96" spans="1:17">
      <c r="A96" s="290">
        <v>46</v>
      </c>
      <c r="B96" s="291" t="s">
        <v>249</v>
      </c>
      <c r="C96" s="291" t="str">
        <f>VLOOKUP(B96,Mapping!$D$2:$H$157,5,FALSE)</f>
        <v>6 yard Regular</v>
      </c>
      <c r="D96" s="306">
        <f>SUMIFS('DF Calculation'!K:K,'DF Calculation'!B:B,'To Populate Tariff'!A96,'DF Calculation'!C:C,'To Populate Tariff'!B96)</f>
        <v>367.69</v>
      </c>
      <c r="E96" s="306">
        <f>SUMIFS('DF Calculation'!M:M,'DF Calculation'!B:B,'To Populate Tariff'!A96,'DF Calculation'!C:C,'To Populate Tariff'!B96)</f>
        <v>-2.9257625020258287</v>
      </c>
      <c r="F96" s="343">
        <f>SUMIFS('DF Calculation'!N:N,'DF Calculation'!B:B,'To Populate Tariff'!A96,'DF Calculation'!C:C,'To Populate Tariff'!B96)</f>
        <v>364.76423749797419</v>
      </c>
      <c r="G96" s="320" t="str">
        <f t="shared" si="7"/>
        <v>ok</v>
      </c>
      <c r="H96" s="306">
        <f>SUMIFS('DF Calculation'!$L:$L,'DF Calculation'!$B:$B,'To Populate Tariff'!$A96,'DF Calculation'!$C:$C,'To Populate Tariff'!$B96)</f>
        <v>365.98</v>
      </c>
      <c r="I96" s="306">
        <f>SUMIFS('DF Calculation'!$M:$M,'DF Calculation'!$B:$B,'To Populate Tariff'!$A96,'DF Calculation'!$C:$C,'To Populate Tariff'!$B96)</f>
        <v>-2.9257625020258287</v>
      </c>
      <c r="J96" s="343">
        <f>SUMIFS('DF Calculation'!$O:$O,'DF Calculation'!$B:$B,'To Populate Tariff'!$A96,'DF Calculation'!$C:$C,'To Populate Tariff'!$B96)</f>
        <v>363.05423749797421</v>
      </c>
      <c r="K96" s="320" t="str">
        <f t="shared" si="4"/>
        <v>ok</v>
      </c>
      <c r="N96" s="339">
        <v>364.68990239031586</v>
      </c>
      <c r="O96" s="339">
        <v>362.97990239031589</v>
      </c>
      <c r="P96" s="340">
        <f t="shared" si="5"/>
        <v>7.433510765832807E-2</v>
      </c>
      <c r="Q96" s="340">
        <f t="shared" si="6"/>
        <v>7.433510765832807E-2</v>
      </c>
    </row>
    <row r="97" spans="1:17">
      <c r="A97" s="290">
        <v>46</v>
      </c>
      <c r="B97" s="291" t="s">
        <v>295</v>
      </c>
      <c r="C97" s="291" t="str">
        <f>VLOOKUP(B97,Mapping!$D$2:$H$157,5,FALSE)</f>
        <v>6 yard Special and Temporary</v>
      </c>
      <c r="D97" s="306">
        <f>SUMIFS('DF Calculation'!K:K,'DF Calculation'!B:B,'To Populate Tariff'!A97,'DF Calculation'!C:C,'To Populate Tariff'!B97)</f>
        <v>374.27</v>
      </c>
      <c r="E97" s="306">
        <f>SUMIFS('DF Calculation'!M:M,'DF Calculation'!B:B,'To Populate Tariff'!A97,'DF Calculation'!C:C,'To Populate Tariff'!B97)</f>
        <v>-2.9257625020258282</v>
      </c>
      <c r="F97" s="343">
        <f>SUMIFS('DF Calculation'!N:N,'DF Calculation'!B:B,'To Populate Tariff'!A97,'DF Calculation'!C:C,'To Populate Tariff'!B97)</f>
        <v>371.34423749797418</v>
      </c>
      <c r="G97" s="320" t="str">
        <f t="shared" si="7"/>
        <v>ok</v>
      </c>
      <c r="H97" s="306">
        <f>SUMIFS('DF Calculation'!$L:$L,'DF Calculation'!$B:$B,'To Populate Tariff'!$A97,'DF Calculation'!$C:$C,'To Populate Tariff'!$B97)</f>
        <v>372.53</v>
      </c>
      <c r="I97" s="306">
        <f>SUMIFS('DF Calculation'!$M:$M,'DF Calculation'!$B:$B,'To Populate Tariff'!$A97,'DF Calculation'!$C:$C,'To Populate Tariff'!$B97)</f>
        <v>-2.9257625020258282</v>
      </c>
      <c r="J97" s="343">
        <f>SUMIFS('DF Calculation'!$O:$O,'DF Calculation'!$B:$B,'To Populate Tariff'!$A97,'DF Calculation'!$C:$C,'To Populate Tariff'!$B97)</f>
        <v>369.60423749797417</v>
      </c>
      <c r="K97" s="320" t="str">
        <f t="shared" si="4"/>
        <v>ok</v>
      </c>
      <c r="N97" s="339">
        <v>371.26990239031585</v>
      </c>
      <c r="O97" s="339">
        <v>369.52990239031584</v>
      </c>
      <c r="P97" s="340">
        <f t="shared" si="5"/>
        <v>7.433510765832807E-2</v>
      </c>
      <c r="Q97" s="340">
        <f t="shared" si="6"/>
        <v>7.433510765832807E-2</v>
      </c>
    </row>
    <row r="98" spans="1:17">
      <c r="A98" s="281">
        <v>47</v>
      </c>
      <c r="B98" s="282" t="s">
        <v>213</v>
      </c>
      <c r="C98" s="282" t="str">
        <f>VLOOKUP(B98,Mapping!$D$2:$H$157,5,FALSE)</f>
        <v>4 yard Regular</v>
      </c>
      <c r="D98" s="302">
        <f>SUMIFS('DF Calculation'!K:K,'DF Calculation'!B:B,'To Populate Tariff'!A98,'DF Calculation'!C:C,'To Populate Tariff'!B98)</f>
        <v>292.83999999999997</v>
      </c>
      <c r="E98" s="302">
        <f>SUMIFS('DF Calculation'!M:M,'DF Calculation'!B:B,'To Populate Tariff'!A98,'DF Calculation'!C:C,'To Populate Tariff'!B98)</f>
        <v>-2.668887520449156</v>
      </c>
      <c r="F98" s="343">
        <f>SUMIFS('DF Calculation'!N:N,'DF Calculation'!B:B,'To Populate Tariff'!A98,'DF Calculation'!C:C,'To Populate Tariff'!B98)</f>
        <v>290.1711124795508</v>
      </c>
      <c r="G98" s="316" t="str">
        <f t="shared" si="7"/>
        <v>ok</v>
      </c>
      <c r="H98" s="302">
        <f>SUMIFS('DF Calculation'!$L:$L,'DF Calculation'!$B:$B,'To Populate Tariff'!$A98,'DF Calculation'!$C:$C,'To Populate Tariff'!$B98)</f>
        <v>291.48</v>
      </c>
      <c r="I98" s="302">
        <f>SUMIFS('DF Calculation'!$M:$M,'DF Calculation'!$B:$B,'To Populate Tariff'!$A98,'DF Calculation'!$C:$C,'To Populate Tariff'!$B98)</f>
        <v>-2.668887520449156</v>
      </c>
      <c r="J98" s="343">
        <f>SUMIFS('DF Calculation'!$O:$O,'DF Calculation'!$B:$B,'To Populate Tariff'!$A98,'DF Calculation'!$C:$C,'To Populate Tariff'!$B98)</f>
        <v>288.81111247955084</v>
      </c>
      <c r="K98" s="316" t="str">
        <f t="shared" si="4"/>
        <v>ok</v>
      </c>
      <c r="N98" s="339">
        <v>290.10330381735656</v>
      </c>
      <c r="O98" s="339">
        <v>288.7433038173566</v>
      </c>
      <c r="P98" s="340">
        <f t="shared" si="5"/>
        <v>6.7808662194238423E-2</v>
      </c>
      <c r="Q98" s="340">
        <f t="shared" si="6"/>
        <v>6.7808662194238423E-2</v>
      </c>
    </row>
    <row r="99" spans="1:17">
      <c r="A99" s="281">
        <v>47</v>
      </c>
      <c r="B99" s="282" t="s">
        <v>215</v>
      </c>
      <c r="C99" s="282" t="str">
        <f>VLOOKUP(B99,Mapping!$D$2:$H$157,5,FALSE)</f>
        <v>4 yard Special and Temporary</v>
      </c>
      <c r="D99" s="302">
        <f>SUMIFS('DF Calculation'!K:K,'DF Calculation'!B:B,'To Populate Tariff'!A99,'DF Calculation'!C:C,'To Populate Tariff'!B99)</f>
        <v>299.41000000000003</v>
      </c>
      <c r="E99" s="302">
        <f>SUMIFS('DF Calculation'!M:M,'DF Calculation'!B:B,'To Populate Tariff'!A99,'DF Calculation'!C:C,'To Populate Tariff'!B99)</f>
        <v>-2.668887520449156</v>
      </c>
      <c r="F99" s="343">
        <f>SUMIFS('DF Calculation'!N:N,'DF Calculation'!B:B,'To Populate Tariff'!A99,'DF Calculation'!C:C,'To Populate Tariff'!B99)</f>
        <v>296.74111247955085</v>
      </c>
      <c r="G99" s="316" t="str">
        <f t="shared" si="7"/>
        <v>ok</v>
      </c>
      <c r="H99" s="302">
        <f>SUMIFS('DF Calculation'!$L:$L,'DF Calculation'!$B:$B,'To Populate Tariff'!$A99,'DF Calculation'!$C:$C,'To Populate Tariff'!$B99)</f>
        <v>298.02</v>
      </c>
      <c r="I99" s="302">
        <f>SUMIFS('DF Calculation'!$M:$M,'DF Calculation'!$B:$B,'To Populate Tariff'!$A99,'DF Calculation'!$C:$C,'To Populate Tariff'!$B99)</f>
        <v>-2.668887520449156</v>
      </c>
      <c r="J99" s="343">
        <f>SUMIFS('DF Calculation'!$O:$O,'DF Calculation'!$B:$B,'To Populate Tariff'!$A99,'DF Calculation'!$C:$C,'To Populate Tariff'!$B99)</f>
        <v>295.35111247955081</v>
      </c>
      <c r="K99" s="316" t="str">
        <f t="shared" si="4"/>
        <v>ok</v>
      </c>
      <c r="N99" s="339">
        <v>296.67330381735661</v>
      </c>
      <c r="O99" s="339">
        <v>295.28330381735657</v>
      </c>
      <c r="P99" s="340">
        <f t="shared" si="5"/>
        <v>6.7808662194238423E-2</v>
      </c>
      <c r="Q99" s="340">
        <f t="shared" si="6"/>
        <v>6.7808662194238423E-2</v>
      </c>
    </row>
    <row r="100" spans="1:17">
      <c r="A100" s="281">
        <v>47</v>
      </c>
      <c r="B100" s="282" t="s">
        <v>260</v>
      </c>
      <c r="C100" s="282" t="str">
        <f>VLOOKUP(B100,Mapping!$D$2:$H$157,5,FALSE)</f>
        <v>6 yard Regular</v>
      </c>
      <c r="D100" s="302">
        <f>SUMIFS('DF Calculation'!K:K,'DF Calculation'!B:B,'To Populate Tariff'!A100,'DF Calculation'!C:C,'To Populate Tariff'!B100)</f>
        <v>416.26</v>
      </c>
      <c r="E100" s="302">
        <f>SUMIFS('DF Calculation'!M:M,'DF Calculation'!B:B,'To Populate Tariff'!A100,'DF Calculation'!C:C,'To Populate Tariff'!B100)</f>
        <v>-3.6572031275322852</v>
      </c>
      <c r="F100" s="343">
        <f>SUMIFS('DF Calculation'!N:N,'DF Calculation'!B:B,'To Populate Tariff'!A100,'DF Calculation'!C:C,'To Populate Tariff'!B100)</f>
        <v>412.60279687246771</v>
      </c>
      <c r="G100" s="316" t="str">
        <f t="shared" si="7"/>
        <v>ok</v>
      </c>
      <c r="H100" s="302">
        <f>SUMIFS('DF Calculation'!$L:$L,'DF Calculation'!$B:$B,'To Populate Tariff'!$A100,'DF Calculation'!$C:$C,'To Populate Tariff'!$B100)</f>
        <v>414.32</v>
      </c>
      <c r="I100" s="302">
        <f>SUMIFS('DF Calculation'!$M:$M,'DF Calculation'!$B:$B,'To Populate Tariff'!$A100,'DF Calculation'!$C:$C,'To Populate Tariff'!$B100)</f>
        <v>-3.6572031275322852</v>
      </c>
      <c r="J100" s="343">
        <f>SUMIFS('DF Calculation'!$O:$O,'DF Calculation'!$B:$B,'To Populate Tariff'!$A100,'DF Calculation'!$C:$C,'To Populate Tariff'!$B100)</f>
        <v>410.66279687246771</v>
      </c>
      <c r="K100" s="316" t="str">
        <f t="shared" si="4"/>
        <v>ok</v>
      </c>
      <c r="N100" s="339">
        <v>412.50987798789481</v>
      </c>
      <c r="O100" s="339">
        <v>410.56987798789481</v>
      </c>
      <c r="P100" s="340">
        <f t="shared" si="5"/>
        <v>9.2918884572895877E-2</v>
      </c>
      <c r="Q100" s="340">
        <f t="shared" si="6"/>
        <v>9.2918884572895877E-2</v>
      </c>
    </row>
    <row r="101" spans="1:17">
      <c r="A101" s="281">
        <v>47</v>
      </c>
      <c r="B101" s="282" t="s">
        <v>296</v>
      </c>
      <c r="C101" s="282" t="str">
        <f>VLOOKUP(B101,Mapping!$D$2:$H$157,5,FALSE)</f>
        <v>6 yard Special and Temporary</v>
      </c>
      <c r="D101" s="302">
        <f>SUMIFS('DF Calculation'!K:K,'DF Calculation'!B:B,'To Populate Tariff'!A101,'DF Calculation'!C:C,'To Populate Tariff'!B101)</f>
        <v>422.83</v>
      </c>
      <c r="E101" s="302">
        <f>SUMIFS('DF Calculation'!M:M,'DF Calculation'!B:B,'To Populate Tariff'!A101,'DF Calculation'!C:C,'To Populate Tariff'!B101)</f>
        <v>-3.6572031275322856</v>
      </c>
      <c r="F101" s="343">
        <f>SUMIFS('DF Calculation'!N:N,'DF Calculation'!B:B,'To Populate Tariff'!A101,'DF Calculation'!C:C,'To Populate Tariff'!B101)</f>
        <v>419.1727968724677</v>
      </c>
      <c r="G101" s="316" t="str">
        <f t="shared" si="7"/>
        <v>ok</v>
      </c>
      <c r="H101" s="302">
        <f>SUMIFS('DF Calculation'!$L:$L,'DF Calculation'!$B:$B,'To Populate Tariff'!$A101,'DF Calculation'!$C:$C,'To Populate Tariff'!$B101)</f>
        <v>420.86</v>
      </c>
      <c r="I101" s="302">
        <f>SUMIFS('DF Calculation'!$M:$M,'DF Calculation'!$B:$B,'To Populate Tariff'!$A101,'DF Calculation'!$C:$C,'To Populate Tariff'!$B101)</f>
        <v>-3.6572031275322856</v>
      </c>
      <c r="J101" s="343">
        <f>SUMIFS('DF Calculation'!$O:$O,'DF Calculation'!$B:$B,'To Populate Tariff'!$A101,'DF Calculation'!$C:$C,'To Populate Tariff'!$B101)</f>
        <v>417.20279687246773</v>
      </c>
      <c r="K101" s="316" t="str">
        <f t="shared" si="4"/>
        <v>ok</v>
      </c>
      <c r="N101" s="339">
        <v>419.0798779878948</v>
      </c>
      <c r="O101" s="339">
        <v>417.10987798789483</v>
      </c>
      <c r="P101" s="340">
        <f t="shared" si="5"/>
        <v>9.2918884572895877E-2</v>
      </c>
      <c r="Q101" s="340">
        <f t="shared" si="6"/>
        <v>9.2918884572895877E-2</v>
      </c>
    </row>
    <row r="102" spans="1:17">
      <c r="A102" s="279">
        <v>48</v>
      </c>
      <c r="B102" s="293" t="s">
        <v>210</v>
      </c>
      <c r="C102" s="293" t="str">
        <f>VLOOKUP(B102,Mapping!$D$2:$H$157,5,FALSE)</f>
        <v>2 yard Regular</v>
      </c>
      <c r="D102" s="303">
        <f>SUMIFS('DF Calculation'!K:K,'DF Calculation'!B:B,'To Populate Tariff'!A102,'DF Calculation'!C:C,'To Populate Tariff'!B102)</f>
        <v>107.19</v>
      </c>
      <c r="E102" s="303">
        <f>SUMIFS('DF Calculation'!M:M,'DF Calculation'!B:B,'To Populate Tariff'!A102,'DF Calculation'!C:C,'To Populate Tariff'!B102)</f>
        <v>-0.63478597142167525</v>
      </c>
      <c r="F102" s="343">
        <f>SUMIFS('DF Calculation'!N:N,'DF Calculation'!B:B,'To Populate Tariff'!A102,'DF Calculation'!C:C,'To Populate Tariff'!B102)</f>
        <v>106.55521402857832</v>
      </c>
      <c r="G102" s="317" t="str">
        <f t="shared" si="7"/>
        <v>ok</v>
      </c>
      <c r="H102" s="303">
        <f>SUMIFS('DF Calculation'!$L:$L,'DF Calculation'!$B:$B,'To Populate Tariff'!$A102,'DF Calculation'!$C:$C,'To Populate Tariff'!$B102)</f>
        <v>106.69</v>
      </c>
      <c r="I102" s="303">
        <f>SUMIFS('DF Calculation'!$M:$M,'DF Calculation'!$B:$B,'To Populate Tariff'!$A102,'DF Calculation'!$C:$C,'To Populate Tariff'!$B102)</f>
        <v>-0.63478597142167525</v>
      </c>
      <c r="J102" s="343">
        <f>SUMIFS('DF Calculation'!$O:$O,'DF Calculation'!$B:$B,'To Populate Tariff'!$A102,'DF Calculation'!$C:$C,'To Populate Tariff'!$B102)</f>
        <v>106.05521402857832</v>
      </c>
      <c r="K102" s="317" t="str">
        <f t="shared" si="4"/>
        <v>ok</v>
      </c>
      <c r="N102" s="339">
        <v>106.53908596504174</v>
      </c>
      <c r="O102" s="339">
        <v>106.03908596504174</v>
      </c>
      <c r="P102" s="340">
        <f t="shared" si="5"/>
        <v>1.6128063536584136E-2</v>
      </c>
      <c r="Q102" s="340">
        <f t="shared" si="6"/>
        <v>1.6128063536584136E-2</v>
      </c>
    </row>
    <row r="103" spans="1:17">
      <c r="A103" s="279">
        <v>48</v>
      </c>
      <c r="B103" s="293" t="s">
        <v>290</v>
      </c>
      <c r="C103" s="293" t="str">
        <f>VLOOKUP(B103,Mapping!$D$2:$H$157,5,FALSE)</f>
        <v>2 yard Special and Temporary</v>
      </c>
      <c r="D103" s="303">
        <f>SUMIFS('DF Calculation'!K:K,'DF Calculation'!B:B,'To Populate Tariff'!A103,'DF Calculation'!C:C,'To Populate Tariff'!B103)</f>
        <v>113.76</v>
      </c>
      <c r="E103" s="303">
        <f>SUMIFS('DF Calculation'!M:M,'DF Calculation'!B:B,'To Populate Tariff'!A103,'DF Calculation'!C:C,'To Populate Tariff'!B103)</f>
        <v>-0.63478597142167537</v>
      </c>
      <c r="F103" s="343">
        <f>SUMIFS('DF Calculation'!N:N,'DF Calculation'!B:B,'To Populate Tariff'!A103,'DF Calculation'!C:C,'To Populate Tariff'!B103)</f>
        <v>113.12521402857833</v>
      </c>
      <c r="G103" s="317" t="str">
        <f t="shared" si="7"/>
        <v>ok</v>
      </c>
      <c r="H103" s="303">
        <f>SUMIFS('DF Calculation'!$L:$L,'DF Calculation'!$B:$B,'To Populate Tariff'!$A103,'DF Calculation'!$C:$C,'To Populate Tariff'!$B103)</f>
        <v>113.23</v>
      </c>
      <c r="I103" s="303">
        <f>SUMIFS('DF Calculation'!$M:$M,'DF Calculation'!$B:$B,'To Populate Tariff'!$A103,'DF Calculation'!$C:$C,'To Populate Tariff'!$B103)</f>
        <v>-0.63478597142167537</v>
      </c>
      <c r="J103" s="343">
        <f>SUMIFS('DF Calculation'!$O:$O,'DF Calculation'!$B:$B,'To Populate Tariff'!$A103,'DF Calculation'!$C:$C,'To Populate Tariff'!$B103)</f>
        <v>112.59521402857833</v>
      </c>
      <c r="K103" s="317" t="str">
        <f t="shared" si="4"/>
        <v>ok</v>
      </c>
      <c r="N103" s="339">
        <v>113.10908596504174</v>
      </c>
      <c r="O103" s="339">
        <v>112.57908596504174</v>
      </c>
      <c r="P103" s="340">
        <f t="shared" si="5"/>
        <v>1.6128063536584136E-2</v>
      </c>
      <c r="Q103" s="340">
        <f t="shared" si="6"/>
        <v>1.6128063536584136E-2</v>
      </c>
    </row>
    <row r="104" spans="1:17">
      <c r="A104" s="279">
        <v>48</v>
      </c>
      <c r="B104" s="293" t="s">
        <v>211</v>
      </c>
      <c r="C104" s="293" t="str">
        <f>VLOOKUP(B104,Mapping!$D$2:$H$157,5,FALSE)</f>
        <v>4 yard Regular</v>
      </c>
      <c r="D104" s="303">
        <f>SUMIFS('DF Calculation'!K:K,'DF Calculation'!B:B,'To Populate Tariff'!A104,'DF Calculation'!C:C,'To Populate Tariff'!B104)</f>
        <v>198.16</v>
      </c>
      <c r="E104" s="303">
        <f>SUMIFS('DF Calculation'!M:M,'DF Calculation'!B:B,'To Populate Tariff'!A104,'DF Calculation'!C:C,'To Populate Tariff'!B104)</f>
        <v>-1.20099938420212</v>
      </c>
      <c r="F104" s="343">
        <f>SUMIFS('DF Calculation'!N:N,'DF Calculation'!B:B,'To Populate Tariff'!A104,'DF Calculation'!C:C,'To Populate Tariff'!B104)</f>
        <v>196.95900061579789</v>
      </c>
      <c r="G104" s="317" t="str">
        <f t="shared" si="7"/>
        <v>ok</v>
      </c>
      <c r="H104" s="303">
        <f>SUMIFS('DF Calculation'!$L:$L,'DF Calculation'!$B:$B,'To Populate Tariff'!$A104,'DF Calculation'!$C:$C,'To Populate Tariff'!$B104)</f>
        <v>197.24</v>
      </c>
      <c r="I104" s="303">
        <f>SUMIFS('DF Calculation'!$M:$M,'DF Calculation'!$B:$B,'To Populate Tariff'!$A104,'DF Calculation'!$C:$C,'To Populate Tariff'!$B104)</f>
        <v>-1.20099938420212</v>
      </c>
      <c r="J104" s="343">
        <f>SUMIFS('DF Calculation'!$O:$O,'DF Calculation'!$B:$B,'To Populate Tariff'!$A104,'DF Calculation'!$C:$C,'To Populate Tariff'!$B104)</f>
        <v>196.0390006157979</v>
      </c>
      <c r="K104" s="317" t="str">
        <f t="shared" si="4"/>
        <v>ok</v>
      </c>
      <c r="N104" s="339">
        <v>196.92848671781044</v>
      </c>
      <c r="O104" s="339">
        <v>196.00848671781046</v>
      </c>
      <c r="P104" s="340">
        <f t="shared" si="5"/>
        <v>3.0513897987447081E-2</v>
      </c>
      <c r="Q104" s="340">
        <f t="shared" si="6"/>
        <v>3.0513897987447081E-2</v>
      </c>
    </row>
    <row r="105" spans="1:17">
      <c r="A105" s="279">
        <v>48</v>
      </c>
      <c r="B105" s="293" t="s">
        <v>288</v>
      </c>
      <c r="C105" s="293" t="str">
        <f>VLOOKUP(B105,Mapping!$D$2:$H$157,5,FALSE)</f>
        <v>4 yard Special and Temporary</v>
      </c>
      <c r="D105" s="303">
        <f>SUMIFS('DF Calculation'!K:K,'DF Calculation'!B:B,'To Populate Tariff'!A105,'DF Calculation'!C:C,'To Populate Tariff'!B105)</f>
        <v>204.72</v>
      </c>
      <c r="E105" s="303">
        <f>SUMIFS('DF Calculation'!M:M,'DF Calculation'!B:B,'To Populate Tariff'!A105,'DF Calculation'!C:C,'To Populate Tariff'!B105)</f>
        <v>-1.2009993842021203</v>
      </c>
      <c r="F105" s="343">
        <f>SUMIFS('DF Calculation'!N:N,'DF Calculation'!B:B,'To Populate Tariff'!A105,'DF Calculation'!C:C,'To Populate Tariff'!B105)</f>
        <v>203.51900061579789</v>
      </c>
      <c r="G105" s="317" t="str">
        <f t="shared" si="7"/>
        <v>ok</v>
      </c>
      <c r="H105" s="303">
        <f>SUMIFS('DF Calculation'!$L:$L,'DF Calculation'!$B:$B,'To Populate Tariff'!$A105,'DF Calculation'!$C:$C,'To Populate Tariff'!$B105)</f>
        <v>203.77</v>
      </c>
      <c r="I105" s="303">
        <f>SUMIFS('DF Calculation'!$M:$M,'DF Calculation'!$B:$B,'To Populate Tariff'!$A105,'DF Calculation'!$C:$C,'To Populate Tariff'!$B105)</f>
        <v>-1.2009993842021203</v>
      </c>
      <c r="J105" s="343">
        <f>SUMIFS('DF Calculation'!$O:$O,'DF Calculation'!$B:$B,'To Populate Tariff'!$A105,'DF Calculation'!$C:$C,'To Populate Tariff'!$B105)</f>
        <v>202.5690006157979</v>
      </c>
      <c r="K105" s="317" t="str">
        <f t="shared" si="4"/>
        <v>ok</v>
      </c>
      <c r="N105" s="339">
        <v>203.48848671781045</v>
      </c>
      <c r="O105" s="339">
        <v>202.53848671781046</v>
      </c>
      <c r="P105" s="340">
        <f t="shared" si="5"/>
        <v>3.0513897987447081E-2</v>
      </c>
      <c r="Q105" s="340">
        <f t="shared" si="6"/>
        <v>3.0513897987447081E-2</v>
      </c>
    </row>
    <row r="106" spans="1:17">
      <c r="A106" s="279">
        <v>48</v>
      </c>
      <c r="B106" s="293" t="s">
        <v>248</v>
      </c>
      <c r="C106" s="293" t="str">
        <f>VLOOKUP(B106,Mapping!$D$2:$H$157,5,FALSE)</f>
        <v>6 yard Regular</v>
      </c>
      <c r="D106" s="303">
        <f>SUMIFS('DF Calculation'!K:K,'DF Calculation'!B:B,'To Populate Tariff'!A106,'DF Calculation'!C:C,'To Populate Tariff'!B106)</f>
        <v>281.87</v>
      </c>
      <c r="E106" s="303">
        <f>SUMIFS('DF Calculation'!M:M,'DF Calculation'!B:B,'To Populate Tariff'!A106,'DF Calculation'!C:C,'To Populate Tariff'!B106)</f>
        <v>-1.6457414073895285</v>
      </c>
      <c r="F106" s="343">
        <f>SUMIFS('DF Calculation'!N:N,'DF Calculation'!B:B,'To Populate Tariff'!A106,'DF Calculation'!C:C,'To Populate Tariff'!B106)</f>
        <v>280.22425859261045</v>
      </c>
      <c r="G106" s="317" t="str">
        <f t="shared" si="7"/>
        <v>ok</v>
      </c>
      <c r="H106" s="303">
        <f>SUMIFS('DF Calculation'!$L:$L,'DF Calculation'!$B:$B,'To Populate Tariff'!$A106,'DF Calculation'!$C:$C,'To Populate Tariff'!$B106)</f>
        <v>280.56</v>
      </c>
      <c r="I106" s="303">
        <f>SUMIFS('DF Calculation'!$M:$M,'DF Calculation'!$B:$B,'To Populate Tariff'!$A106,'DF Calculation'!$C:$C,'To Populate Tariff'!$B106)</f>
        <v>-1.6457414073895285</v>
      </c>
      <c r="J106" s="343">
        <f>SUMIFS('DF Calculation'!$O:$O,'DF Calculation'!$B:$B,'To Populate Tariff'!$A106,'DF Calculation'!$C:$C,'To Populate Tariff'!$B106)</f>
        <v>278.91425859261045</v>
      </c>
      <c r="K106" s="317" t="str">
        <f t="shared" si="4"/>
        <v>ok</v>
      </c>
      <c r="N106" s="339">
        <v>280.18244509455269</v>
      </c>
      <c r="O106" s="339">
        <v>278.87244509455269</v>
      </c>
      <c r="P106" s="340">
        <f t="shared" si="5"/>
        <v>4.1813498057763354E-2</v>
      </c>
      <c r="Q106" s="340">
        <f t="shared" si="6"/>
        <v>4.1813498057763354E-2</v>
      </c>
    </row>
    <row r="107" spans="1:17">
      <c r="A107" s="279">
        <v>48</v>
      </c>
      <c r="B107" s="293" t="s">
        <v>289</v>
      </c>
      <c r="C107" s="293" t="str">
        <f>VLOOKUP(B107,Mapping!$D$2:$H$157,5,FALSE)</f>
        <v>6 yard Special and Temporary</v>
      </c>
      <c r="D107" s="303">
        <f>SUMIFS('DF Calculation'!K:K,'DF Calculation'!B:B,'To Populate Tariff'!A107,'DF Calculation'!C:C,'To Populate Tariff'!B107)</f>
        <v>288.45</v>
      </c>
      <c r="E107" s="303">
        <f>SUMIFS('DF Calculation'!M:M,'DF Calculation'!B:B,'To Populate Tariff'!A107,'DF Calculation'!C:C,'To Populate Tariff'!B107)</f>
        <v>-1.6457414073895285</v>
      </c>
      <c r="F107" s="343">
        <f>SUMIFS('DF Calculation'!N:N,'DF Calculation'!B:B,'To Populate Tariff'!A107,'DF Calculation'!C:C,'To Populate Tariff'!B107)</f>
        <v>286.80425859261044</v>
      </c>
      <c r="G107" s="317" t="str">
        <f t="shared" si="7"/>
        <v>ok</v>
      </c>
      <c r="H107" s="303">
        <f>SUMIFS('DF Calculation'!$L:$L,'DF Calculation'!$B:$B,'To Populate Tariff'!$A107,'DF Calculation'!$C:$C,'To Populate Tariff'!$B107)</f>
        <v>287.11</v>
      </c>
      <c r="I107" s="303">
        <f>SUMIFS('DF Calculation'!$M:$M,'DF Calculation'!$B:$B,'To Populate Tariff'!$A107,'DF Calculation'!$C:$C,'To Populate Tariff'!$B107)</f>
        <v>-1.6457414073895285</v>
      </c>
      <c r="J107" s="343">
        <f>SUMIFS('DF Calculation'!$O:$O,'DF Calculation'!$B:$B,'To Populate Tariff'!$A107,'DF Calculation'!$C:$C,'To Populate Tariff'!$B107)</f>
        <v>285.46425859261046</v>
      </c>
      <c r="K107" s="317" t="str">
        <f t="shared" si="4"/>
        <v>ok</v>
      </c>
      <c r="N107" s="339">
        <v>286.76244509455267</v>
      </c>
      <c r="O107" s="339">
        <v>285.4224450945527</v>
      </c>
      <c r="P107" s="340">
        <f t="shared" si="5"/>
        <v>4.1813498057763354E-2</v>
      </c>
      <c r="Q107" s="340">
        <f t="shared" si="6"/>
        <v>4.1813498057763354E-2</v>
      </c>
    </row>
    <row r="108" spans="1:17">
      <c r="A108" s="283">
        <v>49</v>
      </c>
      <c r="B108" s="294" t="s">
        <v>257</v>
      </c>
      <c r="C108" s="294" t="str">
        <f>VLOOKUP(B108,Mapping!$D$2:$H$157,5,FALSE)</f>
        <v>2 yard Regular</v>
      </c>
      <c r="D108" s="304">
        <f>SUMIFS('DF Calculation'!K:K,'DF Calculation'!B:B,'To Populate Tariff'!A108,'DF Calculation'!C:C,'To Populate Tariff'!B108)</f>
        <v>137.72</v>
      </c>
      <c r="E108" s="304">
        <f>SUMIFS('DF Calculation'!M:M,'DF Calculation'!B:B,'To Populate Tariff'!A108,'DF Calculation'!C:C,'To Populate Tariff'!B108)</f>
        <v>-0.84638129522890027</v>
      </c>
      <c r="F108" s="343">
        <f>SUMIFS('DF Calculation'!N:N,'DF Calculation'!B:B,'To Populate Tariff'!A108,'DF Calculation'!C:C,'To Populate Tariff'!B108)</f>
        <v>136.8736187047711</v>
      </c>
      <c r="G108" s="318" t="str">
        <f t="shared" si="7"/>
        <v>ok</v>
      </c>
      <c r="H108" s="304">
        <f>SUMIFS('DF Calculation'!$L:$L,'DF Calculation'!$B:$B,'To Populate Tariff'!$A108,'DF Calculation'!$C:$C,'To Populate Tariff'!$B108)</f>
        <v>137.08000000000001</v>
      </c>
      <c r="I108" s="304">
        <f>SUMIFS('DF Calculation'!$M:$M,'DF Calculation'!$B:$B,'To Populate Tariff'!$A108,'DF Calculation'!$C:$C,'To Populate Tariff'!$B108)</f>
        <v>-0.84638129522890027</v>
      </c>
      <c r="J108" s="343">
        <f>SUMIFS('DF Calculation'!$O:$O,'DF Calculation'!$B:$B,'To Populate Tariff'!$A108,'DF Calculation'!$C:$C,'To Populate Tariff'!$B108)</f>
        <v>136.23361870477112</v>
      </c>
      <c r="K108" s="318" t="str">
        <f t="shared" si="4"/>
        <v>ok</v>
      </c>
      <c r="N108" s="339">
        <v>136.85211462005566</v>
      </c>
      <c r="O108" s="339">
        <v>136.21211462005567</v>
      </c>
      <c r="P108" s="340">
        <f t="shared" si="5"/>
        <v>2.1504084715445515E-2</v>
      </c>
      <c r="Q108" s="340">
        <f t="shared" si="6"/>
        <v>2.1504084715445515E-2</v>
      </c>
    </row>
    <row r="109" spans="1:17">
      <c r="A109" s="283">
        <v>49</v>
      </c>
      <c r="B109" s="294" t="s">
        <v>291</v>
      </c>
      <c r="C109" s="294" t="str">
        <f>VLOOKUP(B109,Mapping!$D$2:$H$157,5,FALSE)</f>
        <v>2 yard Special and Temporary</v>
      </c>
      <c r="D109" s="304">
        <f>SUMIFS('DF Calculation'!K:K,'DF Calculation'!B:B,'To Populate Tariff'!A109,'DF Calculation'!C:C,'To Populate Tariff'!B109)</f>
        <v>144.29</v>
      </c>
      <c r="E109" s="304">
        <f>SUMIFS('DF Calculation'!M:M,'DF Calculation'!B:B,'To Populate Tariff'!A109,'DF Calculation'!C:C,'To Populate Tariff'!B109)</f>
        <v>-0.84638129522890038</v>
      </c>
      <c r="F109" s="343">
        <f>SUMIFS('DF Calculation'!N:N,'DF Calculation'!B:B,'To Populate Tariff'!A109,'DF Calculation'!C:C,'To Populate Tariff'!B109)</f>
        <v>143.4436187047711</v>
      </c>
      <c r="G109" s="318" t="str">
        <f t="shared" si="7"/>
        <v>ok</v>
      </c>
      <c r="H109" s="304">
        <f>SUMIFS('DF Calculation'!$L:$L,'DF Calculation'!$B:$B,'To Populate Tariff'!$A109,'DF Calculation'!$C:$C,'To Populate Tariff'!$B109)</f>
        <v>143.62</v>
      </c>
      <c r="I109" s="304">
        <f>SUMIFS('DF Calculation'!$M:$M,'DF Calculation'!$B:$B,'To Populate Tariff'!$A109,'DF Calculation'!$C:$C,'To Populate Tariff'!$B109)</f>
        <v>-0.84638129522890038</v>
      </c>
      <c r="J109" s="343">
        <f>SUMIFS('DF Calculation'!$O:$O,'DF Calculation'!$B:$B,'To Populate Tariff'!$A109,'DF Calculation'!$C:$C,'To Populate Tariff'!$B109)</f>
        <v>142.77361870477111</v>
      </c>
      <c r="K109" s="318" t="str">
        <f t="shared" si="4"/>
        <v>ok</v>
      </c>
      <c r="N109" s="339">
        <v>143.42211462005565</v>
      </c>
      <c r="O109" s="339">
        <v>142.75211462005566</v>
      </c>
      <c r="P109" s="340">
        <f t="shared" si="5"/>
        <v>2.1504084715445515E-2</v>
      </c>
      <c r="Q109" s="340">
        <f t="shared" si="6"/>
        <v>2.1504084715445515E-2</v>
      </c>
    </row>
    <row r="110" spans="1:17">
      <c r="A110" s="283">
        <v>49</v>
      </c>
      <c r="B110" s="294" t="s">
        <v>258</v>
      </c>
      <c r="C110" s="294" t="str">
        <f>VLOOKUP(B110,Mapping!$D$2:$H$157,5,FALSE)</f>
        <v>3 yard Regular</v>
      </c>
      <c r="D110" s="304">
        <f>SUMIFS('DF Calculation'!K:K,'DF Calculation'!B:B,'To Populate Tariff'!A110,'DF Calculation'!C:C,'To Populate Tariff'!B110)</f>
        <v>191.73</v>
      </c>
      <c r="E110" s="304">
        <f>SUMIFS('DF Calculation'!M:M,'DF Calculation'!B:B,'To Populate Tariff'!A110,'DF Calculation'!C:C,'To Populate Tariff'!B110)</f>
        <v>-1.2356121995162648</v>
      </c>
      <c r="F110" s="343">
        <f>SUMIFS('DF Calculation'!N:N,'DF Calculation'!B:B,'To Populate Tariff'!A110,'DF Calculation'!C:C,'To Populate Tariff'!B110)</f>
        <v>190.49438780048374</v>
      </c>
      <c r="G110" s="318" t="str">
        <f t="shared" si="7"/>
        <v>ok</v>
      </c>
      <c r="H110" s="304">
        <f>SUMIFS('DF Calculation'!$L:$L,'DF Calculation'!$B:$B,'To Populate Tariff'!$A110,'DF Calculation'!$C:$C,'To Populate Tariff'!$B110)</f>
        <v>190.84</v>
      </c>
      <c r="I110" s="304">
        <f>SUMIFS('DF Calculation'!$M:$M,'DF Calculation'!$B:$B,'To Populate Tariff'!$A110,'DF Calculation'!$C:$C,'To Populate Tariff'!$B110)</f>
        <v>-1.2356121995162648</v>
      </c>
      <c r="J110" s="343">
        <f>SUMIFS('DF Calculation'!$O:$O,'DF Calculation'!$B:$B,'To Populate Tariff'!$A110,'DF Calculation'!$C:$C,'To Populate Tariff'!$B110)</f>
        <v>189.60438780048375</v>
      </c>
      <c r="K110" s="318" t="str">
        <f t="shared" si="4"/>
        <v>ok</v>
      </c>
      <c r="N110" s="339">
        <v>190.46299449162444</v>
      </c>
      <c r="O110" s="339">
        <v>189.57299449162446</v>
      </c>
      <c r="P110" s="340">
        <f t="shared" si="5"/>
        <v>3.1393308859293256E-2</v>
      </c>
      <c r="Q110" s="340">
        <f t="shared" si="6"/>
        <v>3.1393308859293256E-2</v>
      </c>
    </row>
    <row r="111" spans="1:17">
      <c r="A111" s="283">
        <v>49</v>
      </c>
      <c r="B111" s="294" t="s">
        <v>292</v>
      </c>
      <c r="C111" s="294" t="str">
        <f>VLOOKUP(B111,Mapping!$D$2:$H$157,5,FALSE)</f>
        <v>3 yard Special and Temporary</v>
      </c>
      <c r="D111" s="304">
        <f>SUMIFS('DF Calculation'!K:K,'DF Calculation'!B:B,'To Populate Tariff'!A111,'DF Calculation'!C:C,'To Populate Tariff'!B111)</f>
        <v>198.31</v>
      </c>
      <c r="E111" s="304">
        <f>SUMIFS('DF Calculation'!M:M,'DF Calculation'!B:B,'To Populate Tariff'!A111,'DF Calculation'!C:C,'To Populate Tariff'!B111)</f>
        <v>-1.235612199516265</v>
      </c>
      <c r="F111" s="343">
        <f>SUMIFS('DF Calculation'!N:N,'DF Calculation'!B:B,'To Populate Tariff'!A111,'DF Calculation'!C:C,'To Populate Tariff'!B111)</f>
        <v>197.07438780048375</v>
      </c>
      <c r="G111" s="318" t="str">
        <f t="shared" si="7"/>
        <v>ok</v>
      </c>
      <c r="H111" s="304">
        <f>SUMIFS('DF Calculation'!$L:$L,'DF Calculation'!$B:$B,'To Populate Tariff'!$A111,'DF Calculation'!$C:$C,'To Populate Tariff'!$B111)</f>
        <v>197.39</v>
      </c>
      <c r="I111" s="304">
        <f>SUMIFS('DF Calculation'!$M:$M,'DF Calculation'!$B:$B,'To Populate Tariff'!$A111,'DF Calculation'!$C:$C,'To Populate Tariff'!$B111)</f>
        <v>-1.235612199516265</v>
      </c>
      <c r="J111" s="343">
        <f>SUMIFS('DF Calculation'!$O:$O,'DF Calculation'!$B:$B,'To Populate Tariff'!$A111,'DF Calculation'!$C:$C,'To Populate Tariff'!$B111)</f>
        <v>196.15438780048373</v>
      </c>
      <c r="K111" s="318" t="str">
        <f t="shared" si="4"/>
        <v>ok</v>
      </c>
      <c r="N111" s="339">
        <v>197.04299449162446</v>
      </c>
      <c r="O111" s="339">
        <v>196.12299449162444</v>
      </c>
      <c r="P111" s="340">
        <f t="shared" si="5"/>
        <v>3.1393308859293256E-2</v>
      </c>
      <c r="Q111" s="340">
        <f t="shared" si="6"/>
        <v>3.1393308859293256E-2</v>
      </c>
    </row>
    <row r="112" spans="1:17">
      <c r="A112" s="283">
        <v>49</v>
      </c>
      <c r="B112" s="294" t="s">
        <v>259</v>
      </c>
      <c r="C112" s="294" t="str">
        <f>VLOOKUP(B112,Mapping!$D$2:$H$157,5,FALSE)</f>
        <v>4 yard Regular</v>
      </c>
      <c r="D112" s="304">
        <f>SUMIFS('DF Calculation'!K:K,'DF Calculation'!B:B,'To Populate Tariff'!A112,'DF Calculation'!C:C,'To Populate Tariff'!B112)</f>
        <v>241.64</v>
      </c>
      <c r="E112" s="304">
        <f>SUMIFS('DF Calculation'!M:M,'DF Calculation'!B:B,'To Populate Tariff'!A112,'DF Calculation'!C:C,'To Populate Tariff'!B112)</f>
        <v>-1.6013325122694935</v>
      </c>
      <c r="F112" s="343">
        <f>SUMIFS('DF Calculation'!N:N,'DF Calculation'!B:B,'To Populate Tariff'!A112,'DF Calculation'!C:C,'To Populate Tariff'!B112)</f>
        <v>240.03866748773049</v>
      </c>
      <c r="G112" s="318" t="str">
        <f t="shared" si="7"/>
        <v>ok</v>
      </c>
      <c r="H112" s="304">
        <f>SUMIFS('DF Calculation'!$L:$L,'DF Calculation'!$B:$B,'To Populate Tariff'!$A112,'DF Calculation'!$C:$C,'To Populate Tariff'!$B112)</f>
        <v>240.51</v>
      </c>
      <c r="I112" s="304">
        <f>SUMIFS('DF Calculation'!$M:$M,'DF Calculation'!$B:$B,'To Populate Tariff'!$A112,'DF Calculation'!$C:$C,'To Populate Tariff'!$B112)</f>
        <v>-1.6013325122694935</v>
      </c>
      <c r="J112" s="343">
        <f>SUMIFS('DF Calculation'!$O:$O,'DF Calculation'!$B:$B,'To Populate Tariff'!$A112,'DF Calculation'!$C:$C,'To Populate Tariff'!$B112)</f>
        <v>238.9086674877305</v>
      </c>
      <c r="K112" s="318" t="str">
        <f t="shared" si="4"/>
        <v>ok</v>
      </c>
      <c r="N112" s="339">
        <v>239.99798229041392</v>
      </c>
      <c r="O112" s="339">
        <v>238.86798229041392</v>
      </c>
      <c r="P112" s="340">
        <f t="shared" si="5"/>
        <v>4.068519731657716E-2</v>
      </c>
      <c r="Q112" s="340">
        <f t="shared" si="6"/>
        <v>4.068519731657716E-2</v>
      </c>
    </row>
    <row r="113" spans="1:17">
      <c r="A113" s="283">
        <v>49</v>
      </c>
      <c r="B113" s="294" t="s">
        <v>287</v>
      </c>
      <c r="C113" s="294" t="str">
        <f>VLOOKUP(B113,Mapping!$D$2:$H$157,5,FALSE)</f>
        <v>4 yard Special and Temporary</v>
      </c>
      <c r="D113" s="304">
        <f>SUMIFS('DF Calculation'!K:K,'DF Calculation'!B:B,'To Populate Tariff'!A113,'DF Calculation'!C:C,'To Populate Tariff'!B113)</f>
        <v>248.2</v>
      </c>
      <c r="E113" s="304">
        <f>SUMIFS('DF Calculation'!M:M,'DF Calculation'!B:B,'To Populate Tariff'!A113,'DF Calculation'!C:C,'To Populate Tariff'!B113)</f>
        <v>-1.6013325122694937</v>
      </c>
      <c r="F113" s="343">
        <f>SUMIFS('DF Calculation'!N:N,'DF Calculation'!B:B,'To Populate Tariff'!A113,'DF Calculation'!C:C,'To Populate Tariff'!B113)</f>
        <v>246.59866748773049</v>
      </c>
      <c r="G113" s="318" t="str">
        <f t="shared" si="7"/>
        <v>ok</v>
      </c>
      <c r="H113" s="304">
        <f>SUMIFS('DF Calculation'!$L:$L,'DF Calculation'!$B:$B,'To Populate Tariff'!$A113,'DF Calculation'!$C:$C,'To Populate Tariff'!$B113)</f>
        <v>247.04</v>
      </c>
      <c r="I113" s="304">
        <f>SUMIFS('DF Calculation'!$M:$M,'DF Calculation'!$B:$B,'To Populate Tariff'!$A113,'DF Calculation'!$C:$C,'To Populate Tariff'!$B113)</f>
        <v>-1.6013325122694937</v>
      </c>
      <c r="J113" s="343">
        <f>SUMIFS('DF Calculation'!$O:$O,'DF Calculation'!$B:$B,'To Populate Tariff'!$A113,'DF Calculation'!$C:$C,'To Populate Tariff'!$B113)</f>
        <v>245.4386674877305</v>
      </c>
      <c r="K113" s="318" t="str">
        <f t="shared" si="4"/>
        <v>ok</v>
      </c>
      <c r="N113" s="339">
        <v>246.55798229041392</v>
      </c>
      <c r="O113" s="339">
        <v>245.39798229041392</v>
      </c>
      <c r="P113" s="340">
        <f t="shared" si="5"/>
        <v>4.068519731657716E-2</v>
      </c>
      <c r="Q113" s="340">
        <f t="shared" si="6"/>
        <v>4.068519731657716E-2</v>
      </c>
    </row>
    <row r="114" spans="1:17">
      <c r="A114" s="283">
        <v>49</v>
      </c>
      <c r="B114" s="294" t="s">
        <v>251</v>
      </c>
      <c r="C114" s="294" t="str">
        <f>VLOOKUP(B114,Mapping!$D$2:$H$157,5,FALSE)</f>
        <v>6 yard Regular</v>
      </c>
      <c r="D114" s="304">
        <f>SUMIFS('DF Calculation'!K:K,'DF Calculation'!B:B,'To Populate Tariff'!A114,'DF Calculation'!C:C,'To Populate Tariff'!B114)</f>
        <v>359.14</v>
      </c>
      <c r="E114" s="304">
        <f>SUMIFS('DF Calculation'!M:M,'DF Calculation'!B:B,'To Populate Tariff'!A114,'DF Calculation'!C:C,'To Populate Tariff'!B114)</f>
        <v>-2.1943218765193717</v>
      </c>
      <c r="F114" s="343">
        <f>SUMIFS('DF Calculation'!N:N,'DF Calculation'!B:B,'To Populate Tariff'!A114,'DF Calculation'!C:C,'To Populate Tariff'!B114)</f>
        <v>356.9456781234806</v>
      </c>
      <c r="G114" s="318" t="str">
        <f t="shared" si="7"/>
        <v>ok</v>
      </c>
      <c r="H114" s="304">
        <f>SUMIFS('DF Calculation'!$L:$L,'DF Calculation'!$B:$B,'To Populate Tariff'!$A114,'DF Calculation'!$C:$C,'To Populate Tariff'!$B114)</f>
        <v>357.47</v>
      </c>
      <c r="I114" s="304">
        <f>SUMIFS('DF Calculation'!$M:$M,'DF Calculation'!$B:$B,'To Populate Tariff'!$A114,'DF Calculation'!$C:$C,'To Populate Tariff'!$B114)</f>
        <v>-2.1943218765193717</v>
      </c>
      <c r="J114" s="343">
        <f>SUMIFS('DF Calculation'!$O:$O,'DF Calculation'!$B:$B,'To Populate Tariff'!$A114,'DF Calculation'!$C:$C,'To Populate Tariff'!$B114)</f>
        <v>355.27567812348065</v>
      </c>
      <c r="K114" s="318" t="str">
        <f t="shared" si="4"/>
        <v>ok</v>
      </c>
      <c r="N114" s="339">
        <v>356.88992679273684</v>
      </c>
      <c r="O114" s="339">
        <v>355.21992679273689</v>
      </c>
      <c r="P114" s="340">
        <f t="shared" si="5"/>
        <v>5.5751330743760263E-2</v>
      </c>
      <c r="Q114" s="340">
        <f t="shared" si="6"/>
        <v>5.5751330743760263E-2</v>
      </c>
    </row>
    <row r="115" spans="1:17">
      <c r="A115" s="283">
        <v>49</v>
      </c>
      <c r="B115" s="294" t="s">
        <v>293</v>
      </c>
      <c r="C115" s="294" t="str">
        <f>VLOOKUP(B115,Mapping!$D$2:$H$157,5,FALSE)</f>
        <v>6 yard Special and Temporary</v>
      </c>
      <c r="D115" s="304">
        <f>SUMIFS('DF Calculation'!K:K,'DF Calculation'!B:B,'To Populate Tariff'!A115,'DF Calculation'!C:C,'To Populate Tariff'!B115)</f>
        <v>365.71</v>
      </c>
      <c r="E115" s="304">
        <f>SUMIFS('DF Calculation'!M:M,'DF Calculation'!B:B,'To Populate Tariff'!A115,'DF Calculation'!C:C,'To Populate Tariff'!B115)</f>
        <v>-2.1943218765193713</v>
      </c>
      <c r="F115" s="343">
        <f>SUMIFS('DF Calculation'!N:N,'DF Calculation'!B:B,'To Populate Tariff'!A115,'DF Calculation'!C:C,'To Populate Tariff'!B115)</f>
        <v>363.5156781234806</v>
      </c>
      <c r="G115" s="318" t="str">
        <f t="shared" si="7"/>
        <v>ok</v>
      </c>
      <c r="H115" s="304">
        <f>SUMIFS('DF Calculation'!$L:$L,'DF Calculation'!$B:$B,'To Populate Tariff'!$A115,'DF Calculation'!$C:$C,'To Populate Tariff'!$B115)</f>
        <v>364.01</v>
      </c>
      <c r="I115" s="304">
        <f>SUMIFS('DF Calculation'!$M:$M,'DF Calculation'!$B:$B,'To Populate Tariff'!$A115,'DF Calculation'!$C:$C,'To Populate Tariff'!$B115)</f>
        <v>-2.1943218765193713</v>
      </c>
      <c r="J115" s="343">
        <f>SUMIFS('DF Calculation'!$O:$O,'DF Calculation'!$B:$B,'To Populate Tariff'!$A115,'DF Calculation'!$C:$C,'To Populate Tariff'!$B115)</f>
        <v>361.81567812348061</v>
      </c>
      <c r="K115" s="318" t="str">
        <f t="shared" si="4"/>
        <v>ok</v>
      </c>
      <c r="N115" s="339">
        <v>363.45992679273684</v>
      </c>
      <c r="O115" s="339">
        <v>361.75992679273685</v>
      </c>
      <c r="P115" s="340">
        <f t="shared" si="5"/>
        <v>5.5751330743760263E-2</v>
      </c>
      <c r="Q115" s="340">
        <f t="shared" si="6"/>
        <v>5.5751330743760263E-2</v>
      </c>
    </row>
    <row r="116" spans="1:17">
      <c r="A116" s="290">
        <v>50</v>
      </c>
      <c r="B116" s="292" t="s">
        <v>250</v>
      </c>
      <c r="C116" s="292" t="str">
        <f>VLOOKUP(B116,Mapping!$D$2:$H$157,5,FALSE)</f>
        <v>3 yard Regular</v>
      </c>
      <c r="D116" s="306">
        <f>SUMIFS('DF Calculation'!K:K,'DF Calculation'!B:B,'To Populate Tariff'!A116,'DF Calculation'!C:C,'To Populate Tariff'!B116)</f>
        <v>236.52</v>
      </c>
      <c r="E116" s="306">
        <f>SUMIFS('DF Calculation'!M:M,'DF Calculation'!B:B,'To Populate Tariff'!A116,'DF Calculation'!C:C,'To Populate Tariff'!B116)</f>
        <v>-1.6474829326883536</v>
      </c>
      <c r="F116" s="343">
        <f>SUMIFS('DF Calculation'!N:N,'DF Calculation'!B:B,'To Populate Tariff'!A116,'DF Calculation'!C:C,'To Populate Tariff'!B116)</f>
        <v>234.87251706731166</v>
      </c>
      <c r="G116" s="320" t="str">
        <f t="shared" si="7"/>
        <v>ok</v>
      </c>
      <c r="H116" s="306">
        <f>SUMIFS('DF Calculation'!$L:$L,'DF Calculation'!$B:$B,'To Populate Tariff'!$A116,'DF Calculation'!$C:$C,'To Populate Tariff'!$B116)</f>
        <v>235.42</v>
      </c>
      <c r="I116" s="306">
        <f>SUMIFS('DF Calculation'!$M:$M,'DF Calculation'!$B:$B,'To Populate Tariff'!$A116,'DF Calculation'!$C:$C,'To Populate Tariff'!$B116)</f>
        <v>-1.6474829326883536</v>
      </c>
      <c r="J116" s="343">
        <f>SUMIFS('DF Calculation'!$O:$O,'DF Calculation'!$B:$B,'To Populate Tariff'!$A116,'DF Calculation'!$C:$C,'To Populate Tariff'!$B116)</f>
        <v>233.77251706731164</v>
      </c>
      <c r="K116" s="320" t="str">
        <f t="shared" si="4"/>
        <v>ok</v>
      </c>
      <c r="N116" s="339">
        <v>234.83065932216596</v>
      </c>
      <c r="O116" s="339">
        <v>233.73065932216593</v>
      </c>
      <c r="P116" s="340">
        <f t="shared" si="5"/>
        <v>4.1857745145705394E-2</v>
      </c>
      <c r="Q116" s="340">
        <f t="shared" si="6"/>
        <v>4.1857745145705394E-2</v>
      </c>
    </row>
    <row r="117" spans="1:17">
      <c r="A117" s="290">
        <v>50</v>
      </c>
      <c r="B117" s="292" t="s">
        <v>294</v>
      </c>
      <c r="C117" s="292" t="str">
        <f>VLOOKUP(B117,Mapping!$D$2:$H$157,5,FALSE)</f>
        <v>3 yard Special and Temporary</v>
      </c>
      <c r="D117" s="306">
        <f>SUMIFS('DF Calculation'!K:K,'DF Calculation'!B:B,'To Populate Tariff'!A117,'DF Calculation'!C:C,'To Populate Tariff'!B117)</f>
        <v>243.09</v>
      </c>
      <c r="E117" s="306">
        <f>SUMIFS('DF Calculation'!M:M,'DF Calculation'!B:B,'To Populate Tariff'!A117,'DF Calculation'!C:C,'To Populate Tariff'!B117)</f>
        <v>-1.6474829326883533</v>
      </c>
      <c r="F117" s="343">
        <f>SUMIFS('DF Calculation'!N:N,'DF Calculation'!B:B,'To Populate Tariff'!A117,'DF Calculation'!C:C,'To Populate Tariff'!B117)</f>
        <v>241.44251706731166</v>
      </c>
      <c r="G117" s="320" t="str">
        <f t="shared" si="7"/>
        <v>ok</v>
      </c>
      <c r="H117" s="306">
        <f>SUMIFS('DF Calculation'!$L:$L,'DF Calculation'!$B:$B,'To Populate Tariff'!$A117,'DF Calculation'!$C:$C,'To Populate Tariff'!$B117)</f>
        <v>241.96</v>
      </c>
      <c r="I117" s="306">
        <f>SUMIFS('DF Calculation'!$M:$M,'DF Calculation'!$B:$B,'To Populate Tariff'!$A117,'DF Calculation'!$C:$C,'To Populate Tariff'!$B117)</f>
        <v>-1.6474829326883533</v>
      </c>
      <c r="J117" s="343">
        <f>SUMIFS('DF Calculation'!$O:$O,'DF Calculation'!$B:$B,'To Populate Tariff'!$A117,'DF Calculation'!$C:$C,'To Populate Tariff'!$B117)</f>
        <v>240.31251706731166</v>
      </c>
      <c r="K117" s="320" t="str">
        <f t="shared" si="4"/>
        <v>ok</v>
      </c>
      <c r="N117" s="339">
        <v>241.40065932216595</v>
      </c>
      <c r="O117" s="339">
        <v>240.27065932216595</v>
      </c>
      <c r="P117" s="340">
        <f t="shared" si="5"/>
        <v>4.1857745145705394E-2</v>
      </c>
      <c r="Q117" s="340">
        <f t="shared" si="6"/>
        <v>4.1857745145705394E-2</v>
      </c>
    </row>
    <row r="118" spans="1:17">
      <c r="A118" s="290">
        <v>50</v>
      </c>
      <c r="B118" s="292" t="s">
        <v>297</v>
      </c>
      <c r="C118" s="292" t="str">
        <f>VLOOKUP(B118,Mapping!$D$2:$H$157,5,FALSE)</f>
        <v>4 yard Regular</v>
      </c>
      <c r="D118" s="306">
        <f>SUMIFS('DF Calculation'!K:K,'DF Calculation'!B:B,'To Populate Tariff'!A118,'DF Calculation'!C:C,'To Populate Tariff'!B118)</f>
        <v>311.98</v>
      </c>
      <c r="E118" s="306">
        <f>SUMIFS('DF Calculation'!M:M,'DF Calculation'!B:B,'To Populate Tariff'!A118,'DF Calculation'!C:C,'To Populate Tariff'!B118)</f>
        <v>-2.1351100163593246</v>
      </c>
      <c r="F118" s="343">
        <f>SUMIFS('DF Calculation'!N:N,'DF Calculation'!B:B,'To Populate Tariff'!A118,'DF Calculation'!C:C,'To Populate Tariff'!B118)</f>
        <v>309.84488998364071</v>
      </c>
      <c r="G118" s="320" t="str">
        <f t="shared" si="7"/>
        <v>ok</v>
      </c>
      <c r="H118" s="306">
        <f>SUMIFS('DF Calculation'!$L:$L,'DF Calculation'!$B:$B,'To Populate Tariff'!$A118,'DF Calculation'!$C:$C,'To Populate Tariff'!$B118)</f>
        <v>310.52999999999997</v>
      </c>
      <c r="I118" s="306">
        <f>SUMIFS('DF Calculation'!$M:$M,'DF Calculation'!$B:$B,'To Populate Tariff'!$A118,'DF Calculation'!$C:$C,'To Populate Tariff'!$B118)</f>
        <v>-2.1351100163593246</v>
      </c>
      <c r="J118" s="343">
        <f>SUMIFS('DF Calculation'!$O:$O,'DF Calculation'!$B:$B,'To Populate Tariff'!$A118,'DF Calculation'!$C:$C,'To Populate Tariff'!$B118)</f>
        <v>308.39488998364067</v>
      </c>
      <c r="K118" s="320" t="str">
        <f t="shared" si="4"/>
        <v>ok</v>
      </c>
      <c r="N118" s="339">
        <v>309.79064305388528</v>
      </c>
      <c r="O118" s="339">
        <v>308.34064305388523</v>
      </c>
      <c r="P118" s="340">
        <f t="shared" si="5"/>
        <v>5.4246929755436213E-2</v>
      </c>
      <c r="Q118" s="340">
        <f t="shared" si="6"/>
        <v>5.4246929755436213E-2</v>
      </c>
    </row>
    <row r="119" spans="1:17">
      <c r="A119" s="290">
        <v>50</v>
      </c>
      <c r="B119" s="292" t="s">
        <v>286</v>
      </c>
      <c r="C119" s="292" t="str">
        <f>VLOOKUP(B119,Mapping!$D$2:$H$157,5,FALSE)</f>
        <v>4 yard Special and Temporary</v>
      </c>
      <c r="D119" s="306">
        <f>SUMIFS('DF Calculation'!K:K,'DF Calculation'!B:B,'To Populate Tariff'!A119,'DF Calculation'!C:C,'To Populate Tariff'!B119)</f>
        <v>318.55</v>
      </c>
      <c r="E119" s="306">
        <f>SUMIFS('DF Calculation'!M:M,'DF Calculation'!B:B,'To Populate Tariff'!A119,'DF Calculation'!C:C,'To Populate Tariff'!B119)</f>
        <v>-2.1351100163593251</v>
      </c>
      <c r="F119" s="343">
        <f>SUMIFS('DF Calculation'!N:N,'DF Calculation'!B:B,'To Populate Tariff'!A119,'DF Calculation'!C:C,'To Populate Tariff'!B119)</f>
        <v>316.41488998364071</v>
      </c>
      <c r="G119" s="320" t="str">
        <f t="shared" si="7"/>
        <v>ok</v>
      </c>
      <c r="H119" s="306">
        <f>SUMIFS('DF Calculation'!$L:$L,'DF Calculation'!$B:$B,'To Populate Tariff'!$A119,'DF Calculation'!$C:$C,'To Populate Tariff'!$B119)</f>
        <v>317.07</v>
      </c>
      <c r="I119" s="306">
        <f>SUMIFS('DF Calculation'!$M:$M,'DF Calculation'!$B:$B,'To Populate Tariff'!$A119,'DF Calculation'!$C:$C,'To Populate Tariff'!$B119)</f>
        <v>-2.1351100163593251</v>
      </c>
      <c r="J119" s="343">
        <f>SUMIFS('DF Calculation'!$O:$O,'DF Calculation'!$B:$B,'To Populate Tariff'!$A119,'DF Calculation'!$C:$C,'To Populate Tariff'!$B119)</f>
        <v>314.93488998364069</v>
      </c>
      <c r="K119" s="320" t="str">
        <f t="shared" si="4"/>
        <v>ok</v>
      </c>
      <c r="N119" s="339">
        <v>316.36064305388527</v>
      </c>
      <c r="O119" s="339">
        <v>314.88064305388525</v>
      </c>
      <c r="P119" s="340">
        <f t="shared" si="5"/>
        <v>5.4246929755436213E-2</v>
      </c>
      <c r="Q119" s="340">
        <f t="shared" si="6"/>
        <v>5.4246929755436213E-2</v>
      </c>
    </row>
    <row r="120" spans="1:17">
      <c r="A120" s="290">
        <v>50</v>
      </c>
      <c r="B120" s="292" t="s">
        <v>249</v>
      </c>
      <c r="C120" s="292" t="str">
        <f>VLOOKUP(B120,Mapping!$D$2:$H$157,5,FALSE)</f>
        <v>6 yard Regular</v>
      </c>
      <c r="D120" s="306">
        <f>SUMIFS('DF Calculation'!K:K,'DF Calculation'!B:B,'To Populate Tariff'!A120,'DF Calculation'!C:C,'To Populate Tariff'!B120)</f>
        <v>459.48</v>
      </c>
      <c r="E120" s="306">
        <f>SUMIFS('DF Calculation'!M:M,'DF Calculation'!B:B,'To Populate Tariff'!A120,'DF Calculation'!C:C,'To Populate Tariff'!B120)</f>
        <v>-2.9257625020258287</v>
      </c>
      <c r="F120" s="343">
        <f>SUMIFS('DF Calculation'!N:N,'DF Calculation'!B:B,'To Populate Tariff'!A120,'DF Calculation'!C:C,'To Populate Tariff'!B120)</f>
        <v>456.55423749797421</v>
      </c>
      <c r="G120" s="320" t="str">
        <f t="shared" si="7"/>
        <v>ok</v>
      </c>
      <c r="H120" s="306">
        <f>SUMIFS('DF Calculation'!$L:$L,'DF Calculation'!$B:$B,'To Populate Tariff'!$A120,'DF Calculation'!$C:$C,'To Populate Tariff'!$B120)</f>
        <v>457.34</v>
      </c>
      <c r="I120" s="306">
        <f>SUMIFS('DF Calculation'!$M:$M,'DF Calculation'!$B:$B,'To Populate Tariff'!$A120,'DF Calculation'!$C:$C,'To Populate Tariff'!$B120)</f>
        <v>-2.9257625020258287</v>
      </c>
      <c r="J120" s="343">
        <f>SUMIFS('DF Calculation'!$O:$O,'DF Calculation'!$B:$B,'To Populate Tariff'!$A120,'DF Calculation'!$C:$C,'To Populate Tariff'!$B120)</f>
        <v>454.41423749797417</v>
      </c>
      <c r="K120" s="320" t="str">
        <f t="shared" si="4"/>
        <v>ok</v>
      </c>
      <c r="N120" s="339">
        <v>456.47990239031589</v>
      </c>
      <c r="O120" s="339">
        <v>454.33990239031584</v>
      </c>
      <c r="P120" s="340">
        <f t="shared" si="5"/>
        <v>7.433510765832807E-2</v>
      </c>
      <c r="Q120" s="340">
        <f t="shared" si="6"/>
        <v>7.433510765832807E-2</v>
      </c>
    </row>
    <row r="121" spans="1:17">
      <c r="A121" s="290">
        <v>50</v>
      </c>
      <c r="B121" s="292" t="s">
        <v>295</v>
      </c>
      <c r="C121" s="292" t="str">
        <f>VLOOKUP(B121,Mapping!$D$2:$H$157,5,FALSE)</f>
        <v>6 yard Special and Temporary</v>
      </c>
      <c r="D121" s="306">
        <f>SUMIFS('DF Calculation'!K:K,'DF Calculation'!B:B,'To Populate Tariff'!A121,'DF Calculation'!C:C,'To Populate Tariff'!B121)</f>
        <v>456</v>
      </c>
      <c r="E121" s="306">
        <f>SUMIFS('DF Calculation'!M:M,'DF Calculation'!B:B,'To Populate Tariff'!A121,'DF Calculation'!C:C,'To Populate Tariff'!B121)</f>
        <v>-2.9257625020258282</v>
      </c>
      <c r="F121" s="343">
        <f>SUMIFS('DF Calculation'!N:N,'DF Calculation'!B:B,'To Populate Tariff'!A121,'DF Calculation'!C:C,'To Populate Tariff'!B121)</f>
        <v>453.0742374979742</v>
      </c>
      <c r="G121" s="320" t="str">
        <f t="shared" si="7"/>
        <v>ok</v>
      </c>
      <c r="H121" s="306">
        <f>SUMIFS('DF Calculation'!$L:$L,'DF Calculation'!$B:$B,'To Populate Tariff'!$A121,'DF Calculation'!$C:$C,'To Populate Tariff'!$B121)</f>
        <v>453.88</v>
      </c>
      <c r="I121" s="306">
        <f>SUMIFS('DF Calculation'!$M:$M,'DF Calculation'!$B:$B,'To Populate Tariff'!$A121,'DF Calculation'!$C:$C,'To Populate Tariff'!$B121)</f>
        <v>-2.9257625020258282</v>
      </c>
      <c r="J121" s="343">
        <f>SUMIFS('DF Calculation'!$O:$O,'DF Calculation'!$B:$B,'To Populate Tariff'!$A121,'DF Calculation'!$C:$C,'To Populate Tariff'!$B121)</f>
        <v>450.95423749797419</v>
      </c>
      <c r="K121" s="320" t="str">
        <f t="shared" si="4"/>
        <v>ok</v>
      </c>
      <c r="N121" s="339">
        <v>452.99990239031587</v>
      </c>
      <c r="O121" s="339">
        <v>450.87990239031586</v>
      </c>
      <c r="P121" s="340">
        <f t="shared" si="5"/>
        <v>7.433510765832807E-2</v>
      </c>
      <c r="Q121" s="340">
        <f t="shared" si="6"/>
        <v>7.433510765832807E-2</v>
      </c>
    </row>
    <row r="122" spans="1:17">
      <c r="A122" s="296">
        <v>51</v>
      </c>
      <c r="B122" s="297" t="s">
        <v>213</v>
      </c>
      <c r="C122" s="297" t="str">
        <f>VLOOKUP(B122,Mapping!$D$2:$H$157,5,FALSE)</f>
        <v>4 yard Regular</v>
      </c>
      <c r="D122" s="307">
        <f>SUMIFS('DF Calculation'!K:K,'DF Calculation'!B:B,'To Populate Tariff'!A122,'DF Calculation'!C:C,'To Populate Tariff'!B122)</f>
        <v>359.61</v>
      </c>
      <c r="E122" s="307">
        <f>SUMIFS('DF Calculation'!M:M,'DF Calculation'!B:B,'To Populate Tariff'!A122,'DF Calculation'!C:C,'To Populate Tariff'!B122)</f>
        <v>-2.668887520449156</v>
      </c>
      <c r="F122" s="343">
        <f>SUMIFS('DF Calculation'!N:N,'DF Calculation'!B:B,'To Populate Tariff'!A122,'DF Calculation'!C:C,'To Populate Tariff'!B122)</f>
        <v>356.94111247955084</v>
      </c>
      <c r="G122" s="321" t="str">
        <f t="shared" si="7"/>
        <v>ok</v>
      </c>
      <c r="H122" s="307">
        <f>SUMIFS('DF Calculation'!$L:$L,'DF Calculation'!$B:$B,'To Populate Tariff'!$A122,'DF Calculation'!$C:$C,'To Populate Tariff'!$B122)</f>
        <v>357.93</v>
      </c>
      <c r="I122" s="307">
        <f>SUMIFS('DF Calculation'!$M:$M,'DF Calculation'!$B:$B,'To Populate Tariff'!$A122,'DF Calculation'!$C:$C,'To Populate Tariff'!$B122)</f>
        <v>-2.668887520449156</v>
      </c>
      <c r="J122" s="343">
        <f>SUMIFS('DF Calculation'!$O:$O,'DF Calculation'!$B:$B,'To Populate Tariff'!$A122,'DF Calculation'!$C:$C,'To Populate Tariff'!$B122)</f>
        <v>355.26111247955083</v>
      </c>
      <c r="K122" s="321" t="str">
        <f t="shared" si="4"/>
        <v>ok</v>
      </c>
      <c r="N122" s="339">
        <v>356.8733038173566</v>
      </c>
      <c r="O122" s="339">
        <v>355.19330381735659</v>
      </c>
      <c r="P122" s="340">
        <f t="shared" si="5"/>
        <v>6.7808662194238423E-2</v>
      </c>
      <c r="Q122" s="340">
        <f t="shared" si="6"/>
        <v>6.7808662194238423E-2</v>
      </c>
    </row>
    <row r="123" spans="1:17">
      <c r="A123" s="296">
        <v>51</v>
      </c>
      <c r="B123" s="297" t="s">
        <v>215</v>
      </c>
      <c r="C123" s="297" t="str">
        <f>VLOOKUP(B123,Mapping!$D$2:$H$157,5,FALSE)</f>
        <v>4 yard Special and Temporary</v>
      </c>
      <c r="D123" s="307">
        <f>SUMIFS('DF Calculation'!K:K,'DF Calculation'!B:B,'To Populate Tariff'!A123,'DF Calculation'!C:C,'To Populate Tariff'!B123)</f>
        <v>366.19</v>
      </c>
      <c r="E123" s="307">
        <f>SUMIFS('DF Calculation'!M:M,'DF Calculation'!B:B,'To Populate Tariff'!A123,'DF Calculation'!C:C,'To Populate Tariff'!B123)</f>
        <v>-2.668887520449156</v>
      </c>
      <c r="F123" s="343">
        <f>SUMIFS('DF Calculation'!N:N,'DF Calculation'!B:B,'To Populate Tariff'!A123,'DF Calculation'!C:C,'To Populate Tariff'!B123)</f>
        <v>363.52111247955082</v>
      </c>
      <c r="G123" s="321" t="str">
        <f t="shared" si="7"/>
        <v>ok</v>
      </c>
      <c r="H123" s="307">
        <f>SUMIFS('DF Calculation'!$L:$L,'DF Calculation'!$B:$B,'To Populate Tariff'!$A123,'DF Calculation'!$C:$C,'To Populate Tariff'!$B123)</f>
        <v>364.48</v>
      </c>
      <c r="I123" s="307">
        <f>SUMIFS('DF Calculation'!$M:$M,'DF Calculation'!$B:$B,'To Populate Tariff'!$A123,'DF Calculation'!$C:$C,'To Populate Tariff'!$B123)</f>
        <v>-2.668887520449156</v>
      </c>
      <c r="J123" s="343">
        <f>SUMIFS('DF Calculation'!$O:$O,'DF Calculation'!$B:$B,'To Populate Tariff'!$A123,'DF Calculation'!$C:$C,'To Populate Tariff'!$B123)</f>
        <v>361.81111247955084</v>
      </c>
      <c r="K123" s="321" t="str">
        <f t="shared" si="4"/>
        <v>ok</v>
      </c>
      <c r="N123" s="339">
        <v>363.45330381735658</v>
      </c>
      <c r="O123" s="339">
        <v>361.7433038173566</v>
      </c>
      <c r="P123" s="340">
        <f t="shared" si="5"/>
        <v>6.7808662194238423E-2</v>
      </c>
      <c r="Q123" s="340">
        <f t="shared" si="6"/>
        <v>6.7808662194238423E-2</v>
      </c>
    </row>
    <row r="124" spans="1:17">
      <c r="A124" s="296">
        <v>51</v>
      </c>
      <c r="B124" s="297" t="s">
        <v>260</v>
      </c>
      <c r="C124" s="297" t="str">
        <f>VLOOKUP(B124,Mapping!$D$2:$H$157,5,FALSE)</f>
        <v>6 yard Regular</v>
      </c>
      <c r="D124" s="307">
        <f>SUMIFS('DF Calculation'!K:K,'DF Calculation'!B:B,'To Populate Tariff'!A124,'DF Calculation'!C:C,'To Populate Tariff'!B124)</f>
        <v>518.41999999999996</v>
      </c>
      <c r="E124" s="307">
        <f>SUMIFS('DF Calculation'!M:M,'DF Calculation'!B:B,'To Populate Tariff'!A124,'DF Calculation'!C:C,'To Populate Tariff'!B124)</f>
        <v>-3.6572031275322852</v>
      </c>
      <c r="F124" s="343">
        <f>SUMIFS('DF Calculation'!N:N,'DF Calculation'!B:B,'To Populate Tariff'!A124,'DF Calculation'!C:C,'To Populate Tariff'!B124)</f>
        <v>514.76279687246767</v>
      </c>
      <c r="G124" s="321" t="str">
        <f t="shared" si="7"/>
        <v>ok</v>
      </c>
      <c r="H124" s="307">
        <f>SUMIFS('DF Calculation'!$L:$L,'DF Calculation'!$B:$B,'To Populate Tariff'!$A124,'DF Calculation'!$C:$C,'To Populate Tariff'!$B124)</f>
        <v>516.01</v>
      </c>
      <c r="I124" s="307">
        <f>SUMIFS('DF Calculation'!$M:$M,'DF Calculation'!$B:$B,'To Populate Tariff'!$A124,'DF Calculation'!$C:$C,'To Populate Tariff'!$B124)</f>
        <v>-3.6572031275322852</v>
      </c>
      <c r="J124" s="343">
        <f>SUMIFS('DF Calculation'!$O:$O,'DF Calculation'!$B:$B,'To Populate Tariff'!$A124,'DF Calculation'!$C:$C,'To Populate Tariff'!$B124)</f>
        <v>512.35279687246771</v>
      </c>
      <c r="K124" s="321" t="str">
        <f t="shared" si="4"/>
        <v>ok</v>
      </c>
      <c r="N124" s="339">
        <v>514.66987798789478</v>
      </c>
      <c r="O124" s="339">
        <v>512.25987798789481</v>
      </c>
      <c r="P124" s="340">
        <f t="shared" si="5"/>
        <v>9.2918884572895877E-2</v>
      </c>
      <c r="Q124" s="340">
        <f t="shared" si="6"/>
        <v>9.2918884572895877E-2</v>
      </c>
    </row>
    <row r="125" spans="1:17">
      <c r="A125" s="296">
        <v>51</v>
      </c>
      <c r="B125" s="297" t="s">
        <v>296</v>
      </c>
      <c r="C125" s="297" t="str">
        <f>VLOOKUP(B125,Mapping!$D$2:$H$157,5,FALSE)</f>
        <v>6 yard Special and Temporary</v>
      </c>
      <c r="D125" s="307">
        <f>SUMIFS('DF Calculation'!K:K,'DF Calculation'!B:B,'To Populate Tariff'!A125,'DF Calculation'!C:C,'To Populate Tariff'!B125)</f>
        <v>525</v>
      </c>
      <c r="E125" s="307">
        <f>SUMIFS('DF Calculation'!M:M,'DF Calculation'!B:B,'To Populate Tariff'!A125,'DF Calculation'!C:C,'To Populate Tariff'!B125)</f>
        <v>-3.6572031275322856</v>
      </c>
      <c r="F125" s="343">
        <f>SUMIFS('DF Calculation'!N:N,'DF Calculation'!B:B,'To Populate Tariff'!A125,'DF Calculation'!C:C,'To Populate Tariff'!B125)</f>
        <v>521.34279687246772</v>
      </c>
      <c r="G125" s="321" t="str">
        <f t="shared" si="7"/>
        <v>ok</v>
      </c>
      <c r="H125" s="307">
        <f>SUMIFS('DF Calculation'!$L:$L,'DF Calculation'!$B:$B,'To Populate Tariff'!$A125,'DF Calculation'!$C:$C,'To Populate Tariff'!$B125)</f>
        <v>522.54999999999995</v>
      </c>
      <c r="I125" s="307">
        <f>SUMIFS('DF Calculation'!$M:$M,'DF Calculation'!$B:$B,'To Populate Tariff'!$A125,'DF Calculation'!$C:$C,'To Populate Tariff'!$B125)</f>
        <v>-3.6572031275322856</v>
      </c>
      <c r="J125" s="343">
        <f>SUMIFS('DF Calculation'!$O:$O,'DF Calculation'!$B:$B,'To Populate Tariff'!$A125,'DF Calculation'!$C:$C,'To Populate Tariff'!$B125)</f>
        <v>518.89279687246767</v>
      </c>
      <c r="K125" s="321" t="str">
        <f t="shared" si="4"/>
        <v>ok</v>
      </c>
      <c r="N125" s="339">
        <v>521.24987798789482</v>
      </c>
      <c r="O125" s="339">
        <v>518.79987798789477</v>
      </c>
      <c r="P125" s="340">
        <f t="shared" si="5"/>
        <v>9.2918884572895877E-2</v>
      </c>
      <c r="Q125" s="340">
        <f t="shared" si="6"/>
        <v>9.2918884572895877E-2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157"/>
  <sheetViews>
    <sheetView showGridLines="0" view="pageBreakPreview" topLeftCell="B1" zoomScale="85" zoomScaleNormal="85" zoomScaleSheetLayoutView="85" workbookViewId="0">
      <pane ySplit="1" topLeftCell="A29" activePane="bottomLeft" state="frozen"/>
      <selection activeCell="A2" sqref="A2"/>
      <selection pane="bottomLeft" activeCell="A2" sqref="A2"/>
    </sheetView>
  </sheetViews>
  <sheetFormatPr defaultRowHeight="15"/>
  <cols>
    <col min="1" max="1" width="19.7109375" style="125" customWidth="1"/>
    <col min="2" max="2" width="20.7109375" style="125" customWidth="1"/>
    <col min="3" max="4" width="28.140625" style="125" customWidth="1"/>
    <col min="5" max="5" width="24.85546875" style="125" bestFit="1" customWidth="1"/>
    <col min="6" max="6" width="10" style="101" customWidth="1"/>
    <col min="7" max="7" width="12.7109375" style="125" customWidth="1"/>
    <col min="8" max="8" width="31.42578125" style="125" bestFit="1" customWidth="1"/>
    <col min="9" max="9" width="8" style="102" customWidth="1"/>
    <col min="10" max="11" width="11.85546875" style="102" customWidth="1"/>
    <col min="12" max="13" width="11.85546875" style="126" customWidth="1"/>
    <col min="14" max="14" width="8.5703125" style="126" customWidth="1"/>
    <col min="15" max="15" width="15.7109375" style="114" customWidth="1"/>
    <col min="16" max="16" width="20.5703125" style="114" bestFit="1" customWidth="1"/>
    <col min="17" max="17" width="15.42578125" style="114" bestFit="1" customWidth="1"/>
    <col min="18" max="18" width="11" style="114" customWidth="1"/>
    <col min="19" max="19" width="12.42578125" style="114" bestFit="1" customWidth="1"/>
    <col min="20" max="16384" width="9.140625" style="114"/>
  </cols>
  <sheetData>
    <row r="1" spans="1:20" s="130" customFormat="1" ht="35.25" customHeight="1">
      <c r="A1" s="124" t="s">
        <v>262</v>
      </c>
      <c r="B1" s="124" t="s">
        <v>261</v>
      </c>
      <c r="C1" s="124" t="s">
        <v>263</v>
      </c>
      <c r="D1" s="124" t="s">
        <v>298</v>
      </c>
      <c r="E1" s="124" t="s">
        <v>264</v>
      </c>
      <c r="F1" s="127" t="s">
        <v>265</v>
      </c>
      <c r="G1" s="124" t="s">
        <v>299</v>
      </c>
      <c r="H1" s="124" t="s">
        <v>822</v>
      </c>
      <c r="I1" s="128" t="s">
        <v>270</v>
      </c>
      <c r="J1" s="124" t="s">
        <v>267</v>
      </c>
      <c r="K1" s="124" t="s">
        <v>266</v>
      </c>
      <c r="L1" s="129" t="s">
        <v>300</v>
      </c>
      <c r="M1" s="129" t="s">
        <v>301</v>
      </c>
      <c r="N1" s="246"/>
      <c r="O1" s="130" t="s">
        <v>805</v>
      </c>
      <c r="P1" s="223">
        <f>SUM($L$2:$L$498)</f>
        <v>832460.72174202639</v>
      </c>
      <c r="Q1" s="225">
        <f>SUM('Murrey''s Price Out:American Price Out'!AE11:AE33,'Murrey''s Price Out:American Price Out'!AE50,'Murrey''s Price Out:American Price Out'!AE87:AE147,'Murrey''s Price Out:American Price Out'!AE162:AE190,'Murrey''s Price Out:American Price Out'!AE197)-SUM('Murrey''s Price Out:American Price Out'!AE122,'Murrey''s Price Out:American Price Out'!AE143:AE145)</f>
        <v>832460.72174202651</v>
      </c>
      <c r="R1" s="223">
        <f>P1-Q1</f>
        <v>0</v>
      </c>
      <c r="S1" s="226">
        <f>R1/P1</f>
        <v>0</v>
      </c>
      <c r="T1" s="224" t="s">
        <v>806</v>
      </c>
    </row>
    <row r="2" spans="1:20">
      <c r="A2" s="207" t="s">
        <v>105</v>
      </c>
      <c r="B2" s="207" t="s">
        <v>154</v>
      </c>
      <c r="C2" s="207" t="s">
        <v>186</v>
      </c>
      <c r="D2" s="207" t="s">
        <v>186</v>
      </c>
      <c r="E2" s="207" t="s">
        <v>171</v>
      </c>
      <c r="F2" s="208" t="s">
        <v>91</v>
      </c>
      <c r="G2" s="301" t="s">
        <v>91</v>
      </c>
      <c r="H2" s="301" t="str">
        <f>CONCATENATE(E2," ",G2)</f>
        <v>20 Gallon Cart MG</v>
      </c>
      <c r="I2" s="209" t="s">
        <v>271</v>
      </c>
      <c r="J2" s="209">
        <f>References!$C$17</f>
        <v>20</v>
      </c>
      <c r="K2" s="210">
        <f>References!$C$13</f>
        <v>1</v>
      </c>
      <c r="L2" s="211">
        <f>IFERROR((VLOOKUP(C2,'Murrey''s Price Out'!C:AE,29,FALSE)+VLOOKUP(C2,'American Price Out'!C:AE,29,FALSE)),0)</f>
        <v>1052.1617746073919</v>
      </c>
      <c r="M2" s="211">
        <f t="shared" ref="M2:M66" si="0">IF(L2=0,K2*12,K2*L2)</f>
        <v>1052.1617746073919</v>
      </c>
    </row>
    <row r="3" spans="1:20">
      <c r="A3" s="207" t="s">
        <v>105</v>
      </c>
      <c r="B3" s="207" t="s">
        <v>154</v>
      </c>
      <c r="C3" s="207" t="s">
        <v>187</v>
      </c>
      <c r="D3" s="207" t="s">
        <v>187</v>
      </c>
      <c r="E3" s="207" t="s">
        <v>171</v>
      </c>
      <c r="F3" s="208" t="s">
        <v>90</v>
      </c>
      <c r="G3" s="301" t="s">
        <v>90</v>
      </c>
      <c r="H3" s="301" t="str">
        <f t="shared" ref="H3:H65" si="1">CONCATENATE(E3," ",G3)</f>
        <v>20 Gallon Cart WG-NR</v>
      </c>
      <c r="I3" s="209" t="s">
        <v>271</v>
      </c>
      <c r="J3" s="209">
        <f>References!$C$17</f>
        <v>20</v>
      </c>
      <c r="K3" s="210">
        <f>References!$C$11</f>
        <v>4.333333333333333</v>
      </c>
      <c r="L3" s="211">
        <f>IFERROR((VLOOKUP(C3,'Murrey''s Price Out'!C:AE,29,FALSE)+VLOOKUP(C3,'American Price Out'!C:AE,29,FALSE)),0)</f>
        <v>325.53624189686764</v>
      </c>
      <c r="M3" s="211">
        <f t="shared" si="0"/>
        <v>1410.6570482197596</v>
      </c>
      <c r="Q3" s="247" t="s">
        <v>810</v>
      </c>
      <c r="R3" s="247" t="s">
        <v>811</v>
      </c>
      <c r="S3" s="247" t="s">
        <v>839</v>
      </c>
    </row>
    <row r="4" spans="1:20">
      <c r="A4" s="207" t="s">
        <v>105</v>
      </c>
      <c r="B4" s="207" t="s">
        <v>154</v>
      </c>
      <c r="C4" s="207" t="s">
        <v>188</v>
      </c>
      <c r="D4" s="207" t="s">
        <v>188</v>
      </c>
      <c r="E4" s="207" t="s">
        <v>171</v>
      </c>
      <c r="F4" s="208" t="s">
        <v>89</v>
      </c>
      <c r="G4" s="301" t="s">
        <v>89</v>
      </c>
      <c r="H4" s="301" t="str">
        <f t="shared" si="1"/>
        <v>20 Gallon Cart WG-R</v>
      </c>
      <c r="I4" s="209" t="s">
        <v>271</v>
      </c>
      <c r="J4" s="209">
        <f>References!$C$17</f>
        <v>20</v>
      </c>
      <c r="K4" s="210">
        <f>References!$C$11</f>
        <v>4.333333333333333</v>
      </c>
      <c r="L4" s="211">
        <f>IFERROR((VLOOKUP(C4,'Murrey''s Price Out'!C:AE,29,FALSE)+VLOOKUP(C4,'American Price Out'!C:AE,29,FALSE)),0)</f>
        <v>35578.228409032672</v>
      </c>
      <c r="M4" s="211">
        <f t="shared" si="0"/>
        <v>154172.32310580823</v>
      </c>
      <c r="O4" s="209"/>
      <c r="P4" s="257" t="s">
        <v>105</v>
      </c>
      <c r="Q4" s="110">
        <f>SUMIF(A:A,P4,L:L)</f>
        <v>726076.40249483055</v>
      </c>
      <c r="R4" s="110">
        <f>Q4/12</f>
        <v>60506.366874569212</v>
      </c>
      <c r="S4" s="110">
        <f>SUM('Murrey''s Price Out'!AE11:AE33,'Murrey''s Price Out'!AE43,'Murrey''s Price Out'!AE50,'American Price Out'!AE11:AE33,'American Price Out'!AE50)</f>
        <v>726083.40249483043</v>
      </c>
      <c r="T4" s="110">
        <f>Q4-S4</f>
        <v>-6.9999999998835847</v>
      </c>
    </row>
    <row r="5" spans="1:20">
      <c r="A5" s="207" t="s">
        <v>105</v>
      </c>
      <c r="B5" s="207" t="s">
        <v>154</v>
      </c>
      <c r="C5" s="207" t="s">
        <v>189</v>
      </c>
      <c r="D5" s="207" t="s">
        <v>189</v>
      </c>
      <c r="E5" s="207" t="s">
        <v>172</v>
      </c>
      <c r="F5" s="208" t="s">
        <v>91</v>
      </c>
      <c r="G5" s="301" t="s">
        <v>91</v>
      </c>
      <c r="H5" s="301" t="str">
        <f t="shared" si="1"/>
        <v>35 Gallon Cart MG</v>
      </c>
      <c r="I5" s="209" t="s">
        <v>272</v>
      </c>
      <c r="J5" s="209">
        <f>References!$C$18</f>
        <v>34</v>
      </c>
      <c r="K5" s="210">
        <f>References!$C$13</f>
        <v>1</v>
      </c>
      <c r="L5" s="211">
        <f>IFERROR((VLOOKUP(C5,'Murrey''s Price Out'!C:AE,29,FALSE)+VLOOKUP(C5,'American Price Out'!C:AE,29,FALSE)),0)</f>
        <v>7061.7658081380496</v>
      </c>
      <c r="M5" s="211">
        <f t="shared" si="0"/>
        <v>7061.7658081380496</v>
      </c>
      <c r="O5" s="204"/>
      <c r="P5" s="258" t="s">
        <v>247</v>
      </c>
      <c r="Q5" s="110">
        <f>SUMIF(A:A,P5,L:L)</f>
        <v>75883.621050623755</v>
      </c>
      <c r="R5" s="110">
        <f t="shared" ref="R5:R6" si="2">Q5/12</f>
        <v>6323.6350875519793</v>
      </c>
      <c r="S5" s="110">
        <f>SUM('Murrey''s Price Out'!AE162:AE190,'Murrey''s Price Out'!AE197,'American Price Out'!AE162:AE190,'American Price Out'!AE197)</f>
        <v>75883.621050623769</v>
      </c>
      <c r="T5" s="110">
        <f>Q5-S5</f>
        <v>0</v>
      </c>
    </row>
    <row r="6" spans="1:20">
      <c r="A6" s="207" t="s">
        <v>105</v>
      </c>
      <c r="B6" s="207" t="s">
        <v>154</v>
      </c>
      <c r="C6" s="207" t="s">
        <v>190</v>
      </c>
      <c r="D6" s="207" t="s">
        <v>190</v>
      </c>
      <c r="E6" s="207" t="s">
        <v>172</v>
      </c>
      <c r="F6" s="208" t="s">
        <v>90</v>
      </c>
      <c r="G6" s="301" t="s">
        <v>90</v>
      </c>
      <c r="H6" s="301" t="str">
        <f t="shared" si="1"/>
        <v>35 Gallon Cart WG-NR</v>
      </c>
      <c r="I6" s="209" t="s">
        <v>272</v>
      </c>
      <c r="J6" s="209">
        <f>References!$C$18</f>
        <v>34</v>
      </c>
      <c r="K6" s="210">
        <f>References!$C$11</f>
        <v>4.333333333333333</v>
      </c>
      <c r="L6" s="211">
        <f>IFERROR((VLOOKUP(C6,'Murrey''s Price Out'!C:AE,29,FALSE)+VLOOKUP(C6,'American Price Out'!C:AE,29,FALSE)),0)</f>
        <v>4938.0163500252911</v>
      </c>
      <c r="M6" s="211">
        <f t="shared" si="0"/>
        <v>21398.070850109594</v>
      </c>
      <c r="O6" s="195"/>
      <c r="P6" s="259" t="s">
        <v>147</v>
      </c>
      <c r="Q6" s="220">
        <f>SUMIF(A:A,P6,L:L)</f>
        <v>30500.698196572288</v>
      </c>
      <c r="R6" s="110">
        <f t="shared" si="2"/>
        <v>2541.7248497143573</v>
      </c>
      <c r="S6" s="220">
        <f>SUM('Murrey''s Price Out'!AE87:AE121,'Murrey''s Price Out'!AE123:AE142,'Murrey''s Price Out'!AE146:AE147,'American Price Out'!AE87:AE121,'American Price Out'!AE123:AE142,'American Price Out'!AE146:AE147)</f>
        <v>30500.698196572292</v>
      </c>
      <c r="T6" s="330">
        <f>Q6-S6</f>
        <v>0</v>
      </c>
    </row>
    <row r="7" spans="1:20">
      <c r="A7" s="207" t="s">
        <v>105</v>
      </c>
      <c r="B7" s="207" t="s">
        <v>154</v>
      </c>
      <c r="C7" s="207" t="s">
        <v>191</v>
      </c>
      <c r="D7" s="207" t="s">
        <v>191</v>
      </c>
      <c r="E7" s="207" t="s">
        <v>172</v>
      </c>
      <c r="F7" s="208" t="s">
        <v>89</v>
      </c>
      <c r="G7" s="301" t="s">
        <v>89</v>
      </c>
      <c r="H7" s="301" t="str">
        <f t="shared" si="1"/>
        <v>35 Gallon Cart WG-R</v>
      </c>
      <c r="I7" s="209" t="s">
        <v>272</v>
      </c>
      <c r="J7" s="209">
        <f>References!$C$18</f>
        <v>34</v>
      </c>
      <c r="K7" s="210">
        <f>References!$C$11</f>
        <v>4.333333333333333</v>
      </c>
      <c r="L7" s="211">
        <f>IFERROR((VLOOKUP(C7,'Murrey''s Price Out'!C:AE,29,FALSE)+VLOOKUP(C7,'American Price Out'!C:AE,29,FALSE)),0)</f>
        <v>405504.87210442196</v>
      </c>
      <c r="M7" s="211">
        <f t="shared" si="0"/>
        <v>1757187.7791191617</v>
      </c>
      <c r="Q7" s="324">
        <f>SUM(Q4:Q6)</f>
        <v>832460.72174202651</v>
      </c>
      <c r="S7" s="324">
        <f>SUM(S4:S6)</f>
        <v>832467.72174202651</v>
      </c>
    </row>
    <row r="8" spans="1:20">
      <c r="A8" s="207" t="s">
        <v>105</v>
      </c>
      <c r="B8" s="207" t="s">
        <v>154</v>
      </c>
      <c r="C8" s="207" t="s">
        <v>192</v>
      </c>
      <c r="D8" s="207" t="s">
        <v>192</v>
      </c>
      <c r="E8" s="207" t="s">
        <v>175</v>
      </c>
      <c r="F8" s="208" t="s">
        <v>91</v>
      </c>
      <c r="G8" s="301" t="s">
        <v>91</v>
      </c>
      <c r="H8" s="301" t="str">
        <f t="shared" si="1"/>
        <v>65 Gallon Cart  MG</v>
      </c>
      <c r="I8" s="209" t="s">
        <v>273</v>
      </c>
      <c r="J8" s="209">
        <f>References!$C$25</f>
        <v>47</v>
      </c>
      <c r="K8" s="210">
        <f>References!$C$13</f>
        <v>1</v>
      </c>
      <c r="L8" s="211">
        <f>IFERROR((VLOOKUP(C8,'Murrey''s Price Out'!C:AE,29,FALSE)+VLOOKUP(C8,'American Price Out'!C:AE,29,FALSE)),0)</f>
        <v>539.09676910576877</v>
      </c>
      <c r="M8" s="211">
        <f t="shared" si="0"/>
        <v>539.09676910576877</v>
      </c>
    </row>
    <row r="9" spans="1:20" ht="47.25" customHeight="1">
      <c r="A9" s="207" t="s">
        <v>105</v>
      </c>
      <c r="B9" s="207" t="s">
        <v>154</v>
      </c>
      <c r="C9" s="207" t="s">
        <v>193</v>
      </c>
      <c r="D9" s="207" t="s">
        <v>193</v>
      </c>
      <c r="E9" s="207" t="s">
        <v>173</v>
      </c>
      <c r="F9" s="208" t="s">
        <v>90</v>
      </c>
      <c r="G9" s="301" t="s">
        <v>90</v>
      </c>
      <c r="H9" s="301" t="str">
        <f t="shared" si="1"/>
        <v>65 Gallon Cart WG-NR</v>
      </c>
      <c r="I9" s="209" t="s">
        <v>273</v>
      </c>
      <c r="J9" s="209">
        <f>References!$C$25</f>
        <v>47</v>
      </c>
      <c r="K9" s="210">
        <f>References!$C$11</f>
        <v>4.333333333333333</v>
      </c>
      <c r="L9" s="211">
        <f>IFERROR((VLOOKUP(C9,'Murrey''s Price Out'!C:AE,29,FALSE)+VLOOKUP(C9,'American Price Out'!C:AE,29,FALSE)),0)</f>
        <v>2093.6686231624776</v>
      </c>
      <c r="M9" s="211">
        <f t="shared" si="0"/>
        <v>9072.5640337040695</v>
      </c>
      <c r="Q9" s="326" t="s">
        <v>843</v>
      </c>
      <c r="R9" s="326" t="s">
        <v>840</v>
      </c>
      <c r="S9" s="326" t="s">
        <v>841</v>
      </c>
      <c r="T9" s="326" t="s">
        <v>842</v>
      </c>
    </row>
    <row r="10" spans="1:20">
      <c r="A10" s="207" t="s">
        <v>105</v>
      </c>
      <c r="B10" s="207" t="s">
        <v>154</v>
      </c>
      <c r="C10" s="207" t="s">
        <v>194</v>
      </c>
      <c r="D10" s="207" t="s">
        <v>194</v>
      </c>
      <c r="E10" s="207" t="s">
        <v>173</v>
      </c>
      <c r="F10" s="208" t="s">
        <v>89</v>
      </c>
      <c r="G10" s="301" t="s">
        <v>89</v>
      </c>
      <c r="H10" s="301" t="str">
        <f t="shared" si="1"/>
        <v>65 Gallon Cart WG-R</v>
      </c>
      <c r="I10" s="209" t="s">
        <v>273</v>
      </c>
      <c r="J10" s="209">
        <f>References!$C$25</f>
        <v>47</v>
      </c>
      <c r="K10" s="210">
        <f>References!$C$11</f>
        <v>4.333333333333333</v>
      </c>
      <c r="L10" s="211">
        <f>IFERROR((VLOOKUP(C10,'Murrey''s Price Out'!C:AE,29,FALSE)+VLOOKUP(C10,'American Price Out'!C:AE,29,FALSE)),0)</f>
        <v>185820.13203456718</v>
      </c>
      <c r="M10" s="211">
        <f t="shared" si="0"/>
        <v>805220.57214979106</v>
      </c>
      <c r="O10" s="209"/>
      <c r="P10" s="257" t="s">
        <v>105</v>
      </c>
      <c r="Q10" s="327">
        <f>'DF Calculation'!E20</f>
        <v>2922232.6657992755</v>
      </c>
      <c r="R10" s="324">
        <f>SUM(M2:M18)</f>
        <v>2922280.6657992755</v>
      </c>
      <c r="S10" s="324">
        <f>SUM(M14:M17)</f>
        <v>48</v>
      </c>
      <c r="T10" s="324">
        <f>Q10-R10+S10</f>
        <v>0</v>
      </c>
    </row>
    <row r="11" spans="1:20">
      <c r="A11" s="207" t="s">
        <v>105</v>
      </c>
      <c r="B11" s="207" t="s">
        <v>154</v>
      </c>
      <c r="C11" s="207" t="s">
        <v>195</v>
      </c>
      <c r="D11" s="207" t="s">
        <v>195</v>
      </c>
      <c r="E11" s="207" t="s">
        <v>174</v>
      </c>
      <c r="F11" s="208" t="s">
        <v>91</v>
      </c>
      <c r="G11" s="301" t="s">
        <v>91</v>
      </c>
      <c r="H11" s="301" t="str">
        <f t="shared" si="1"/>
        <v>95 Gallon Cart MG</v>
      </c>
      <c r="I11" s="209" t="s">
        <v>274</v>
      </c>
      <c r="J11" s="209">
        <f>References!$C$26</f>
        <v>68</v>
      </c>
      <c r="K11" s="210">
        <f>References!$C$13</f>
        <v>1</v>
      </c>
      <c r="L11" s="211">
        <f>IFERROR((VLOOKUP(C11,'Murrey''s Price Out'!C:AE,29,FALSE)+VLOOKUP(C11,'American Price Out'!C:AE,29,FALSE)),0)</f>
        <v>62.452945164061695</v>
      </c>
      <c r="M11" s="211">
        <f t="shared" si="0"/>
        <v>62.452945164061695</v>
      </c>
      <c r="O11" s="204"/>
      <c r="P11" s="258" t="s">
        <v>247</v>
      </c>
      <c r="Q11" s="327">
        <f>'DF Calculation'!E41</f>
        <v>138245.27911767727</v>
      </c>
      <c r="R11" s="324">
        <f>SUM(M19:M57)</f>
        <v>138448.72227579157</v>
      </c>
      <c r="S11" s="324">
        <f>SUM(M19:M20,M27:M30,M32,M39,M51:M52,M57)</f>
        <v>212</v>
      </c>
      <c r="T11" s="324">
        <f>Q11-R11+S11</f>
        <v>8.5568418857001234</v>
      </c>
    </row>
    <row r="12" spans="1:20">
      <c r="A12" s="207" t="s">
        <v>105</v>
      </c>
      <c r="B12" s="207" t="s">
        <v>154</v>
      </c>
      <c r="C12" s="207" t="s">
        <v>196</v>
      </c>
      <c r="D12" s="207" t="s">
        <v>196</v>
      </c>
      <c r="E12" s="207" t="s">
        <v>174</v>
      </c>
      <c r="F12" s="208" t="s">
        <v>90</v>
      </c>
      <c r="G12" s="301" t="s">
        <v>90</v>
      </c>
      <c r="H12" s="301" t="str">
        <f t="shared" si="1"/>
        <v>95 Gallon Cart WG-NR</v>
      </c>
      <c r="I12" s="209" t="s">
        <v>274</v>
      </c>
      <c r="J12" s="209">
        <f>References!$C$26</f>
        <v>68</v>
      </c>
      <c r="K12" s="210">
        <f>References!$C$11</f>
        <v>4.333333333333333</v>
      </c>
      <c r="L12" s="211">
        <f>IFERROR((VLOOKUP(C12,'Murrey''s Price Out'!C:AE,29,FALSE)+VLOOKUP(C12,'American Price Out'!C:AE,29,FALSE)),0)</f>
        <v>192.83752969164948</v>
      </c>
      <c r="M12" s="211">
        <f t="shared" si="0"/>
        <v>835.629295330481</v>
      </c>
      <c r="O12" s="195"/>
      <c r="P12" s="259" t="s">
        <v>147</v>
      </c>
      <c r="Q12" s="328">
        <f>'DF Calculation'!E68</f>
        <v>120536.56230358045</v>
      </c>
      <c r="R12" s="329">
        <f>SUM(M58:M133)</f>
        <v>121102.56230358046</v>
      </c>
      <c r="S12" s="324">
        <f>SUM(M59:M60,M71,M90,M97,M98,M100,M102,M104,M108,M110:M119,M121:M124,M126,M128,M132:M133)</f>
        <v>656</v>
      </c>
      <c r="T12" s="324">
        <f>Q12-R12+S12</f>
        <v>89.999999999985448</v>
      </c>
    </row>
    <row r="13" spans="1:20">
      <c r="A13" s="207" t="s">
        <v>105</v>
      </c>
      <c r="B13" s="207" t="s">
        <v>154</v>
      </c>
      <c r="C13" s="207" t="s">
        <v>197</v>
      </c>
      <c r="D13" s="207" t="s">
        <v>197</v>
      </c>
      <c r="E13" s="207" t="s">
        <v>174</v>
      </c>
      <c r="F13" s="208" t="s">
        <v>89</v>
      </c>
      <c r="G13" s="301" t="s">
        <v>89</v>
      </c>
      <c r="H13" s="301" t="str">
        <f t="shared" si="1"/>
        <v>95 Gallon Cart WG-R</v>
      </c>
      <c r="I13" s="209" t="s">
        <v>274</v>
      </c>
      <c r="J13" s="209">
        <f>References!$C$26</f>
        <v>68</v>
      </c>
      <c r="K13" s="210">
        <f>References!$C$11</f>
        <v>4.333333333333333</v>
      </c>
      <c r="L13" s="211">
        <f>IFERROR((VLOOKUP(C13,'Murrey''s Price Out'!C:AE,29,FALSE)+VLOOKUP(C13,'American Price Out'!C:AE,29,FALSE)),0)</f>
        <v>24393.587698535455</v>
      </c>
      <c r="M13" s="211">
        <f t="shared" si="0"/>
        <v>105705.54669365364</v>
      </c>
      <c r="Q13" s="327">
        <f>SUM(Q10:Q12)</f>
        <v>3181014.5072205332</v>
      </c>
      <c r="R13" s="327">
        <f>SUM(R10:R12)</f>
        <v>3181831.9503786475</v>
      </c>
    </row>
    <row r="14" spans="1:20">
      <c r="A14" s="207" t="s">
        <v>105</v>
      </c>
      <c r="B14" s="207" t="s">
        <v>155</v>
      </c>
      <c r="C14" s="207" t="s">
        <v>283</v>
      </c>
      <c r="D14" s="207" t="s">
        <v>283</v>
      </c>
      <c r="E14" s="207" t="s">
        <v>826</v>
      </c>
      <c r="F14" s="208" t="s">
        <v>93</v>
      </c>
      <c r="G14" s="207" t="s">
        <v>94</v>
      </c>
      <c r="H14" s="301" t="str">
        <f t="shared" si="1"/>
        <v>20 Gallon Cart  On Call</v>
      </c>
      <c r="I14" s="209" t="s">
        <v>271</v>
      </c>
      <c r="J14" s="209">
        <f>References!$C$17</f>
        <v>20</v>
      </c>
      <c r="K14" s="210">
        <f>References!$C$14</f>
        <v>1</v>
      </c>
      <c r="L14" s="211">
        <f>IFERROR((VLOOKUP(C14,'Murrey''s Price Out'!C:AE,29,FALSE)+VLOOKUP(C14,'American Price Out'!C:AE,29,FALSE)),0)</f>
        <v>0</v>
      </c>
      <c r="M14" s="211">
        <f t="shared" si="0"/>
        <v>12</v>
      </c>
    </row>
    <row r="15" spans="1:20">
      <c r="A15" s="207" t="s">
        <v>105</v>
      </c>
      <c r="B15" s="207" t="s">
        <v>155</v>
      </c>
      <c r="C15" s="207" t="s">
        <v>282</v>
      </c>
      <c r="D15" s="207" t="s">
        <v>282</v>
      </c>
      <c r="E15" s="207" t="s">
        <v>172</v>
      </c>
      <c r="F15" s="208" t="s">
        <v>93</v>
      </c>
      <c r="G15" s="207" t="s">
        <v>94</v>
      </c>
      <c r="H15" s="301" t="str">
        <f t="shared" si="1"/>
        <v>35 Gallon Cart On Call</v>
      </c>
      <c r="I15" s="209" t="s">
        <v>272</v>
      </c>
      <c r="J15" s="209">
        <f>References!$C$18</f>
        <v>34</v>
      </c>
      <c r="K15" s="210">
        <f>References!$C$14</f>
        <v>1</v>
      </c>
      <c r="L15" s="211">
        <f>IFERROR((VLOOKUP(C15,'Murrey''s Price Out'!C:AE,29,FALSE)+VLOOKUP(C15,'American Price Out'!C:AE,29,FALSE)),0)</f>
        <v>0</v>
      </c>
      <c r="M15" s="211">
        <f t="shared" si="0"/>
        <v>12</v>
      </c>
    </row>
    <row r="16" spans="1:20">
      <c r="A16" s="207" t="s">
        <v>105</v>
      </c>
      <c r="B16" s="207" t="s">
        <v>155</v>
      </c>
      <c r="C16" s="207" t="s">
        <v>284</v>
      </c>
      <c r="D16" s="207" t="s">
        <v>284</v>
      </c>
      <c r="E16" s="207" t="s">
        <v>173</v>
      </c>
      <c r="F16" s="208" t="s">
        <v>93</v>
      </c>
      <c r="G16" s="207" t="s">
        <v>94</v>
      </c>
      <c r="H16" s="301" t="str">
        <f t="shared" si="1"/>
        <v>65 Gallon Cart On Call</v>
      </c>
      <c r="I16" s="209" t="s">
        <v>273</v>
      </c>
      <c r="J16" s="209">
        <f>References!$C$25</f>
        <v>47</v>
      </c>
      <c r="K16" s="210">
        <f>References!$C$14</f>
        <v>1</v>
      </c>
      <c r="L16" s="211">
        <f>IFERROR((VLOOKUP(C16,'Murrey''s Price Out'!C:AE,29,FALSE)+VLOOKUP(C16,'American Price Out'!C:AE,29,FALSE)),0)</f>
        <v>0</v>
      </c>
      <c r="M16" s="211">
        <f t="shared" si="0"/>
        <v>12</v>
      </c>
    </row>
    <row r="17" spans="1:13">
      <c r="A17" s="207" t="s">
        <v>105</v>
      </c>
      <c r="B17" s="207" t="s">
        <v>155</v>
      </c>
      <c r="C17" s="207" t="s">
        <v>285</v>
      </c>
      <c r="D17" s="207" t="s">
        <v>285</v>
      </c>
      <c r="E17" s="207" t="s">
        <v>174</v>
      </c>
      <c r="F17" s="208" t="s">
        <v>93</v>
      </c>
      <c r="G17" s="207" t="s">
        <v>94</v>
      </c>
      <c r="H17" s="301" t="str">
        <f t="shared" si="1"/>
        <v>95 Gallon Cart On Call</v>
      </c>
      <c r="I17" s="209" t="s">
        <v>274</v>
      </c>
      <c r="J17" s="209">
        <f>References!$C$26</f>
        <v>68</v>
      </c>
      <c r="K17" s="210">
        <f>References!$C$14</f>
        <v>1</v>
      </c>
      <c r="L17" s="211">
        <f>IFERROR((VLOOKUP(C17,'Murrey''s Price Out'!C:AE,29,FALSE)+VLOOKUP(C17,'American Price Out'!C:AE,29,FALSE)),0)</f>
        <v>0</v>
      </c>
      <c r="M17" s="211">
        <f t="shared" si="0"/>
        <v>12</v>
      </c>
    </row>
    <row r="18" spans="1:13">
      <c r="A18" s="207" t="s">
        <v>105</v>
      </c>
      <c r="B18" s="207" t="s">
        <v>155</v>
      </c>
      <c r="C18" s="207" t="s">
        <v>106</v>
      </c>
      <c r="D18" s="207" t="s">
        <v>106</v>
      </c>
      <c r="E18" s="207" t="s">
        <v>92</v>
      </c>
      <c r="F18" s="208" t="s">
        <v>93</v>
      </c>
      <c r="G18" s="207" t="s">
        <v>269</v>
      </c>
      <c r="H18" s="301" t="str">
        <f t="shared" si="1"/>
        <v>Extra Units Extra</v>
      </c>
      <c r="I18" s="209" t="s">
        <v>272</v>
      </c>
      <c r="J18" s="209">
        <f>References!$C$28</f>
        <v>34</v>
      </c>
      <c r="K18" s="210">
        <f>References!$C$14</f>
        <v>1</v>
      </c>
      <c r="L18" s="211">
        <f>IFERROR((VLOOKUP(C18,'Murrey''s Price Out'!C:AE,29,FALSE)+VLOOKUP(C18,'American Price Out'!C:AE,29,FALSE)),0)</f>
        <v>58514.046206481697</v>
      </c>
      <c r="M18" s="211">
        <f t="shared" si="0"/>
        <v>58514.046206481697</v>
      </c>
    </row>
    <row r="19" spans="1:13">
      <c r="A19" s="202" t="s">
        <v>247</v>
      </c>
      <c r="B19" s="202" t="s">
        <v>95</v>
      </c>
      <c r="C19" s="202" t="s">
        <v>254</v>
      </c>
      <c r="D19" s="202" t="s">
        <v>254</v>
      </c>
      <c r="E19" s="202" t="s">
        <v>171</v>
      </c>
      <c r="F19" s="203" t="s">
        <v>89</v>
      </c>
      <c r="G19" s="203" t="s">
        <v>89</v>
      </c>
      <c r="H19" s="202" t="str">
        <f t="shared" si="1"/>
        <v>20 Gallon Cart WG-R</v>
      </c>
      <c r="I19" s="204" t="s">
        <v>271</v>
      </c>
      <c r="J19" s="204">
        <f>References!$C$17</f>
        <v>20</v>
      </c>
      <c r="K19" s="205">
        <f>References!$C$11</f>
        <v>4.333333333333333</v>
      </c>
      <c r="L19" s="206">
        <f>IFERROR(VLOOKUP(C19,'Murrey''s Price Out'!$C$162:$AE$197,29,FALSE)+VLOOKUP(C19,'American Price Out'!$C$162:$AE$197,29,FALSE),0)</f>
        <v>0</v>
      </c>
      <c r="M19" s="206">
        <f t="shared" si="0"/>
        <v>52</v>
      </c>
    </row>
    <row r="20" spans="1:13">
      <c r="A20" s="202" t="s">
        <v>247</v>
      </c>
      <c r="B20" s="202" t="s">
        <v>95</v>
      </c>
      <c r="C20" s="202" t="s">
        <v>255</v>
      </c>
      <c r="D20" s="202" t="s">
        <v>255</v>
      </c>
      <c r="E20" s="202" t="s">
        <v>171</v>
      </c>
      <c r="F20" s="203" t="s">
        <v>90</v>
      </c>
      <c r="G20" s="203" t="s">
        <v>90</v>
      </c>
      <c r="H20" s="202" t="str">
        <f t="shared" si="1"/>
        <v>20 Gallon Cart WG-NR</v>
      </c>
      <c r="I20" s="204" t="s">
        <v>271</v>
      </c>
      <c r="J20" s="204">
        <f>References!$C$17</f>
        <v>20</v>
      </c>
      <c r="K20" s="205">
        <f>References!$C$11</f>
        <v>4.333333333333333</v>
      </c>
      <c r="L20" s="206">
        <f>IFERROR(VLOOKUP(C20,'Murrey''s Price Out'!$C$162:$AE$197,29,FALSE)+VLOOKUP(C20,'American Price Out'!$C$162:$AE$197,29,FALSE),0)</f>
        <v>0</v>
      </c>
      <c r="M20" s="206">
        <f t="shared" si="0"/>
        <v>52</v>
      </c>
    </row>
    <row r="21" spans="1:13">
      <c r="A21" s="202" t="s">
        <v>247</v>
      </c>
      <c r="B21" s="202" t="s">
        <v>95</v>
      </c>
      <c r="C21" s="202" t="s">
        <v>228</v>
      </c>
      <c r="D21" s="202" t="s">
        <v>228</v>
      </c>
      <c r="E21" s="202" t="s">
        <v>172</v>
      </c>
      <c r="F21" s="203" t="s">
        <v>89</v>
      </c>
      <c r="G21" s="203" t="s">
        <v>89</v>
      </c>
      <c r="H21" s="202" t="str">
        <f t="shared" si="1"/>
        <v>35 Gallon Cart WG-R</v>
      </c>
      <c r="I21" s="204" t="s">
        <v>272</v>
      </c>
      <c r="J21" s="204">
        <f>References!$C$18</f>
        <v>34</v>
      </c>
      <c r="K21" s="205">
        <f>References!$C$11</f>
        <v>4.333333333333333</v>
      </c>
      <c r="L21" s="206">
        <f>IFERROR(VLOOKUP(C21,'Murrey''s Price Out'!$C$162:$AE$197,29,FALSE)+VLOOKUP(C21,'American Price Out'!$C$162:$AE$197,29,FALSE),0)</f>
        <v>7823.0775481780665</v>
      </c>
      <c r="M21" s="206">
        <f t="shared" si="0"/>
        <v>33900.002708771623</v>
      </c>
    </row>
    <row r="22" spans="1:13">
      <c r="A22" s="202" t="s">
        <v>247</v>
      </c>
      <c r="B22" s="202" t="s">
        <v>95</v>
      </c>
      <c r="C22" s="202" t="s">
        <v>229</v>
      </c>
      <c r="D22" s="202" t="s">
        <v>229</v>
      </c>
      <c r="E22" s="202" t="s">
        <v>172</v>
      </c>
      <c r="F22" s="203" t="s">
        <v>90</v>
      </c>
      <c r="G22" s="203" t="s">
        <v>90</v>
      </c>
      <c r="H22" s="202" t="str">
        <f t="shared" si="1"/>
        <v>35 Gallon Cart WG-NR</v>
      </c>
      <c r="I22" s="204" t="s">
        <v>272</v>
      </c>
      <c r="J22" s="204">
        <f>References!$C$18</f>
        <v>34</v>
      </c>
      <c r="K22" s="205">
        <f>References!$C$11</f>
        <v>4.333333333333333</v>
      </c>
      <c r="L22" s="206">
        <f>IFERROR(VLOOKUP(C22,'Murrey''s Price Out'!$C$162:$AE$197,29,FALSE)+VLOOKUP(C22,'American Price Out'!$C$162:$AE$197,29,FALSE),0)</f>
        <v>61.435626456970262</v>
      </c>
      <c r="M22" s="206">
        <f t="shared" si="0"/>
        <v>266.22104798020445</v>
      </c>
    </row>
    <row r="23" spans="1:13">
      <c r="A23" s="202" t="s">
        <v>247</v>
      </c>
      <c r="B23" s="202" t="s">
        <v>95</v>
      </c>
      <c r="C23" s="202" t="s">
        <v>230</v>
      </c>
      <c r="D23" s="202" t="s">
        <v>230</v>
      </c>
      <c r="E23" s="202" t="s">
        <v>173</v>
      </c>
      <c r="F23" s="203" t="s">
        <v>89</v>
      </c>
      <c r="G23" s="203" t="s">
        <v>89</v>
      </c>
      <c r="H23" s="202" t="str">
        <f t="shared" si="1"/>
        <v>65 Gallon Cart WG-R</v>
      </c>
      <c r="I23" s="204" t="s">
        <v>273</v>
      </c>
      <c r="J23" s="204">
        <f>References!$C$25</f>
        <v>47</v>
      </c>
      <c r="K23" s="205">
        <f>References!$C$11</f>
        <v>4.333333333333333</v>
      </c>
      <c r="L23" s="206">
        <f>IFERROR(VLOOKUP(C23,'Murrey''s Price Out'!$C$162:$AE$197,29,FALSE)+VLOOKUP(C23,'American Price Out'!$C$162:$AE$197,29,FALSE),0)</f>
        <v>2004.9834023790402</v>
      </c>
      <c r="M23" s="206">
        <f t="shared" si="0"/>
        <v>8688.2614103091728</v>
      </c>
    </row>
    <row r="24" spans="1:13">
      <c r="A24" s="202" t="s">
        <v>247</v>
      </c>
      <c r="B24" s="202" t="s">
        <v>95</v>
      </c>
      <c r="C24" s="202" t="s">
        <v>231</v>
      </c>
      <c r="D24" s="202" t="s">
        <v>231</v>
      </c>
      <c r="E24" s="202" t="s">
        <v>173</v>
      </c>
      <c r="F24" s="203" t="s">
        <v>90</v>
      </c>
      <c r="G24" s="203" t="s">
        <v>90</v>
      </c>
      <c r="H24" s="202" t="str">
        <f t="shared" si="1"/>
        <v>65 Gallon Cart WG-NR</v>
      </c>
      <c r="I24" s="204" t="s">
        <v>273</v>
      </c>
      <c r="J24" s="204">
        <f>References!$C$25</f>
        <v>47</v>
      </c>
      <c r="K24" s="205">
        <f>References!$C$11</f>
        <v>4.333333333333333</v>
      </c>
      <c r="L24" s="252">
        <f>IFERROR(VLOOKUP(C24,'Murrey''s Price Out'!$C$162:$AE$197,29,FALSE)+VLOOKUP(C24,'American Price Out'!$C$162:$AE$197,29,FALSE),0)</f>
        <v>-1.9746558197747177</v>
      </c>
      <c r="M24" s="252">
        <f t="shared" si="0"/>
        <v>-8.5568418856904422</v>
      </c>
    </row>
    <row r="25" spans="1:13">
      <c r="A25" s="202" t="s">
        <v>247</v>
      </c>
      <c r="B25" s="202" t="s">
        <v>95</v>
      </c>
      <c r="C25" s="202" t="s">
        <v>232</v>
      </c>
      <c r="D25" s="202" t="s">
        <v>232</v>
      </c>
      <c r="E25" s="202" t="s">
        <v>174</v>
      </c>
      <c r="F25" s="203" t="s">
        <v>89</v>
      </c>
      <c r="G25" s="203" t="s">
        <v>89</v>
      </c>
      <c r="H25" s="202" t="str">
        <f t="shared" si="1"/>
        <v>95 Gallon Cart WG-R</v>
      </c>
      <c r="I25" s="204" t="s">
        <v>274</v>
      </c>
      <c r="J25" s="204">
        <f>References!$C$26</f>
        <v>68</v>
      </c>
      <c r="K25" s="205">
        <f>References!$C$11</f>
        <v>4.333333333333333</v>
      </c>
      <c r="L25" s="206">
        <f>IFERROR(VLOOKUP(C25,'Murrey''s Price Out'!$C$162:$AE$197,29,FALSE)+VLOOKUP(C25,'American Price Out'!$C$162:$AE$197,29,FALSE),0)</f>
        <v>626.55706031221393</v>
      </c>
      <c r="M25" s="206">
        <f t="shared" si="0"/>
        <v>2715.0805946862602</v>
      </c>
    </row>
    <row r="26" spans="1:13">
      <c r="A26" s="202" t="s">
        <v>247</v>
      </c>
      <c r="B26" s="202" t="s">
        <v>95</v>
      </c>
      <c r="C26" s="202" t="s">
        <v>233</v>
      </c>
      <c r="D26" s="202" t="s">
        <v>233</v>
      </c>
      <c r="E26" s="202" t="s">
        <v>174</v>
      </c>
      <c r="F26" s="203" t="s">
        <v>90</v>
      </c>
      <c r="G26" s="203" t="s">
        <v>90</v>
      </c>
      <c r="H26" s="202" t="str">
        <f t="shared" si="1"/>
        <v>95 Gallon Cart WG-NR</v>
      </c>
      <c r="I26" s="204" t="s">
        <v>274</v>
      </c>
      <c r="J26" s="204">
        <f>References!$C$26</f>
        <v>68</v>
      </c>
      <c r="K26" s="205">
        <f>References!$C$11</f>
        <v>4.333333333333333</v>
      </c>
      <c r="L26" s="206">
        <f>IFERROR(VLOOKUP(C26,'Murrey''s Price Out'!$C$162:$AE$197,29,FALSE)+VLOOKUP(C26,'American Price Out'!$C$162:$AE$197,29,FALSE),0)</f>
        <v>18.429846184114801</v>
      </c>
      <c r="M26" s="206">
        <f t="shared" si="0"/>
        <v>79.862666797830798</v>
      </c>
    </row>
    <row r="27" spans="1:13">
      <c r="A27" s="202" t="s">
        <v>247</v>
      </c>
      <c r="B27" s="202" t="s">
        <v>96</v>
      </c>
      <c r="C27" s="202" t="s">
        <v>176</v>
      </c>
      <c r="D27" s="202" t="s">
        <v>176</v>
      </c>
      <c r="E27" s="202" t="s">
        <v>826</v>
      </c>
      <c r="F27" s="203" t="s">
        <v>93</v>
      </c>
      <c r="G27" s="202" t="s">
        <v>94</v>
      </c>
      <c r="H27" s="202" t="str">
        <f t="shared" si="1"/>
        <v>20 Gallon Cart  On Call</v>
      </c>
      <c r="I27" s="204" t="s">
        <v>271</v>
      </c>
      <c r="J27" s="204">
        <f>References!$C$17</f>
        <v>20</v>
      </c>
      <c r="K27" s="205">
        <f>References!$C$14</f>
        <v>1</v>
      </c>
      <c r="L27" s="203">
        <f>IFERROR(VLOOKUP(C27,'Murrey''s Price Out'!$C$162:$AE$197,29,FALSE)+VLOOKUP(C27,'American Price Out'!$C$162:$AE$197,29,FALSE),0)</f>
        <v>0</v>
      </c>
      <c r="M27" s="206">
        <f t="shared" si="0"/>
        <v>12</v>
      </c>
    </row>
    <row r="28" spans="1:13">
      <c r="A28" s="202" t="s">
        <v>247</v>
      </c>
      <c r="B28" s="202" t="s">
        <v>96</v>
      </c>
      <c r="C28" s="202" t="s">
        <v>178</v>
      </c>
      <c r="D28" s="202" t="s">
        <v>178</v>
      </c>
      <c r="E28" s="202" t="s">
        <v>172</v>
      </c>
      <c r="F28" s="203" t="s">
        <v>93</v>
      </c>
      <c r="G28" s="202" t="s">
        <v>94</v>
      </c>
      <c r="H28" s="202" t="str">
        <f t="shared" si="1"/>
        <v>35 Gallon Cart On Call</v>
      </c>
      <c r="I28" s="204" t="s">
        <v>272</v>
      </c>
      <c r="J28" s="204">
        <f>References!$C$18</f>
        <v>34</v>
      </c>
      <c r="K28" s="205">
        <f>References!$C$14</f>
        <v>1</v>
      </c>
      <c r="L28" s="203">
        <f>IFERROR(VLOOKUP(C28,'Murrey''s Price Out'!$C$162:$AE$197,29,FALSE)+VLOOKUP(C28,'American Price Out'!$C$162:$AE$197,29,FALSE),0)</f>
        <v>0</v>
      </c>
      <c r="M28" s="206">
        <f t="shared" si="0"/>
        <v>12</v>
      </c>
    </row>
    <row r="29" spans="1:13">
      <c r="A29" s="202" t="s">
        <v>247</v>
      </c>
      <c r="B29" s="202" t="s">
        <v>96</v>
      </c>
      <c r="C29" s="202" t="s">
        <v>177</v>
      </c>
      <c r="D29" s="202" t="s">
        <v>177</v>
      </c>
      <c r="E29" s="202" t="s">
        <v>173</v>
      </c>
      <c r="F29" s="203" t="s">
        <v>93</v>
      </c>
      <c r="G29" s="202" t="s">
        <v>94</v>
      </c>
      <c r="H29" s="202" t="str">
        <f t="shared" si="1"/>
        <v>65 Gallon Cart On Call</v>
      </c>
      <c r="I29" s="204" t="s">
        <v>273</v>
      </c>
      <c r="J29" s="204">
        <f>References!$C$25</f>
        <v>47</v>
      </c>
      <c r="K29" s="205">
        <f>References!$C$14</f>
        <v>1</v>
      </c>
      <c r="L29" s="203">
        <f>IFERROR(VLOOKUP(C29,'Murrey''s Price Out'!$C$162:$AE$197,29,FALSE)+VLOOKUP(C29,'American Price Out'!$C$162:$AE$197,29,FALSE),0)</f>
        <v>0</v>
      </c>
      <c r="M29" s="206">
        <f t="shared" si="0"/>
        <v>12</v>
      </c>
    </row>
    <row r="30" spans="1:13">
      <c r="A30" s="202" t="s">
        <v>247</v>
      </c>
      <c r="B30" s="202" t="s">
        <v>96</v>
      </c>
      <c r="C30" s="202" t="s">
        <v>179</v>
      </c>
      <c r="D30" s="202" t="s">
        <v>179</v>
      </c>
      <c r="E30" s="202" t="s">
        <v>174</v>
      </c>
      <c r="F30" s="203" t="s">
        <v>93</v>
      </c>
      <c r="G30" s="202" t="s">
        <v>94</v>
      </c>
      <c r="H30" s="202" t="str">
        <f t="shared" si="1"/>
        <v>95 Gallon Cart On Call</v>
      </c>
      <c r="I30" s="204" t="s">
        <v>274</v>
      </c>
      <c r="J30" s="204">
        <f>References!$C$26</f>
        <v>68</v>
      </c>
      <c r="K30" s="205">
        <f>References!$C$14</f>
        <v>1</v>
      </c>
      <c r="L30" s="203">
        <f>IFERROR(VLOOKUP(C30,'Murrey''s Price Out'!$C$162:$AE$197,29,FALSE)+VLOOKUP(C30,'American Price Out'!$C$162:$AE$197,29,FALSE),0)</f>
        <v>0</v>
      </c>
      <c r="M30" s="206">
        <f t="shared" si="0"/>
        <v>12</v>
      </c>
    </row>
    <row r="31" spans="1:13">
      <c r="A31" s="202" t="s">
        <v>247</v>
      </c>
      <c r="B31" s="202" t="s">
        <v>96</v>
      </c>
      <c r="C31" s="202" t="s">
        <v>243</v>
      </c>
      <c r="D31" s="202" t="s">
        <v>243</v>
      </c>
      <c r="E31" s="202" t="s">
        <v>92</v>
      </c>
      <c r="F31" s="203" t="s">
        <v>93</v>
      </c>
      <c r="G31" s="202" t="s">
        <v>269</v>
      </c>
      <c r="H31" s="202" t="str">
        <f t="shared" si="1"/>
        <v>Extra Units Extra</v>
      </c>
      <c r="I31" s="204" t="s">
        <v>272</v>
      </c>
      <c r="J31" s="204">
        <f>References!$C$30</f>
        <v>29</v>
      </c>
      <c r="K31" s="205">
        <f>References!$C$14</f>
        <v>1</v>
      </c>
      <c r="L31" s="206">
        <f>IFERROR(VLOOKUP(C31,'Murrey''s Price Out'!$C$162:$AE$197,29,FALSE)+VLOOKUP(C31,'American Price Out'!$C$162:$AE$197,29,FALSE),0)</f>
        <v>6088.2608627931204</v>
      </c>
      <c r="M31" s="206">
        <f>IF(L31=0,K31*12,K31*L31)</f>
        <v>6088.2608627931204</v>
      </c>
    </row>
    <row r="32" spans="1:13">
      <c r="A32" s="202" t="s">
        <v>247</v>
      </c>
      <c r="B32" s="202" t="s">
        <v>156</v>
      </c>
      <c r="C32" s="202" t="s">
        <v>246</v>
      </c>
      <c r="D32" s="202" t="s">
        <v>246</v>
      </c>
      <c r="E32" s="202" t="s">
        <v>180</v>
      </c>
      <c r="F32" s="203" t="s">
        <v>93</v>
      </c>
      <c r="G32" s="202" t="s">
        <v>268</v>
      </c>
      <c r="H32" s="202" t="str">
        <f t="shared" si="1"/>
        <v>20 Gallon Cart Count Regular</v>
      </c>
      <c r="I32" s="204" t="s">
        <v>271</v>
      </c>
      <c r="J32" s="204">
        <f>References!$C$17</f>
        <v>20</v>
      </c>
      <c r="K32" s="205">
        <v>1</v>
      </c>
      <c r="L32" s="206">
        <f>IFERROR(VLOOKUP(C32,'Murrey''s Price Out'!$C$162:$AE$197,29,FALSE)+VLOOKUP(C32,'American Price Out'!$C$162:$AE$197,29,FALSE),0)</f>
        <v>0</v>
      </c>
      <c r="M32" s="206">
        <f t="shared" si="0"/>
        <v>12</v>
      </c>
    </row>
    <row r="33" spans="1:13">
      <c r="A33" s="202" t="s">
        <v>247</v>
      </c>
      <c r="B33" s="202" t="s">
        <v>156</v>
      </c>
      <c r="C33" s="202" t="s">
        <v>240</v>
      </c>
      <c r="D33" s="202" t="s">
        <v>240</v>
      </c>
      <c r="E33" s="202" t="s">
        <v>181</v>
      </c>
      <c r="F33" s="203" t="s">
        <v>93</v>
      </c>
      <c r="G33" s="202" t="s">
        <v>268</v>
      </c>
      <c r="H33" s="202" t="str">
        <f t="shared" si="1"/>
        <v>35 Gallon Cart Count Regular</v>
      </c>
      <c r="I33" s="204" t="s">
        <v>272</v>
      </c>
      <c r="J33" s="204">
        <f>References!$C$18</f>
        <v>34</v>
      </c>
      <c r="K33" s="205">
        <v>1</v>
      </c>
      <c r="L33" s="206">
        <f>IFERROR(VLOOKUP(C33,'Murrey''s Price Out'!$C$162:$AE$197,29,FALSE)+VLOOKUP(C33,'American Price Out'!$C$162:$AE$197,29,FALSE),0)</f>
        <v>51491.551612903226</v>
      </c>
      <c r="M33" s="206">
        <f t="shared" si="0"/>
        <v>51491.551612903226</v>
      </c>
    </row>
    <row r="34" spans="1:13">
      <c r="A34" s="202" t="s">
        <v>247</v>
      </c>
      <c r="B34" s="202" t="s">
        <v>156</v>
      </c>
      <c r="C34" s="202" t="s">
        <v>241</v>
      </c>
      <c r="D34" s="202" t="s">
        <v>241</v>
      </c>
      <c r="E34" s="202" t="s">
        <v>182</v>
      </c>
      <c r="F34" s="203" t="s">
        <v>93</v>
      </c>
      <c r="G34" s="202" t="s">
        <v>268</v>
      </c>
      <c r="H34" s="202" t="str">
        <f t="shared" si="1"/>
        <v>65 Gallon Cart Count Regular</v>
      </c>
      <c r="I34" s="204" t="s">
        <v>273</v>
      </c>
      <c r="J34" s="204">
        <f>References!$C$25</f>
        <v>47</v>
      </c>
      <c r="K34" s="205">
        <v>1</v>
      </c>
      <c r="L34" s="206">
        <f>IFERROR(VLOOKUP(C34,'Murrey''s Price Out'!$C$162:$AE$197,29,FALSE)+VLOOKUP(C34,'American Price Out'!$C$162:$AE$197,29,FALSE),0)</f>
        <v>174.93101884374113</v>
      </c>
      <c r="M34" s="206">
        <f t="shared" si="0"/>
        <v>174.93101884374113</v>
      </c>
    </row>
    <row r="35" spans="1:13">
      <c r="A35" s="202" t="s">
        <v>247</v>
      </c>
      <c r="B35" s="202" t="s">
        <v>156</v>
      </c>
      <c r="C35" s="202" t="s">
        <v>242</v>
      </c>
      <c r="D35" s="202" t="s">
        <v>242</v>
      </c>
      <c r="E35" s="202" t="s">
        <v>183</v>
      </c>
      <c r="F35" s="203" t="s">
        <v>93</v>
      </c>
      <c r="G35" s="202" t="s">
        <v>268</v>
      </c>
      <c r="H35" s="202" t="str">
        <f t="shared" si="1"/>
        <v>95 Gallon Cart Count Regular</v>
      </c>
      <c r="I35" s="204" t="s">
        <v>274</v>
      </c>
      <c r="J35" s="204">
        <f>References!$C$26</f>
        <v>68</v>
      </c>
      <c r="K35" s="205">
        <v>1</v>
      </c>
      <c r="L35" s="206">
        <f>IFERROR(VLOOKUP(C35,'Murrey''s Price Out'!$C$162:$AE$197,29,FALSE)+VLOOKUP(C35,'American Price Out'!$C$162:$AE$197,29,FALSE),0)</f>
        <v>4</v>
      </c>
      <c r="M35" s="206">
        <f t="shared" si="0"/>
        <v>4</v>
      </c>
    </row>
    <row r="36" spans="1:13">
      <c r="A36" s="202" t="s">
        <v>247</v>
      </c>
      <c r="B36" s="202" t="s">
        <v>157</v>
      </c>
      <c r="C36" s="202" t="s">
        <v>108</v>
      </c>
      <c r="D36" s="202" t="s">
        <v>108</v>
      </c>
      <c r="E36" s="202" t="s">
        <v>98</v>
      </c>
      <c r="F36" s="203" t="s">
        <v>93</v>
      </c>
      <c r="G36" s="202" t="s">
        <v>268</v>
      </c>
      <c r="H36" s="202" t="str">
        <f t="shared" si="1"/>
        <v>1.5 yard Regular</v>
      </c>
      <c r="I36" s="204" t="s">
        <v>276</v>
      </c>
      <c r="J36" s="204">
        <f>References!$C$33</f>
        <v>250</v>
      </c>
      <c r="K36" s="205">
        <f>References!$C$11</f>
        <v>4.333333333333333</v>
      </c>
      <c r="L36" s="206">
        <f>IFERROR(VLOOKUP(C36,'Murrey''s Price Out'!$C$162:$AE$197,29,FALSE)+VLOOKUP(C36,'American Price Out'!$C$162:$AE$197,29,FALSE),0)</f>
        <v>744.53820441532321</v>
      </c>
      <c r="M36" s="206">
        <f t="shared" si="0"/>
        <v>3226.3322191330672</v>
      </c>
    </row>
    <row r="37" spans="1:13">
      <c r="A37" s="202" t="s">
        <v>247</v>
      </c>
      <c r="B37" s="202" t="s">
        <v>157</v>
      </c>
      <c r="C37" s="202" t="s">
        <v>109</v>
      </c>
      <c r="D37" s="202" t="s">
        <v>108</v>
      </c>
      <c r="E37" s="202" t="s">
        <v>98</v>
      </c>
      <c r="F37" s="203" t="s">
        <v>93</v>
      </c>
      <c r="G37" s="202" t="s">
        <v>268</v>
      </c>
      <c r="H37" s="202" t="str">
        <f t="shared" si="1"/>
        <v>1.5 yard Regular</v>
      </c>
      <c r="I37" s="204" t="s">
        <v>276</v>
      </c>
      <c r="J37" s="204">
        <f>References!$C$33</f>
        <v>250</v>
      </c>
      <c r="K37" s="205">
        <f>References!$C$10</f>
        <v>8.6666666666666661</v>
      </c>
      <c r="L37" s="206">
        <f>IFERROR(VLOOKUP(C37,'Murrey''s Price Out'!$C$162:$AE$197,29,FALSE)+VLOOKUP(C37,'American Price Out'!$C$162:$AE$197,29,FALSE),0)</f>
        <v>34</v>
      </c>
      <c r="M37" s="206">
        <f t="shared" si="0"/>
        <v>294.66666666666663</v>
      </c>
    </row>
    <row r="38" spans="1:13">
      <c r="A38" s="202" t="s">
        <v>247</v>
      </c>
      <c r="B38" s="202" t="s">
        <v>157</v>
      </c>
      <c r="C38" s="202" t="s">
        <v>234</v>
      </c>
      <c r="D38" s="202" t="str">
        <f>C38</f>
        <v>MF 1.5YD CONT EXTRA</v>
      </c>
      <c r="E38" s="202" t="s">
        <v>98</v>
      </c>
      <c r="F38" s="203" t="s">
        <v>93</v>
      </c>
      <c r="G38" s="202" t="s">
        <v>269</v>
      </c>
      <c r="H38" s="202" t="str">
        <f t="shared" si="1"/>
        <v>1.5 yard Extra</v>
      </c>
      <c r="I38" s="204" t="s">
        <v>276</v>
      </c>
      <c r="J38" s="204">
        <f>References!$C$33</f>
        <v>250</v>
      </c>
      <c r="K38" s="205">
        <f>References!$C$14</f>
        <v>1</v>
      </c>
      <c r="L38" s="206">
        <f>IFERROR(VLOOKUP(C38,'Murrey''s Price Out'!$C$162:$AE$197,29,FALSE)+VLOOKUP(C38,'American Price Out'!$C$162:$AE$197,29,FALSE),0)</f>
        <v>3.8470841171728027</v>
      </c>
      <c r="M38" s="206">
        <f t="shared" si="0"/>
        <v>3.8470841171728027</v>
      </c>
    </row>
    <row r="39" spans="1:13">
      <c r="A39" s="202" t="s">
        <v>247</v>
      </c>
      <c r="B39" s="202" t="s">
        <v>157</v>
      </c>
      <c r="C39" s="202" t="s">
        <v>120</v>
      </c>
      <c r="D39" s="202" t="s">
        <v>120</v>
      </c>
      <c r="E39" s="202" t="s">
        <v>98</v>
      </c>
      <c r="F39" s="203" t="s">
        <v>93</v>
      </c>
      <c r="G39" s="202" t="s">
        <v>821</v>
      </c>
      <c r="H39" s="202" t="str">
        <f t="shared" si="1"/>
        <v>1.5 yard Temp</v>
      </c>
      <c r="I39" s="204" t="s">
        <v>276</v>
      </c>
      <c r="J39" s="204">
        <f>References!$C$33</f>
        <v>250</v>
      </c>
      <c r="K39" s="205">
        <f>References!$C$14</f>
        <v>1</v>
      </c>
      <c r="L39" s="206">
        <f>IFERROR(VLOOKUP(C39,'Murrey''s Price Out'!$C$162:$AE$197,29,FALSE)+VLOOKUP(C39,'American Price Out'!$C$162:$AE$197,29,FALSE),0)</f>
        <v>0</v>
      </c>
      <c r="M39" s="206">
        <f t="shared" si="0"/>
        <v>12</v>
      </c>
    </row>
    <row r="40" spans="1:13">
      <c r="A40" s="202" t="s">
        <v>247</v>
      </c>
      <c r="B40" s="202" t="s">
        <v>157</v>
      </c>
      <c r="C40" s="202" t="s">
        <v>107</v>
      </c>
      <c r="D40" s="202" t="s">
        <v>107</v>
      </c>
      <c r="E40" s="202" t="s">
        <v>97</v>
      </c>
      <c r="F40" s="203" t="s">
        <v>93</v>
      </c>
      <c r="G40" s="202" t="s">
        <v>268</v>
      </c>
      <c r="H40" s="202" t="str">
        <f t="shared" si="1"/>
        <v>1 yard Regular</v>
      </c>
      <c r="I40" s="204" t="s">
        <v>275</v>
      </c>
      <c r="J40" s="204">
        <f>References!$C$32</f>
        <v>175</v>
      </c>
      <c r="K40" s="205">
        <f>References!$C$11</f>
        <v>4.333333333333333</v>
      </c>
      <c r="L40" s="206">
        <f>IFERROR(VLOOKUP(C40,'Murrey''s Price Out'!$C$162:$AE$197,29,FALSE)+VLOOKUP(C40,'American Price Out'!$C$162:$AE$197,29,FALSE),0)</f>
        <v>3853.327013487869</v>
      </c>
      <c r="M40" s="206">
        <f t="shared" si="0"/>
        <v>16697.750391780763</v>
      </c>
    </row>
    <row r="41" spans="1:13">
      <c r="A41" s="202" t="s">
        <v>247</v>
      </c>
      <c r="B41" s="202" t="s">
        <v>157</v>
      </c>
      <c r="C41" s="202" t="s">
        <v>235</v>
      </c>
      <c r="D41" s="202" t="s">
        <v>107</v>
      </c>
      <c r="E41" s="202" t="s">
        <v>97</v>
      </c>
      <c r="F41" s="203" t="s">
        <v>93</v>
      </c>
      <c r="G41" s="202" t="s">
        <v>268</v>
      </c>
      <c r="H41" s="202" t="str">
        <f t="shared" si="1"/>
        <v>1 yard Regular</v>
      </c>
      <c r="I41" s="204" t="s">
        <v>275</v>
      </c>
      <c r="J41" s="204">
        <f>References!$C$32</f>
        <v>175</v>
      </c>
      <c r="K41" s="205">
        <f>References!$C$10</f>
        <v>8.6666666666666661</v>
      </c>
      <c r="L41" s="206">
        <f>IFERROR(VLOOKUP(C41,'Murrey''s Price Out'!$C$162:$AE$197,29,FALSE)+VLOOKUP(C41,'American Price Out'!$C$162:$AE$197,29,FALSE),0)</f>
        <v>1.1527535165946492</v>
      </c>
      <c r="M41" s="206">
        <f t="shared" si="0"/>
        <v>9.9905304771536265</v>
      </c>
    </row>
    <row r="42" spans="1:13">
      <c r="A42" s="202" t="s">
        <v>247</v>
      </c>
      <c r="B42" s="202" t="s">
        <v>157</v>
      </c>
      <c r="C42" s="202" t="s">
        <v>236</v>
      </c>
      <c r="D42" s="202" t="str">
        <f>C42</f>
        <v>MF 1YD CONT EXTRA</v>
      </c>
      <c r="E42" s="202" t="s">
        <v>97</v>
      </c>
      <c r="F42" s="203" t="s">
        <v>93</v>
      </c>
      <c r="G42" s="202" t="s">
        <v>269</v>
      </c>
      <c r="H42" s="202" t="str">
        <f t="shared" si="1"/>
        <v>1 yard Extra</v>
      </c>
      <c r="I42" s="204" t="s">
        <v>275</v>
      </c>
      <c r="J42" s="204">
        <f>References!$C$32</f>
        <v>175</v>
      </c>
      <c r="K42" s="205">
        <f>References!$C$14</f>
        <v>1</v>
      </c>
      <c r="L42" s="206">
        <f>IFERROR(VLOOKUP(C42,'Murrey''s Price Out'!$C$162:$AE$197,29,FALSE)+VLOOKUP(C42,'American Price Out'!$C$162:$AE$197,29,FALSE),0)</f>
        <v>14.02211573903428</v>
      </c>
      <c r="M42" s="206">
        <f t="shared" si="0"/>
        <v>14.02211573903428</v>
      </c>
    </row>
    <row r="43" spans="1:13">
      <c r="A43" s="202" t="s">
        <v>247</v>
      </c>
      <c r="B43" s="202" t="s">
        <v>157</v>
      </c>
      <c r="C43" s="202" t="s">
        <v>119</v>
      </c>
      <c r="D43" s="202" t="s">
        <v>119</v>
      </c>
      <c r="E43" s="202" t="s">
        <v>97</v>
      </c>
      <c r="F43" s="203" t="s">
        <v>93</v>
      </c>
      <c r="G43" s="202" t="s">
        <v>821</v>
      </c>
      <c r="H43" s="202" t="str">
        <f t="shared" si="1"/>
        <v>1 yard Temp</v>
      </c>
      <c r="I43" s="204" t="s">
        <v>275</v>
      </c>
      <c r="J43" s="204">
        <f>References!$C$32</f>
        <v>175</v>
      </c>
      <c r="K43" s="205">
        <f>References!$C$14</f>
        <v>1</v>
      </c>
      <c r="L43" s="206">
        <f>IFERROR(VLOOKUP(C43,'Murrey''s Price Out'!$C$162:$AE$197,29,FALSE)+VLOOKUP(C43,'American Price Out'!$C$162:$AE$197,29,FALSE),0)</f>
        <v>7.769074824917066</v>
      </c>
      <c r="M43" s="206">
        <f t="shared" si="0"/>
        <v>7.769074824917066</v>
      </c>
    </row>
    <row r="44" spans="1:13">
      <c r="A44" s="202" t="s">
        <v>247</v>
      </c>
      <c r="B44" s="202" t="s">
        <v>157</v>
      </c>
      <c r="C44" s="202" t="s">
        <v>111</v>
      </c>
      <c r="D44" s="202" t="s">
        <v>111</v>
      </c>
      <c r="E44" s="202" t="s">
        <v>99</v>
      </c>
      <c r="F44" s="203" t="s">
        <v>93</v>
      </c>
      <c r="G44" s="202" t="s">
        <v>268</v>
      </c>
      <c r="H44" s="202" t="str">
        <f t="shared" si="1"/>
        <v>2 yard Regular</v>
      </c>
      <c r="I44" s="204" t="s">
        <v>277</v>
      </c>
      <c r="J44" s="204">
        <f>References!$C$34</f>
        <v>324</v>
      </c>
      <c r="K44" s="205">
        <f>References!$C$11</f>
        <v>4.333333333333333</v>
      </c>
      <c r="L44" s="206">
        <f>IFERROR(VLOOKUP(C44,'Murrey''s Price Out'!$C$162:$AE$197,29,FALSE)+VLOOKUP(C44,'American Price Out'!$C$162:$AE$197,29,FALSE),0)</f>
        <v>1685.2483743114931</v>
      </c>
      <c r="M44" s="206">
        <f t="shared" si="0"/>
        <v>7302.7429553498032</v>
      </c>
    </row>
    <row r="45" spans="1:13">
      <c r="A45" s="202" t="s">
        <v>247</v>
      </c>
      <c r="B45" s="202" t="s">
        <v>157</v>
      </c>
      <c r="C45" s="202" t="s">
        <v>112</v>
      </c>
      <c r="D45" s="202" t="s">
        <v>111</v>
      </c>
      <c r="E45" s="202" t="s">
        <v>99</v>
      </c>
      <c r="F45" s="203" t="s">
        <v>93</v>
      </c>
      <c r="G45" s="202" t="s">
        <v>268</v>
      </c>
      <c r="H45" s="202" t="str">
        <f t="shared" si="1"/>
        <v>2 yard Regular</v>
      </c>
      <c r="I45" s="204" t="s">
        <v>277</v>
      </c>
      <c r="J45" s="204">
        <f>References!$C$34</f>
        <v>324</v>
      </c>
      <c r="K45" s="205">
        <f>References!$C$10</f>
        <v>8.6666666666666661</v>
      </c>
      <c r="L45" s="206">
        <f>IFERROR(VLOOKUP(C45,'Murrey''s Price Out'!$C$162:$AE$197,29,FALSE)+VLOOKUP(C45,'American Price Out'!$C$162:$AE$197,29,FALSE),0)</f>
        <v>163.37502241807795</v>
      </c>
      <c r="M45" s="206">
        <f t="shared" si="0"/>
        <v>1415.9168609566755</v>
      </c>
    </row>
    <row r="46" spans="1:13">
      <c r="A46" s="202" t="s">
        <v>247</v>
      </c>
      <c r="B46" s="202" t="s">
        <v>157</v>
      </c>
      <c r="C46" s="202" t="s">
        <v>113</v>
      </c>
      <c r="D46" s="202" t="s">
        <v>111</v>
      </c>
      <c r="E46" s="202" t="s">
        <v>99</v>
      </c>
      <c r="F46" s="203" t="s">
        <v>93</v>
      </c>
      <c r="G46" s="202" t="s">
        <v>268</v>
      </c>
      <c r="H46" s="202" t="str">
        <f t="shared" si="1"/>
        <v>2 yard Regular</v>
      </c>
      <c r="I46" s="204" t="s">
        <v>277</v>
      </c>
      <c r="J46" s="204">
        <f>References!$C$34</f>
        <v>324</v>
      </c>
      <c r="K46" s="205">
        <f>References!$C$9</f>
        <v>13</v>
      </c>
      <c r="L46" s="206">
        <f>IFERROR(VLOOKUP(C46,'Murrey''s Price Out'!$C$162:$AE$197,29,FALSE)+VLOOKUP(C46,'American Price Out'!$C$162:$AE$197,29,FALSE),0)</f>
        <v>24</v>
      </c>
      <c r="M46" s="206">
        <f t="shared" si="0"/>
        <v>312</v>
      </c>
    </row>
    <row r="47" spans="1:13">
      <c r="A47" s="202" t="s">
        <v>247</v>
      </c>
      <c r="B47" s="202" t="s">
        <v>157</v>
      </c>
      <c r="C47" s="202" t="s">
        <v>237</v>
      </c>
      <c r="D47" s="202" t="str">
        <f>C47</f>
        <v>MF 2YD CONT EXTRA</v>
      </c>
      <c r="E47" s="202" t="s">
        <v>99</v>
      </c>
      <c r="F47" s="203" t="s">
        <v>93</v>
      </c>
      <c r="G47" s="202" t="s">
        <v>269</v>
      </c>
      <c r="H47" s="202" t="str">
        <f t="shared" si="1"/>
        <v>2 yard Extra</v>
      </c>
      <c r="I47" s="204" t="s">
        <v>277</v>
      </c>
      <c r="J47" s="204">
        <f>References!$C$34</f>
        <v>324</v>
      </c>
      <c r="K47" s="205">
        <f>References!$C$14</f>
        <v>1</v>
      </c>
      <c r="L47" s="206">
        <f>IFERROR(VLOOKUP(C47,'Murrey''s Price Out'!$C$162:$AE$197,29,FALSE)+VLOOKUP(C47,'American Price Out'!$C$162:$AE$197,29,FALSE),0)</f>
        <v>79</v>
      </c>
      <c r="M47" s="206">
        <f t="shared" si="0"/>
        <v>79</v>
      </c>
    </row>
    <row r="48" spans="1:13">
      <c r="A48" s="202" t="s">
        <v>247</v>
      </c>
      <c r="B48" s="202" t="s">
        <v>157</v>
      </c>
      <c r="C48" s="202" t="s">
        <v>121</v>
      </c>
      <c r="D48" s="202" t="s">
        <v>121</v>
      </c>
      <c r="E48" s="202" t="s">
        <v>99</v>
      </c>
      <c r="F48" s="203" t="s">
        <v>93</v>
      </c>
      <c r="G48" s="202" t="s">
        <v>821</v>
      </c>
      <c r="H48" s="202" t="str">
        <f t="shared" si="1"/>
        <v>2 yard Temp</v>
      </c>
      <c r="I48" s="204" t="s">
        <v>277</v>
      </c>
      <c r="J48" s="204">
        <f>References!$C$34</f>
        <v>324</v>
      </c>
      <c r="K48" s="205">
        <f>References!$C$14</f>
        <v>1</v>
      </c>
      <c r="L48" s="206">
        <f>IFERROR(VLOOKUP(C48,'Murrey''s Price Out'!$C$162:$AE$197,29,FALSE)+VLOOKUP(C48,'American Price Out'!$C$162:$AE$197,29,FALSE),0)</f>
        <v>36.198385726423112</v>
      </c>
      <c r="M48" s="206">
        <f t="shared" si="0"/>
        <v>36.198385726423112</v>
      </c>
    </row>
    <row r="49" spans="1:20">
      <c r="A49" s="202" t="s">
        <v>247</v>
      </c>
      <c r="B49" s="202" t="s">
        <v>157</v>
      </c>
      <c r="C49" s="202" t="s">
        <v>114</v>
      </c>
      <c r="D49" s="202" t="s">
        <v>114</v>
      </c>
      <c r="E49" s="202" t="s">
        <v>100</v>
      </c>
      <c r="F49" s="203" t="s">
        <v>93</v>
      </c>
      <c r="G49" s="202" t="s">
        <v>268</v>
      </c>
      <c r="H49" s="202" t="str">
        <f t="shared" si="1"/>
        <v>4 yard Regular</v>
      </c>
      <c r="I49" s="204" t="s">
        <v>278</v>
      </c>
      <c r="J49" s="204">
        <f>References!$C$36</f>
        <v>613</v>
      </c>
      <c r="K49" s="205">
        <f>References!$C$11</f>
        <v>4.333333333333333</v>
      </c>
      <c r="L49" s="206">
        <f>IFERROR(VLOOKUP(C49,'Murrey''s Price Out'!$C$162:$AE$197,29,FALSE)+VLOOKUP(C49,'American Price Out'!$C$162:$AE$197,29,FALSE),0)</f>
        <v>229.01907400913285</v>
      </c>
      <c r="M49" s="206">
        <f t="shared" si="0"/>
        <v>992.41598737290894</v>
      </c>
    </row>
    <row r="50" spans="1:20">
      <c r="A50" s="202" t="s">
        <v>247</v>
      </c>
      <c r="B50" s="202" t="s">
        <v>157</v>
      </c>
      <c r="C50" s="202" t="s">
        <v>115</v>
      </c>
      <c r="D50" s="202" t="s">
        <v>114</v>
      </c>
      <c r="E50" s="202" t="s">
        <v>100</v>
      </c>
      <c r="F50" s="203" t="s">
        <v>93</v>
      </c>
      <c r="G50" s="202" t="s">
        <v>268</v>
      </c>
      <c r="H50" s="202" t="str">
        <f t="shared" si="1"/>
        <v>4 yard Regular</v>
      </c>
      <c r="I50" s="204" t="s">
        <v>278</v>
      </c>
      <c r="J50" s="204">
        <f>References!$C$36</f>
        <v>613</v>
      </c>
      <c r="K50" s="205">
        <f>References!$C$10</f>
        <v>8.6666666666666661</v>
      </c>
      <c r="L50" s="206">
        <f>IFERROR(VLOOKUP(C50,'Murrey''s Price Out'!$C$162:$AE$197,29,FALSE)+VLOOKUP(C50,'American Price Out'!$C$162:$AE$197,29,FALSE),0)</f>
        <v>24</v>
      </c>
      <c r="M50" s="206">
        <f t="shared" si="0"/>
        <v>208</v>
      </c>
      <c r="R50" s="243"/>
    </row>
    <row r="51" spans="1:20">
      <c r="A51" s="202" t="s">
        <v>247</v>
      </c>
      <c r="B51" s="202" t="s">
        <v>157</v>
      </c>
      <c r="C51" s="202" t="s">
        <v>238</v>
      </c>
      <c r="D51" s="202" t="str">
        <f>C51</f>
        <v>MF 4YD CONT EXTRA</v>
      </c>
      <c r="E51" s="202" t="s">
        <v>100</v>
      </c>
      <c r="F51" s="203" t="s">
        <v>93</v>
      </c>
      <c r="G51" s="202" t="s">
        <v>269</v>
      </c>
      <c r="H51" s="202" t="str">
        <f t="shared" si="1"/>
        <v>4 yard Extra</v>
      </c>
      <c r="I51" s="204" t="s">
        <v>278</v>
      </c>
      <c r="J51" s="204">
        <f>References!$C$36</f>
        <v>613</v>
      </c>
      <c r="K51" s="205">
        <f>References!$C$14</f>
        <v>1</v>
      </c>
      <c r="L51" s="206">
        <f>IFERROR(VLOOKUP(C51,'Murrey''s Price Out'!$C$162:$AE$197,29,FALSE)+VLOOKUP(C51,'American Price Out'!$C$162:$AE$197,29,FALSE),0)</f>
        <v>0</v>
      </c>
      <c r="M51" s="206">
        <f t="shared" si="0"/>
        <v>12</v>
      </c>
      <c r="R51" s="112"/>
    </row>
    <row r="52" spans="1:20">
      <c r="A52" s="202" t="s">
        <v>247</v>
      </c>
      <c r="B52" s="202" t="s">
        <v>157</v>
      </c>
      <c r="C52" s="202" t="s">
        <v>244</v>
      </c>
      <c r="D52" s="202" t="s">
        <v>244</v>
      </c>
      <c r="E52" s="202" t="s">
        <v>100</v>
      </c>
      <c r="F52" s="203" t="s">
        <v>93</v>
      </c>
      <c r="G52" s="202" t="s">
        <v>821</v>
      </c>
      <c r="H52" s="202" t="str">
        <f t="shared" si="1"/>
        <v>4 yard Temp</v>
      </c>
      <c r="I52" s="204" t="s">
        <v>278</v>
      </c>
      <c r="J52" s="204">
        <f>References!$C$36</f>
        <v>613</v>
      </c>
      <c r="K52" s="205">
        <f>References!$C$14</f>
        <v>1</v>
      </c>
      <c r="L52" s="206">
        <f>IFERROR(VLOOKUP(C52,'Murrey''s Price Out'!$C$162:$AE$197,29,FALSE)+VLOOKUP(C52,'American Price Out'!$C$162:$AE$197,29,FALSE),0)</f>
        <v>0</v>
      </c>
      <c r="M52" s="206">
        <f t="shared" si="0"/>
        <v>12</v>
      </c>
    </row>
    <row r="53" spans="1:20">
      <c r="A53" s="202" t="s">
        <v>247</v>
      </c>
      <c r="B53" s="202" t="s">
        <v>157</v>
      </c>
      <c r="C53" s="202" t="s">
        <v>116</v>
      </c>
      <c r="D53" s="202" t="s">
        <v>116</v>
      </c>
      <c r="E53" s="202" t="s">
        <v>101</v>
      </c>
      <c r="F53" s="203" t="s">
        <v>93</v>
      </c>
      <c r="G53" s="202" t="s">
        <v>268</v>
      </c>
      <c r="H53" s="202" t="str">
        <f t="shared" si="1"/>
        <v>6 yard Regular</v>
      </c>
      <c r="I53" s="204" t="s">
        <v>279</v>
      </c>
      <c r="J53" s="204">
        <f>References!$C$37</f>
        <v>840</v>
      </c>
      <c r="K53" s="205">
        <f>References!$C$11</f>
        <v>4.333333333333333</v>
      </c>
      <c r="L53" s="206">
        <f>IFERROR(VLOOKUP(C53,'Murrey''s Price Out'!$C$162:$AE$197,29,FALSE)+VLOOKUP(C53,'American Price Out'!$C$162:$AE$197,29,FALSE),0)</f>
        <v>390</v>
      </c>
      <c r="M53" s="206">
        <f t="shared" si="0"/>
        <v>1689.9999999999998</v>
      </c>
    </row>
    <row r="54" spans="1:20">
      <c r="A54" s="202" t="s">
        <v>247</v>
      </c>
      <c r="B54" s="202" t="s">
        <v>157</v>
      </c>
      <c r="C54" s="202" t="s">
        <v>117</v>
      </c>
      <c r="D54" s="202" t="s">
        <v>116</v>
      </c>
      <c r="E54" s="202" t="s">
        <v>101</v>
      </c>
      <c r="F54" s="203" t="s">
        <v>93</v>
      </c>
      <c r="G54" s="202" t="s">
        <v>268</v>
      </c>
      <c r="H54" s="202" t="str">
        <f t="shared" si="1"/>
        <v>6 yard Regular</v>
      </c>
      <c r="I54" s="204" t="s">
        <v>279</v>
      </c>
      <c r="J54" s="204">
        <f>References!$C$37</f>
        <v>840</v>
      </c>
      <c r="K54" s="205">
        <f>References!$C$10</f>
        <v>8.6666666666666661</v>
      </c>
      <c r="L54" s="206">
        <f>IFERROR(VLOOKUP(C54,'Murrey''s Price Out'!$C$162:$AE$197,29,FALSE)+VLOOKUP(C54,'American Price Out'!$C$162:$AE$197,29,FALSE),0)</f>
        <v>247.24999521137011</v>
      </c>
      <c r="M54" s="206">
        <f t="shared" si="0"/>
        <v>2142.8332918318742</v>
      </c>
    </row>
    <row r="55" spans="1:20">
      <c r="A55" s="202" t="s">
        <v>247</v>
      </c>
      <c r="B55" s="202" t="s">
        <v>157</v>
      </c>
      <c r="C55" s="202" t="s">
        <v>118</v>
      </c>
      <c r="D55" s="202" t="s">
        <v>116</v>
      </c>
      <c r="E55" s="202" t="s">
        <v>101</v>
      </c>
      <c r="F55" s="203" t="s">
        <v>93</v>
      </c>
      <c r="G55" s="202" t="s">
        <v>268</v>
      </c>
      <c r="H55" s="202" t="str">
        <f t="shared" si="1"/>
        <v>6 yard Regular</v>
      </c>
      <c r="I55" s="204" t="s">
        <v>279</v>
      </c>
      <c r="J55" s="204">
        <f>References!$C$37</f>
        <v>840</v>
      </c>
      <c r="K55" s="205">
        <f>References!$C$9</f>
        <v>13</v>
      </c>
      <c r="L55" s="206">
        <f>IFERROR(VLOOKUP(C55,'Murrey''s Price Out'!$C$162:$AE$197,29,FALSE)+VLOOKUP(C55,'American Price Out'!$C$162:$AE$197,29,FALSE),0)</f>
        <v>29</v>
      </c>
      <c r="M55" s="206">
        <f t="shared" si="0"/>
        <v>377</v>
      </c>
    </row>
    <row r="56" spans="1:20">
      <c r="A56" s="202" t="s">
        <v>247</v>
      </c>
      <c r="B56" s="202" t="s">
        <v>157</v>
      </c>
      <c r="C56" s="202" t="s">
        <v>239</v>
      </c>
      <c r="D56" s="202" t="str">
        <f>C56</f>
        <v>MF 6YD CONT EXTRA</v>
      </c>
      <c r="E56" s="202" t="s">
        <v>101</v>
      </c>
      <c r="F56" s="203" t="s">
        <v>93</v>
      </c>
      <c r="G56" s="202" t="s">
        <v>269</v>
      </c>
      <c r="H56" s="202" t="str">
        <f t="shared" si="1"/>
        <v>6 yard Extra</v>
      </c>
      <c r="I56" s="204" t="s">
        <v>279</v>
      </c>
      <c r="J56" s="204">
        <f>References!$C$37</f>
        <v>840</v>
      </c>
      <c r="K56" s="205">
        <f>References!$C$14</f>
        <v>1</v>
      </c>
      <c r="L56" s="206">
        <f>IFERROR(VLOOKUP(C56,'Murrey''s Price Out'!$C$162:$AE$197,29,FALSE)+VLOOKUP(C56,'American Price Out'!$C$162:$AE$197,29,FALSE),0)</f>
        <v>26.621630615640598</v>
      </c>
      <c r="M56" s="206">
        <f t="shared" si="0"/>
        <v>26.621630615640598</v>
      </c>
    </row>
    <row r="57" spans="1:20">
      <c r="A57" s="202" t="s">
        <v>247</v>
      </c>
      <c r="B57" s="202" t="s">
        <v>157</v>
      </c>
      <c r="C57" s="202" t="s">
        <v>245</v>
      </c>
      <c r="D57" s="202" t="s">
        <v>245</v>
      </c>
      <c r="E57" s="202" t="s">
        <v>101</v>
      </c>
      <c r="F57" s="203" t="s">
        <v>93</v>
      </c>
      <c r="G57" s="202" t="s">
        <v>821</v>
      </c>
      <c r="H57" s="202" t="str">
        <f t="shared" si="1"/>
        <v>6 yard Temp</v>
      </c>
      <c r="I57" s="204" t="s">
        <v>279</v>
      </c>
      <c r="J57" s="204">
        <f>References!$C$37</f>
        <v>840</v>
      </c>
      <c r="K57" s="205">
        <f>References!$C$14</f>
        <v>1</v>
      </c>
      <c r="L57" s="206">
        <f>IFERROR(VLOOKUP(C57,'Murrey''s Price Out'!$C$162:$AE$197,29,FALSE)+VLOOKUP(C57,'American Price Out'!$C$162:$AE$197,29,FALSE),0)</f>
        <v>0</v>
      </c>
      <c r="M57" s="206">
        <f t="shared" si="0"/>
        <v>12</v>
      </c>
      <c r="O57" s="325"/>
      <c r="P57" s="325"/>
    </row>
    <row r="58" spans="1:20">
      <c r="A58" s="195" t="s">
        <v>147</v>
      </c>
      <c r="B58" s="195" t="s">
        <v>168</v>
      </c>
      <c r="C58" s="195" t="s">
        <v>227</v>
      </c>
      <c r="D58" s="195" t="s">
        <v>227</v>
      </c>
      <c r="E58" s="195" t="s">
        <v>823</v>
      </c>
      <c r="F58" s="196" t="s">
        <v>93</v>
      </c>
      <c r="G58" s="195" t="s">
        <v>269</v>
      </c>
      <c r="H58" s="195" t="str">
        <f t="shared" si="1"/>
        <v>Extra Yardage Extra</v>
      </c>
      <c r="I58" s="197" t="s">
        <v>275</v>
      </c>
      <c r="J58" s="197">
        <f>References!$C$31</f>
        <v>125</v>
      </c>
      <c r="K58" s="198">
        <f>References!$C$14</f>
        <v>1</v>
      </c>
      <c r="L58" s="199">
        <f>IFERROR((VLOOKUP(C58,'Murrey''s Price Out'!$C$87:$AE$157,29,FALSE)+VLOOKUP(C58,'American Price Out'!$C$87:$AE$157,29,FALSE)),0)</f>
        <v>3374.526351188154</v>
      </c>
      <c r="M58" s="199">
        <f t="shared" si="0"/>
        <v>3374.526351188154</v>
      </c>
    </row>
    <row r="59" spans="1:20">
      <c r="A59" s="195" t="s">
        <v>147</v>
      </c>
      <c r="B59" s="195" t="s">
        <v>168</v>
      </c>
      <c r="C59" s="195" t="s">
        <v>807</v>
      </c>
      <c r="D59" s="195" t="s">
        <v>807</v>
      </c>
      <c r="E59" s="195" t="s">
        <v>807</v>
      </c>
      <c r="F59" s="196" t="s">
        <v>93</v>
      </c>
      <c r="G59" s="195" t="s">
        <v>269</v>
      </c>
      <c r="H59" s="195" t="str">
        <f t="shared" si="1"/>
        <v>Drum Extra</v>
      </c>
      <c r="I59" s="197" t="s">
        <v>275</v>
      </c>
      <c r="J59" s="197">
        <f>References!$C$26</f>
        <v>68</v>
      </c>
      <c r="K59" s="198">
        <f>References!$C$14</f>
        <v>1</v>
      </c>
      <c r="L59" s="199">
        <f>IFERROR((VLOOKUP(C59,'Murrey''s Price Out'!$C$87:$AE$157,29,FALSE)+VLOOKUP(C59,'American Price Out'!$C$87:$AE$157,29,FALSE)),0)</f>
        <v>0</v>
      </c>
      <c r="M59" s="199">
        <f t="shared" ref="M59:M60" si="3">IF(L59=0,K59*12,K59*L59)</f>
        <v>12</v>
      </c>
    </row>
    <row r="60" spans="1:20">
      <c r="A60" s="195" t="s">
        <v>147</v>
      </c>
      <c r="B60" s="195" t="s">
        <v>168</v>
      </c>
      <c r="C60" s="195" t="s">
        <v>808</v>
      </c>
      <c r="D60" s="195" t="s">
        <v>808</v>
      </c>
      <c r="E60" s="195" t="s">
        <v>807</v>
      </c>
      <c r="F60" s="196" t="s">
        <v>93</v>
      </c>
      <c r="G60" s="195" t="s">
        <v>824</v>
      </c>
      <c r="H60" s="195" t="str">
        <f t="shared" si="1"/>
        <v>Drum Special</v>
      </c>
      <c r="I60" s="197" t="s">
        <v>275</v>
      </c>
      <c r="J60" s="197">
        <f>References!$C$26</f>
        <v>68</v>
      </c>
      <c r="K60" s="198">
        <f>References!$C$14</f>
        <v>1</v>
      </c>
      <c r="L60" s="199">
        <f>IFERROR((VLOOKUP(C60,'Murrey''s Price Out'!$C$87:$AE$157,29,FALSE)+VLOOKUP(C60,'American Price Out'!$C$87:$AE$157,29,FALSE)),0)</f>
        <v>0</v>
      </c>
      <c r="M60" s="199">
        <f t="shared" si="3"/>
        <v>12</v>
      </c>
    </row>
    <row r="61" spans="1:20">
      <c r="A61" s="195" t="s">
        <v>147</v>
      </c>
      <c r="B61" s="195" t="s">
        <v>158</v>
      </c>
      <c r="C61" s="195" t="s">
        <v>84</v>
      </c>
      <c r="D61" s="195" t="s">
        <v>84</v>
      </c>
      <c r="E61" s="195" t="s">
        <v>98</v>
      </c>
      <c r="F61" s="196" t="s">
        <v>93</v>
      </c>
      <c r="G61" s="195" t="s">
        <v>268</v>
      </c>
      <c r="H61" s="195" t="str">
        <f t="shared" si="1"/>
        <v>1.5 yard Regular</v>
      </c>
      <c r="I61" s="197" t="s">
        <v>276</v>
      </c>
      <c r="J61" s="197">
        <f>References!$C$33</f>
        <v>250</v>
      </c>
      <c r="K61" s="198">
        <f>References!$C$11</f>
        <v>4.333333333333333</v>
      </c>
      <c r="L61" s="199">
        <f>IFERROR((VLOOKUP(C61,'Murrey''s Price Out'!$C$87:$AE$157,29,FALSE)+VLOOKUP(C61,'American Price Out'!$C$87:$AE$157,29,FALSE)),0)</f>
        <v>24</v>
      </c>
      <c r="M61" s="199">
        <f t="shared" si="0"/>
        <v>104</v>
      </c>
    </row>
    <row r="62" spans="1:20" s="332" customFormat="1">
      <c r="A62" s="331" t="s">
        <v>147</v>
      </c>
      <c r="B62" s="195" t="s">
        <v>158</v>
      </c>
      <c r="C62" s="195" t="s">
        <v>467</v>
      </c>
      <c r="D62" s="195" t="s">
        <v>467</v>
      </c>
      <c r="E62" s="195" t="s">
        <v>98</v>
      </c>
      <c r="F62" s="196" t="s">
        <v>93</v>
      </c>
      <c r="G62" s="195" t="s">
        <v>268</v>
      </c>
      <c r="H62" s="195" t="s">
        <v>844</v>
      </c>
      <c r="I62" s="197" t="s">
        <v>276</v>
      </c>
      <c r="J62" s="197">
        <f>[19]References!$C$33</f>
        <v>250</v>
      </c>
      <c r="K62" s="198">
        <f>[19]References!$C$11</f>
        <v>4.333333333333333</v>
      </c>
      <c r="L62" s="199">
        <f>IFERROR((VLOOKUP(C62,'[19]Murrey''s Price Out'!$C$87:$AE$157,29,FALSE)+VLOOKUP(C62,'[19]American Price Out'!$C$87:$AE$157,29,FALSE)),0)</f>
        <v>834.03844859722494</v>
      </c>
      <c r="M62" s="199">
        <f t="shared" si="0"/>
        <v>3614.1666105879744</v>
      </c>
      <c r="N62" s="333"/>
      <c r="O62" s="334"/>
      <c r="P62" s="335"/>
      <c r="Q62" s="336"/>
      <c r="R62" s="336"/>
      <c r="S62" s="336"/>
      <c r="T62" s="126"/>
    </row>
    <row r="63" spans="1:20">
      <c r="A63" s="195" t="s">
        <v>147</v>
      </c>
      <c r="B63" s="195" t="s">
        <v>158</v>
      </c>
      <c r="C63" s="195" t="s">
        <v>133</v>
      </c>
      <c r="D63" s="195" t="s">
        <v>84</v>
      </c>
      <c r="E63" s="195" t="s">
        <v>98</v>
      </c>
      <c r="F63" s="196" t="s">
        <v>93</v>
      </c>
      <c r="G63" s="195" t="s">
        <v>268</v>
      </c>
      <c r="H63" s="195" t="str">
        <f t="shared" si="1"/>
        <v>1.5 yard Regular</v>
      </c>
      <c r="I63" s="197" t="s">
        <v>276</v>
      </c>
      <c r="J63" s="197">
        <f>References!$C$33</f>
        <v>250</v>
      </c>
      <c r="K63" s="198">
        <f>References!$C$10</f>
        <v>8.6666666666666661</v>
      </c>
      <c r="L63" s="199">
        <f>IFERROR((VLOOKUP(C63,'Murrey''s Price Out'!$C$87:$AE$157,29,FALSE)+VLOOKUP(C63,'American Price Out'!$C$87:$AE$157,29,FALSE)),0)</f>
        <v>89.625014880361888</v>
      </c>
      <c r="M63" s="199">
        <f t="shared" si="0"/>
        <v>776.75012896313626</v>
      </c>
      <c r="R63" s="242"/>
    </row>
    <row r="64" spans="1:20">
      <c r="A64" s="195" t="s">
        <v>147</v>
      </c>
      <c r="B64" s="195" t="s">
        <v>158</v>
      </c>
      <c r="C64" s="195" t="s">
        <v>218</v>
      </c>
      <c r="D64" s="195" t="s">
        <v>84</v>
      </c>
      <c r="E64" s="195" t="s">
        <v>98</v>
      </c>
      <c r="F64" s="196" t="s">
        <v>93</v>
      </c>
      <c r="G64" s="195" t="s">
        <v>268</v>
      </c>
      <c r="H64" s="195" t="str">
        <f t="shared" si="1"/>
        <v>1.5 yard Regular</v>
      </c>
      <c r="I64" s="197" t="s">
        <v>276</v>
      </c>
      <c r="J64" s="197">
        <f>References!$C$33</f>
        <v>250</v>
      </c>
      <c r="K64" s="198">
        <f>References!$C$9</f>
        <v>13</v>
      </c>
      <c r="L64" s="199">
        <f>IFERROR((VLOOKUP(C64,'Murrey''s Price Out'!$C$87:$AE$157,29,FALSE)+VLOOKUP(C64,'American Price Out'!$C$87:$AE$157,29,FALSE)),0)</f>
        <v>3</v>
      </c>
      <c r="M64" s="199">
        <f t="shared" si="0"/>
        <v>39</v>
      </c>
      <c r="R64" s="242"/>
    </row>
    <row r="65" spans="1:24">
      <c r="A65" s="195" t="s">
        <v>147</v>
      </c>
      <c r="B65" s="195" t="s">
        <v>158</v>
      </c>
      <c r="C65" s="195" t="s">
        <v>220</v>
      </c>
      <c r="D65" s="195" t="s">
        <v>220</v>
      </c>
      <c r="E65" s="195" t="s">
        <v>98</v>
      </c>
      <c r="F65" s="196" t="s">
        <v>93</v>
      </c>
      <c r="G65" s="202" t="s">
        <v>269</v>
      </c>
      <c r="H65" s="195" t="str">
        <f t="shared" si="1"/>
        <v>1.5 yard Extra</v>
      </c>
      <c r="I65" s="197" t="s">
        <v>276</v>
      </c>
      <c r="J65" s="197">
        <f>References!$C$33</f>
        <v>250</v>
      </c>
      <c r="K65" s="198">
        <f>References!$C$14</f>
        <v>1</v>
      </c>
      <c r="L65" s="199">
        <f>IFERROR((VLOOKUP(C65,'Murrey''s Price Out'!$C$87:$AE$157,29,FALSE)+VLOOKUP(C65,'American Price Out'!$C$87:$AE$157,29,FALSE)),0)</f>
        <v>2</v>
      </c>
      <c r="M65" s="199">
        <f t="shared" si="0"/>
        <v>2</v>
      </c>
      <c r="R65" s="242"/>
    </row>
    <row r="66" spans="1:24">
      <c r="A66" s="195" t="s">
        <v>147</v>
      </c>
      <c r="B66" s="195" t="s">
        <v>158</v>
      </c>
      <c r="C66" s="195" t="s">
        <v>139</v>
      </c>
      <c r="D66" s="195" t="s">
        <v>139</v>
      </c>
      <c r="E66" s="195" t="s">
        <v>98</v>
      </c>
      <c r="F66" s="196" t="s">
        <v>93</v>
      </c>
      <c r="G66" s="202" t="s">
        <v>821</v>
      </c>
      <c r="H66" s="195" t="str">
        <f t="shared" ref="H66:H127" si="4">CONCATENATE(E66," ",G66)</f>
        <v>1.5 yard Temp</v>
      </c>
      <c r="I66" s="197" t="s">
        <v>276</v>
      </c>
      <c r="J66" s="197">
        <f>References!$C$33</f>
        <v>250</v>
      </c>
      <c r="K66" s="198">
        <f>References!$C$14</f>
        <v>1</v>
      </c>
      <c r="L66" s="199">
        <f>IFERROR((VLOOKUP(C66,'Murrey''s Price Out'!$C$87:$AE$157,29,FALSE)+VLOOKUP(C66,'American Price Out'!$C$87:$AE$157,29,FALSE)),0)</f>
        <v>6</v>
      </c>
      <c r="M66" s="199">
        <f t="shared" si="0"/>
        <v>6</v>
      </c>
      <c r="O66" s="126"/>
      <c r="R66" s="242"/>
    </row>
    <row r="67" spans="1:24">
      <c r="A67" s="195" t="s">
        <v>147</v>
      </c>
      <c r="B67" s="195" t="s">
        <v>158</v>
      </c>
      <c r="C67" s="195" t="s">
        <v>83</v>
      </c>
      <c r="D67" s="195" t="s">
        <v>83</v>
      </c>
      <c r="E67" s="195" t="s">
        <v>97</v>
      </c>
      <c r="F67" s="196" t="s">
        <v>93</v>
      </c>
      <c r="G67" s="195" t="s">
        <v>268</v>
      </c>
      <c r="H67" s="195" t="str">
        <f t="shared" si="4"/>
        <v>1 yard Regular</v>
      </c>
      <c r="I67" s="197" t="s">
        <v>275</v>
      </c>
      <c r="J67" s="197">
        <f>References!$C$32</f>
        <v>175</v>
      </c>
      <c r="K67" s="198">
        <f>References!$C$11</f>
        <v>4.333333333333333</v>
      </c>
      <c r="L67" s="199">
        <f>IFERROR((VLOOKUP(C67,'Murrey''s Price Out'!$C$87:$AE$157,29,FALSE)+VLOOKUP(C67,'American Price Out'!$C$87:$AE$157,29,FALSE)),0)</f>
        <v>88.750137136588037</v>
      </c>
      <c r="M67" s="199">
        <f t="shared" ref="M67:M127" si="5">IF(L67=0,K67*12,K67*L67)</f>
        <v>384.58392759188149</v>
      </c>
      <c r="R67" s="242"/>
    </row>
    <row r="68" spans="1:24" s="332" customFormat="1">
      <c r="A68" s="331" t="s">
        <v>147</v>
      </c>
      <c r="B68" s="195" t="s">
        <v>158</v>
      </c>
      <c r="C68" s="195" t="s">
        <v>474</v>
      </c>
      <c r="D68" s="195" t="s">
        <v>474</v>
      </c>
      <c r="E68" s="195" t="s">
        <v>97</v>
      </c>
      <c r="F68" s="196" t="s">
        <v>93</v>
      </c>
      <c r="G68" s="195" t="s">
        <v>268</v>
      </c>
      <c r="H68" s="195" t="str">
        <f t="shared" si="4"/>
        <v>1 yard Regular</v>
      </c>
      <c r="I68" s="197" t="s">
        <v>275</v>
      </c>
      <c r="J68" s="197">
        <f>[19]References!$C$32</f>
        <v>175</v>
      </c>
      <c r="K68" s="198">
        <f>[19]References!$C$11</f>
        <v>4.333333333333333</v>
      </c>
      <c r="L68" s="199">
        <f>IFERROR((VLOOKUP(C68,'[19]Murrey''s Price Out'!$C$87:$AE$157,29,FALSE)+VLOOKUP(C68,'[19]American Price Out'!$C$87:$AE$157,29,FALSE)),0)</f>
        <v>4465.7735619307405</v>
      </c>
      <c r="M68" s="199">
        <f t="shared" si="5"/>
        <v>19351.685435033207</v>
      </c>
      <c r="N68" s="126"/>
      <c r="O68" s="114"/>
      <c r="P68" s="114"/>
      <c r="Q68" s="114"/>
      <c r="R68" s="242"/>
      <c r="S68" s="114"/>
      <c r="T68" s="114"/>
      <c r="X68" s="337"/>
    </row>
    <row r="69" spans="1:24">
      <c r="A69" s="195" t="s">
        <v>147</v>
      </c>
      <c r="B69" s="195" t="s">
        <v>158</v>
      </c>
      <c r="C69" s="195" t="s">
        <v>131</v>
      </c>
      <c r="D69" s="195" t="s">
        <v>83</v>
      </c>
      <c r="E69" s="195" t="s">
        <v>97</v>
      </c>
      <c r="F69" s="196" t="s">
        <v>93</v>
      </c>
      <c r="G69" s="195" t="s">
        <v>268</v>
      </c>
      <c r="H69" s="195" t="str">
        <f t="shared" si="4"/>
        <v>1 yard Regular</v>
      </c>
      <c r="I69" s="197" t="s">
        <v>275</v>
      </c>
      <c r="J69" s="197">
        <f>References!$C$32</f>
        <v>175</v>
      </c>
      <c r="K69" s="198">
        <f>References!$C$10</f>
        <v>8.6666666666666661</v>
      </c>
      <c r="L69" s="199">
        <f>IFERROR((VLOOKUP(C69,'Murrey''s Price Out'!$C$87:$AE$157,29,FALSE)+VLOOKUP(C69,'American Price Out'!$C$87:$AE$157,29,FALSE)),0)</f>
        <v>26.999986285588896</v>
      </c>
      <c r="M69" s="199">
        <f t="shared" si="5"/>
        <v>233.99988114177043</v>
      </c>
      <c r="R69" s="242"/>
    </row>
    <row r="70" spans="1:24">
      <c r="A70" s="195" t="s">
        <v>147</v>
      </c>
      <c r="B70" s="195" t="s">
        <v>158</v>
      </c>
      <c r="C70" s="195" t="s">
        <v>132</v>
      </c>
      <c r="D70" s="195" t="s">
        <v>83</v>
      </c>
      <c r="E70" s="195" t="s">
        <v>97</v>
      </c>
      <c r="F70" s="196" t="s">
        <v>93</v>
      </c>
      <c r="G70" s="195" t="s">
        <v>268</v>
      </c>
      <c r="H70" s="195" t="str">
        <f t="shared" si="4"/>
        <v>1 yard Regular</v>
      </c>
      <c r="I70" s="197" t="s">
        <v>275</v>
      </c>
      <c r="J70" s="197">
        <f>References!$C$32</f>
        <v>175</v>
      </c>
      <c r="K70" s="198">
        <f>References!$C$9</f>
        <v>13</v>
      </c>
      <c r="L70" s="199">
        <f>IFERROR((VLOOKUP(C70,'Murrey''s Price Out'!$C$87:$AE$157,29,FALSE)+VLOOKUP(C70,'American Price Out'!$C$87:$AE$157,29,FALSE)),0)</f>
        <v>72</v>
      </c>
      <c r="M70" s="199">
        <f t="shared" si="5"/>
        <v>936</v>
      </c>
      <c r="R70" s="242"/>
    </row>
    <row r="71" spans="1:24">
      <c r="A71" s="195" t="s">
        <v>147</v>
      </c>
      <c r="B71" s="195" t="s">
        <v>158</v>
      </c>
      <c r="C71" s="195" t="s">
        <v>204</v>
      </c>
      <c r="D71" s="195" t="s">
        <v>204</v>
      </c>
      <c r="E71" s="195" t="s">
        <v>97</v>
      </c>
      <c r="F71" s="196" t="s">
        <v>93</v>
      </c>
      <c r="G71" s="202" t="s">
        <v>269</v>
      </c>
      <c r="H71" s="195" t="str">
        <f t="shared" si="4"/>
        <v>1 yard Extra</v>
      </c>
      <c r="I71" s="197" t="s">
        <v>275</v>
      </c>
      <c r="J71" s="197">
        <f>References!$C$32</f>
        <v>175</v>
      </c>
      <c r="K71" s="198">
        <f>References!$C$14</f>
        <v>1</v>
      </c>
      <c r="L71" s="199">
        <f>IFERROR((VLOOKUP(C71,'Murrey''s Price Out'!$C$87:$AE$157,29,FALSE)+VLOOKUP(C71,'American Price Out'!$C$87:$AE$157,29,FALSE)),0)</f>
        <v>0</v>
      </c>
      <c r="M71" s="199">
        <f t="shared" si="5"/>
        <v>12</v>
      </c>
      <c r="R71" s="242"/>
    </row>
    <row r="72" spans="1:24">
      <c r="A72" s="195" t="s">
        <v>147</v>
      </c>
      <c r="B72" s="195" t="s">
        <v>158</v>
      </c>
      <c r="C72" s="195" t="s">
        <v>222</v>
      </c>
      <c r="D72" s="195" t="s">
        <v>204</v>
      </c>
      <c r="E72" s="195" t="s">
        <v>97</v>
      </c>
      <c r="F72" s="196" t="s">
        <v>93</v>
      </c>
      <c r="G72" s="202" t="s">
        <v>269</v>
      </c>
      <c r="H72" s="195" t="str">
        <f t="shared" si="4"/>
        <v>1 yard Extra</v>
      </c>
      <c r="I72" s="197" t="s">
        <v>275</v>
      </c>
      <c r="J72" s="197">
        <f>References!$C$32</f>
        <v>175</v>
      </c>
      <c r="K72" s="198">
        <f>References!$C$14</f>
        <v>1</v>
      </c>
      <c r="L72" s="199">
        <f>IFERROR((VLOOKUP(C72,'Murrey''s Price Out'!$C$87:$AE$157,29,FALSE)+VLOOKUP(C72,'American Price Out'!$C$87:$AE$157,29,FALSE)),0)</f>
        <v>31.487146529562978</v>
      </c>
      <c r="M72" s="199">
        <f t="shared" si="5"/>
        <v>31.487146529562978</v>
      </c>
      <c r="R72" s="242"/>
    </row>
    <row r="73" spans="1:24">
      <c r="A73" s="195" t="s">
        <v>147</v>
      </c>
      <c r="B73" s="195" t="s">
        <v>158</v>
      </c>
      <c r="C73" s="195" t="s">
        <v>223</v>
      </c>
      <c r="D73" s="195" t="s">
        <v>223</v>
      </c>
      <c r="E73" s="195" t="s">
        <v>97</v>
      </c>
      <c r="F73" s="196" t="s">
        <v>93</v>
      </c>
      <c r="G73" s="195" t="s">
        <v>821</v>
      </c>
      <c r="H73" s="195" t="str">
        <f t="shared" si="4"/>
        <v>1 yard Temp</v>
      </c>
      <c r="I73" s="197" t="s">
        <v>275</v>
      </c>
      <c r="J73" s="197">
        <f>References!$C$32</f>
        <v>175</v>
      </c>
      <c r="K73" s="198">
        <f>References!$C$14</f>
        <v>1</v>
      </c>
      <c r="L73" s="199">
        <f>IFERROR((VLOOKUP(C73,'Murrey''s Price Out'!$C$87:$AE$157,29,FALSE)+VLOOKUP(C73,'American Price Out'!$C$87:$AE$157,29,FALSE)),0)</f>
        <v>37.25</v>
      </c>
      <c r="M73" s="199">
        <f t="shared" si="5"/>
        <v>37.25</v>
      </c>
      <c r="R73" s="242"/>
    </row>
    <row r="74" spans="1:24">
      <c r="A74" s="195" t="s">
        <v>147</v>
      </c>
      <c r="B74" s="195" t="s">
        <v>158</v>
      </c>
      <c r="C74" s="195" t="s">
        <v>85</v>
      </c>
      <c r="D74" s="195" t="s">
        <v>85</v>
      </c>
      <c r="E74" s="195" t="s">
        <v>99</v>
      </c>
      <c r="F74" s="196" t="s">
        <v>93</v>
      </c>
      <c r="G74" s="195" t="s">
        <v>268</v>
      </c>
      <c r="H74" s="195" t="str">
        <f t="shared" si="4"/>
        <v>2 yard Regular</v>
      </c>
      <c r="I74" s="197" t="s">
        <v>281</v>
      </c>
      <c r="J74" s="197">
        <f>References!$C$34</f>
        <v>324</v>
      </c>
      <c r="K74" s="198">
        <f>References!$C$11</f>
        <v>4.333333333333333</v>
      </c>
      <c r="L74" s="199">
        <f>IFERROR((VLOOKUP(C74,'Murrey''s Price Out'!$C$87:$AE$157,29,FALSE)+VLOOKUP(C74,'American Price Out'!$C$87:$AE$157,29,FALSE)),0)</f>
        <v>380.99998429352263</v>
      </c>
      <c r="M74" s="199">
        <f t="shared" si="5"/>
        <v>1650.9999319385979</v>
      </c>
      <c r="R74" s="242"/>
    </row>
    <row r="75" spans="1:24">
      <c r="A75" s="195" t="s">
        <v>147</v>
      </c>
      <c r="B75" s="195" t="s">
        <v>158</v>
      </c>
      <c r="C75" s="195" t="s">
        <v>134</v>
      </c>
      <c r="D75" s="195" t="s">
        <v>85</v>
      </c>
      <c r="E75" s="195" t="s">
        <v>99</v>
      </c>
      <c r="F75" s="196" t="s">
        <v>93</v>
      </c>
      <c r="G75" s="195" t="s">
        <v>268</v>
      </c>
      <c r="H75" s="195" t="str">
        <f t="shared" si="4"/>
        <v>2 yard Regular</v>
      </c>
      <c r="I75" s="197" t="s">
        <v>281</v>
      </c>
      <c r="J75" s="197">
        <f>References!$C$34</f>
        <v>324</v>
      </c>
      <c r="K75" s="198">
        <f>References!$C$11</f>
        <v>4.333333333333333</v>
      </c>
      <c r="L75" s="199">
        <f>IFERROR((VLOOKUP(C75,'Murrey''s Price Out'!$C$87:$AE$157,29,FALSE)+VLOOKUP(C75,'American Price Out'!$C$87:$AE$157,29,FALSE)),0)</f>
        <v>5219.442603496399</v>
      </c>
      <c r="M75" s="199">
        <f t="shared" si="5"/>
        <v>22617.58461515106</v>
      </c>
      <c r="R75" s="242"/>
    </row>
    <row r="76" spans="1:24">
      <c r="A76" s="195" t="s">
        <v>147</v>
      </c>
      <c r="B76" s="195" t="s">
        <v>158</v>
      </c>
      <c r="C76" s="195" t="s">
        <v>86</v>
      </c>
      <c r="D76" s="195" t="s">
        <v>85</v>
      </c>
      <c r="E76" s="195" t="s">
        <v>99</v>
      </c>
      <c r="F76" s="196" t="s">
        <v>93</v>
      </c>
      <c r="G76" s="195" t="s">
        <v>268</v>
      </c>
      <c r="H76" s="195" t="str">
        <f t="shared" si="4"/>
        <v>2 yard Regular</v>
      </c>
      <c r="I76" s="197" t="s">
        <v>281</v>
      </c>
      <c r="J76" s="197">
        <f>References!$C$34</f>
        <v>324</v>
      </c>
      <c r="K76" s="198">
        <f>References!$C$10</f>
        <v>8.6666666666666661</v>
      </c>
      <c r="L76" s="199">
        <f>IFERROR((VLOOKUP(C76,'Murrey''s Price Out'!$C$87:$AE$157,29,FALSE)+VLOOKUP(C76,'American Price Out'!$C$87:$AE$157,29,FALSE)),0)</f>
        <v>41.000019798576808</v>
      </c>
      <c r="M76" s="199">
        <f t="shared" si="5"/>
        <v>355.33350492099896</v>
      </c>
      <c r="R76" s="242"/>
    </row>
    <row r="77" spans="1:24">
      <c r="A77" s="195" t="s">
        <v>147</v>
      </c>
      <c r="B77" s="195" t="s">
        <v>158</v>
      </c>
      <c r="C77" s="195" t="s">
        <v>135</v>
      </c>
      <c r="D77" s="195" t="s">
        <v>85</v>
      </c>
      <c r="E77" s="195" t="s">
        <v>99</v>
      </c>
      <c r="F77" s="196" t="s">
        <v>93</v>
      </c>
      <c r="G77" s="195" t="s">
        <v>268</v>
      </c>
      <c r="H77" s="195" t="str">
        <f t="shared" si="4"/>
        <v>2 yard Regular</v>
      </c>
      <c r="I77" s="197" t="s">
        <v>281</v>
      </c>
      <c r="J77" s="197">
        <f>References!$C$34</f>
        <v>324</v>
      </c>
      <c r="K77" s="198">
        <f>References!$C$10</f>
        <v>8.6666666666666661</v>
      </c>
      <c r="L77" s="199">
        <f>IFERROR((VLOOKUP(C77,'Murrey''s Price Out'!$C$87:$AE$157,29,FALSE)+VLOOKUP(C77,'American Price Out'!$C$87:$AE$157,29,FALSE)),0)</f>
        <v>1051.6477047046415</v>
      </c>
      <c r="M77" s="199">
        <f t="shared" si="5"/>
        <v>9114.280107440225</v>
      </c>
      <c r="R77" s="242"/>
    </row>
    <row r="78" spans="1:24">
      <c r="A78" s="195" t="s">
        <v>147</v>
      </c>
      <c r="B78" s="195" t="s">
        <v>158</v>
      </c>
      <c r="C78" s="195" t="s">
        <v>122</v>
      </c>
      <c r="D78" s="195" t="s">
        <v>85</v>
      </c>
      <c r="E78" s="195" t="s">
        <v>99</v>
      </c>
      <c r="F78" s="196" t="s">
        <v>93</v>
      </c>
      <c r="G78" s="195" t="s">
        <v>268</v>
      </c>
      <c r="H78" s="195" t="str">
        <f t="shared" si="4"/>
        <v>2 yard Regular</v>
      </c>
      <c r="I78" s="197" t="s">
        <v>281</v>
      </c>
      <c r="J78" s="197">
        <f>References!$C$34</f>
        <v>324</v>
      </c>
      <c r="K78" s="198">
        <f>References!$C$9</f>
        <v>13</v>
      </c>
      <c r="L78" s="199">
        <f>IFERROR((VLOOKUP(C78,'Murrey''s Price Out'!$C$87:$AE$157,29,FALSE)+VLOOKUP(C78,'American Price Out'!$C$87:$AE$157,29,FALSE)),0)</f>
        <v>24</v>
      </c>
      <c r="M78" s="199">
        <f t="shared" si="5"/>
        <v>312</v>
      </c>
      <c r="R78" s="242"/>
    </row>
    <row r="79" spans="1:24">
      <c r="A79" s="195" t="s">
        <v>147</v>
      </c>
      <c r="B79" s="195" t="s">
        <v>158</v>
      </c>
      <c r="C79" s="195" t="s">
        <v>136</v>
      </c>
      <c r="D79" s="195" t="s">
        <v>85</v>
      </c>
      <c r="E79" s="195" t="s">
        <v>99</v>
      </c>
      <c r="F79" s="196" t="s">
        <v>93</v>
      </c>
      <c r="G79" s="195" t="s">
        <v>268</v>
      </c>
      <c r="H79" s="195" t="str">
        <f t="shared" si="4"/>
        <v>2 yard Regular</v>
      </c>
      <c r="I79" s="197" t="s">
        <v>281</v>
      </c>
      <c r="J79" s="197">
        <f>References!$C$34</f>
        <v>324</v>
      </c>
      <c r="K79" s="198">
        <f>References!$C$9</f>
        <v>13</v>
      </c>
      <c r="L79" s="199">
        <f>IFERROR((VLOOKUP(C79,'Murrey''s Price Out'!$C$87:$AE$157,29,FALSE)+VLOOKUP(C79,'American Price Out'!$C$87:$AE$157,29,FALSE)),0)</f>
        <v>246.56510584968072</v>
      </c>
      <c r="M79" s="199">
        <f t="shared" si="5"/>
        <v>3205.3463760458494</v>
      </c>
    </row>
    <row r="80" spans="1:24">
      <c r="A80" s="195" t="s">
        <v>147</v>
      </c>
      <c r="B80" s="195" t="s">
        <v>158</v>
      </c>
      <c r="C80" s="195" t="s">
        <v>137</v>
      </c>
      <c r="D80" s="195" t="s">
        <v>85</v>
      </c>
      <c r="E80" s="195" t="s">
        <v>99</v>
      </c>
      <c r="F80" s="196" t="s">
        <v>93</v>
      </c>
      <c r="G80" s="195" t="s">
        <v>268</v>
      </c>
      <c r="H80" s="195" t="str">
        <f t="shared" si="4"/>
        <v>2 yard Regular</v>
      </c>
      <c r="I80" s="197" t="s">
        <v>281</v>
      </c>
      <c r="J80" s="197">
        <f>References!$C$34</f>
        <v>324</v>
      </c>
      <c r="K80" s="198">
        <f>References!$C$8</f>
        <v>17.333333333333332</v>
      </c>
      <c r="L80" s="199">
        <f>IFERROR((VLOOKUP(C80,'Murrey''s Price Out'!$C$87:$AE$157,29,FALSE)+VLOOKUP(C80,'American Price Out'!$C$87:$AE$157,29,FALSE)),0)</f>
        <v>12</v>
      </c>
      <c r="M80" s="199">
        <f t="shared" si="5"/>
        <v>208</v>
      </c>
    </row>
    <row r="81" spans="1:15">
      <c r="A81" s="195" t="s">
        <v>147</v>
      </c>
      <c r="B81" s="195" t="s">
        <v>158</v>
      </c>
      <c r="C81" s="195" t="s">
        <v>138</v>
      </c>
      <c r="D81" s="195" t="s">
        <v>85</v>
      </c>
      <c r="E81" s="195" t="s">
        <v>99</v>
      </c>
      <c r="F81" s="196" t="s">
        <v>93</v>
      </c>
      <c r="G81" s="195" t="s">
        <v>268</v>
      </c>
      <c r="H81" s="195" t="str">
        <f t="shared" si="4"/>
        <v>2 yard Regular</v>
      </c>
      <c r="I81" s="197" t="s">
        <v>281</v>
      </c>
      <c r="J81" s="197">
        <f>References!$C$34</f>
        <v>324</v>
      </c>
      <c r="K81" s="198">
        <f>References!$C$7</f>
        <v>21.666666666666668</v>
      </c>
      <c r="L81" s="199">
        <f>IFERROR((VLOOKUP(C81,'Murrey''s Price Out'!$C$87:$AE$157,29,FALSE)+VLOOKUP(C81,'American Price Out'!$C$87:$AE$157,29,FALSE)),0)</f>
        <v>58</v>
      </c>
      <c r="M81" s="199">
        <f t="shared" si="5"/>
        <v>1256.6666666666667</v>
      </c>
    </row>
    <row r="82" spans="1:15">
      <c r="A82" s="195" t="s">
        <v>147</v>
      </c>
      <c r="B82" s="195" t="s">
        <v>158</v>
      </c>
      <c r="C82" s="195" t="s">
        <v>205</v>
      </c>
      <c r="D82" s="195" t="s">
        <v>205</v>
      </c>
      <c r="E82" s="195" t="s">
        <v>99</v>
      </c>
      <c r="F82" s="196" t="s">
        <v>93</v>
      </c>
      <c r="G82" s="202" t="s">
        <v>269</v>
      </c>
      <c r="H82" s="195" t="str">
        <f t="shared" si="4"/>
        <v>2 yard Extra</v>
      </c>
      <c r="I82" s="197" t="s">
        <v>281</v>
      </c>
      <c r="J82" s="197">
        <f>References!$C$34</f>
        <v>324</v>
      </c>
      <c r="K82" s="198">
        <f>References!$C$14</f>
        <v>1</v>
      </c>
      <c r="L82" s="199">
        <f>IFERROR((VLOOKUP(C82,'Murrey''s Price Out'!$C$87:$AE$157,29,FALSE)+VLOOKUP(C82,'American Price Out'!$C$87:$AE$157,29,FALSE)),0)</f>
        <v>4</v>
      </c>
      <c r="M82" s="199">
        <f t="shared" si="5"/>
        <v>4</v>
      </c>
    </row>
    <row r="83" spans="1:15">
      <c r="A83" s="195" t="s">
        <v>147</v>
      </c>
      <c r="B83" s="195" t="s">
        <v>158</v>
      </c>
      <c r="C83" s="195" t="s">
        <v>225</v>
      </c>
      <c r="D83" s="195" t="s">
        <v>205</v>
      </c>
      <c r="E83" s="195" t="s">
        <v>99</v>
      </c>
      <c r="F83" s="196" t="s">
        <v>93</v>
      </c>
      <c r="G83" s="202" t="s">
        <v>269</v>
      </c>
      <c r="H83" s="195" t="str">
        <f t="shared" si="4"/>
        <v>2 yard Extra</v>
      </c>
      <c r="I83" s="197" t="s">
        <v>281</v>
      </c>
      <c r="J83" s="197">
        <f>References!$C$34</f>
        <v>324</v>
      </c>
      <c r="K83" s="198">
        <f>References!$C$14</f>
        <v>1</v>
      </c>
      <c r="L83" s="199">
        <f>IFERROR((VLOOKUP(C83,'Murrey''s Price Out'!$C$87:$AE$157,29,FALSE)+VLOOKUP(C83,'American Price Out'!$C$87:$AE$157,29,FALSE)),0)</f>
        <v>97.782047975238584</v>
      </c>
      <c r="M83" s="199">
        <f t="shared" si="5"/>
        <v>97.782047975238584</v>
      </c>
    </row>
    <row r="84" spans="1:15">
      <c r="A84" s="195" t="s">
        <v>147</v>
      </c>
      <c r="B84" s="195" t="s">
        <v>158</v>
      </c>
      <c r="C84" s="195" t="s">
        <v>140</v>
      </c>
      <c r="D84" s="195" t="s">
        <v>140</v>
      </c>
      <c r="E84" s="195" t="s">
        <v>99</v>
      </c>
      <c r="F84" s="196" t="s">
        <v>93</v>
      </c>
      <c r="G84" s="195" t="s">
        <v>821</v>
      </c>
      <c r="H84" s="195" t="str">
        <f t="shared" si="4"/>
        <v>2 yard Temp</v>
      </c>
      <c r="I84" s="197" t="s">
        <v>281</v>
      </c>
      <c r="J84" s="197">
        <f>References!$C$34</f>
        <v>324</v>
      </c>
      <c r="K84" s="198">
        <f>References!$C$14</f>
        <v>1</v>
      </c>
      <c r="L84" s="199">
        <f>IFERROR((VLOOKUP(C84,'Murrey''s Price Out'!$C$87:$AE$157,29,FALSE)+VLOOKUP(C84,'American Price Out'!$C$87:$AE$157,29,FALSE)),0)</f>
        <v>140.97697962342016</v>
      </c>
      <c r="M84" s="199">
        <f t="shared" si="5"/>
        <v>140.97697962342016</v>
      </c>
    </row>
    <row r="85" spans="1:15">
      <c r="A85" s="195" t="s">
        <v>147</v>
      </c>
      <c r="B85" s="195" t="s">
        <v>158</v>
      </c>
      <c r="C85" s="195" t="s">
        <v>123</v>
      </c>
      <c r="D85" s="195" t="s">
        <v>123</v>
      </c>
      <c r="E85" s="195" t="s">
        <v>100</v>
      </c>
      <c r="F85" s="196" t="s">
        <v>93</v>
      </c>
      <c r="G85" s="195" t="s">
        <v>268</v>
      </c>
      <c r="H85" s="195" t="str">
        <f t="shared" si="4"/>
        <v>4 yard Regular</v>
      </c>
      <c r="I85" s="197" t="s">
        <v>278</v>
      </c>
      <c r="J85" s="197">
        <f>References!$C$36</f>
        <v>613</v>
      </c>
      <c r="K85" s="198">
        <f>References!$C$11</f>
        <v>4.333333333333333</v>
      </c>
      <c r="L85" s="199">
        <f>IFERROR((VLOOKUP(C85,'Murrey''s Price Out'!$C$87:$AE$157,29,FALSE)+VLOOKUP(C85,'American Price Out'!$C$87:$AE$157,29,FALSE)),0)</f>
        <v>2306.3829754265662</v>
      </c>
      <c r="M85" s="199">
        <f t="shared" si="5"/>
        <v>9994.3262268484523</v>
      </c>
    </row>
    <row r="86" spans="1:15">
      <c r="A86" s="195" t="s">
        <v>147</v>
      </c>
      <c r="B86" s="195" t="s">
        <v>158</v>
      </c>
      <c r="C86" s="195" t="s">
        <v>124</v>
      </c>
      <c r="D86" s="195" t="s">
        <v>123</v>
      </c>
      <c r="E86" s="195" t="s">
        <v>100</v>
      </c>
      <c r="F86" s="196" t="s">
        <v>93</v>
      </c>
      <c r="G86" s="195" t="s">
        <v>268</v>
      </c>
      <c r="H86" s="195" t="str">
        <f t="shared" si="4"/>
        <v>4 yard Regular</v>
      </c>
      <c r="I86" s="197" t="s">
        <v>278</v>
      </c>
      <c r="J86" s="197">
        <f>References!$C$36</f>
        <v>613</v>
      </c>
      <c r="K86" s="198">
        <f>References!$C$10</f>
        <v>8.6666666666666661</v>
      </c>
      <c r="L86" s="199">
        <f>IFERROR((VLOOKUP(C86,'Murrey''s Price Out'!$C$87:$AE$157,29,FALSE)+VLOOKUP(C86,'American Price Out'!$C$87:$AE$157,29,FALSE)),0)</f>
        <v>389.81943901294585</v>
      </c>
      <c r="M86" s="199">
        <f t="shared" si="5"/>
        <v>3378.4351381121969</v>
      </c>
    </row>
    <row r="87" spans="1:15">
      <c r="A87" s="195" t="s">
        <v>147</v>
      </c>
      <c r="B87" s="195" t="s">
        <v>158</v>
      </c>
      <c r="C87" s="195" t="s">
        <v>125</v>
      </c>
      <c r="D87" s="195" t="s">
        <v>123</v>
      </c>
      <c r="E87" s="195" t="s">
        <v>100</v>
      </c>
      <c r="F87" s="196" t="s">
        <v>93</v>
      </c>
      <c r="G87" s="195" t="s">
        <v>268</v>
      </c>
      <c r="H87" s="195" t="str">
        <f t="shared" si="4"/>
        <v>4 yard Regular</v>
      </c>
      <c r="I87" s="197" t="s">
        <v>278</v>
      </c>
      <c r="J87" s="197">
        <f>References!$C$36</f>
        <v>613</v>
      </c>
      <c r="K87" s="198">
        <f>References!$C$9</f>
        <v>13</v>
      </c>
      <c r="L87" s="199">
        <f>IFERROR((VLOOKUP(C87,'Murrey''s Price Out'!$C$87:$AE$157,29,FALSE)+VLOOKUP(C87,'American Price Out'!$C$87:$AE$157,29,FALSE)),0)</f>
        <v>51.75</v>
      </c>
      <c r="M87" s="199">
        <f t="shared" si="5"/>
        <v>672.75</v>
      </c>
    </row>
    <row r="88" spans="1:15">
      <c r="A88" s="195" t="s">
        <v>147</v>
      </c>
      <c r="B88" s="195" t="s">
        <v>158</v>
      </c>
      <c r="C88" s="195" t="s">
        <v>206</v>
      </c>
      <c r="D88" s="195" t="s">
        <v>123</v>
      </c>
      <c r="E88" s="195" t="s">
        <v>100</v>
      </c>
      <c r="F88" s="196" t="s">
        <v>93</v>
      </c>
      <c r="G88" s="195" t="s">
        <v>268</v>
      </c>
      <c r="H88" s="195" t="str">
        <f t="shared" si="4"/>
        <v>4 yard Regular</v>
      </c>
      <c r="I88" s="197" t="s">
        <v>278</v>
      </c>
      <c r="J88" s="197">
        <f>References!$C$36</f>
        <v>613</v>
      </c>
      <c r="K88" s="198">
        <f>References!$C$8</f>
        <v>17.333333333333332</v>
      </c>
      <c r="L88" s="199">
        <f>IFERROR((VLOOKUP(C88,'Murrey''s Price Out'!$C$87:$AE$157,29,FALSE)+VLOOKUP(C88,'American Price Out'!$C$87:$AE$157,29,FALSE)),0)</f>
        <v>12</v>
      </c>
      <c r="M88" s="199">
        <f t="shared" si="5"/>
        <v>208</v>
      </c>
    </row>
    <row r="89" spans="1:15">
      <c r="A89" s="195" t="s">
        <v>147</v>
      </c>
      <c r="B89" s="195" t="s">
        <v>158</v>
      </c>
      <c r="C89" s="195" t="s">
        <v>207</v>
      </c>
      <c r="D89" s="195" t="s">
        <v>207</v>
      </c>
      <c r="E89" s="195" t="s">
        <v>100</v>
      </c>
      <c r="F89" s="196" t="s">
        <v>93</v>
      </c>
      <c r="G89" s="202" t="s">
        <v>269</v>
      </c>
      <c r="H89" s="195" t="str">
        <f t="shared" si="4"/>
        <v>4 yard Extra</v>
      </c>
      <c r="I89" s="197" t="s">
        <v>278</v>
      </c>
      <c r="J89" s="197">
        <f>References!$C$36</f>
        <v>613</v>
      </c>
      <c r="K89" s="198">
        <f>References!$C$14</f>
        <v>1</v>
      </c>
      <c r="L89" s="199">
        <f>IFERROR((VLOOKUP(C89,'Murrey''s Price Out'!$C$87:$AE$157,29,FALSE)+VLOOKUP(C89,'American Price Out'!$C$87:$AE$157,29,FALSE)),0)</f>
        <v>73.354066985645929</v>
      </c>
      <c r="M89" s="199">
        <f t="shared" si="5"/>
        <v>73.354066985645929</v>
      </c>
    </row>
    <row r="90" spans="1:15">
      <c r="A90" s="195" t="s">
        <v>147</v>
      </c>
      <c r="B90" s="195" t="s">
        <v>158</v>
      </c>
      <c r="C90" s="195" t="s">
        <v>252</v>
      </c>
      <c r="D90" s="195" t="s">
        <v>252</v>
      </c>
      <c r="E90" s="195" t="s">
        <v>100</v>
      </c>
      <c r="F90" s="196" t="s">
        <v>93</v>
      </c>
      <c r="G90" s="202" t="s">
        <v>821</v>
      </c>
      <c r="H90" s="195" t="str">
        <f t="shared" si="4"/>
        <v>4 yard Temp</v>
      </c>
      <c r="I90" s="197" t="s">
        <v>278</v>
      </c>
      <c r="J90" s="197">
        <f>References!$C$36</f>
        <v>613</v>
      </c>
      <c r="K90" s="198">
        <f>References!$C$14</f>
        <v>1</v>
      </c>
      <c r="L90" s="199">
        <f>IFERROR((VLOOKUP(C90,'Murrey''s Price Out'!$C$87:$AE$157,29,FALSE)+VLOOKUP(C90,'American Price Out'!$C$87:$AE$157,29,FALSE)),0)</f>
        <v>0</v>
      </c>
      <c r="M90" s="199">
        <f t="shared" si="5"/>
        <v>12</v>
      </c>
      <c r="O90" s="8"/>
    </row>
    <row r="91" spans="1:15">
      <c r="A91" s="195" t="s">
        <v>147</v>
      </c>
      <c r="B91" s="195" t="s">
        <v>158</v>
      </c>
      <c r="C91" s="195" t="s">
        <v>126</v>
      </c>
      <c r="D91" s="195" t="s">
        <v>126</v>
      </c>
      <c r="E91" s="195" t="s">
        <v>101</v>
      </c>
      <c r="F91" s="196" t="s">
        <v>93</v>
      </c>
      <c r="G91" s="195" t="s">
        <v>268</v>
      </c>
      <c r="H91" s="195" t="str">
        <f t="shared" si="4"/>
        <v>6 yard Regular</v>
      </c>
      <c r="I91" s="197" t="s">
        <v>279</v>
      </c>
      <c r="J91" s="197">
        <f>References!$C$37</f>
        <v>840</v>
      </c>
      <c r="K91" s="198">
        <f>References!$C$11</f>
        <v>4.333333333333333</v>
      </c>
      <c r="L91" s="199">
        <f>IFERROR((VLOOKUP(C91,'Murrey''s Price Out'!$C$87:$AE$157,29,FALSE)+VLOOKUP(C91,'American Price Out'!$C$87:$AE$157,29,FALSE)),0)</f>
        <v>1713.875382740674</v>
      </c>
      <c r="M91" s="199">
        <f t="shared" si="5"/>
        <v>7426.7933252095872</v>
      </c>
    </row>
    <row r="92" spans="1:15">
      <c r="A92" s="195" t="s">
        <v>147</v>
      </c>
      <c r="B92" s="195" t="s">
        <v>158</v>
      </c>
      <c r="C92" s="195" t="s">
        <v>127</v>
      </c>
      <c r="D92" s="195" t="s">
        <v>126</v>
      </c>
      <c r="E92" s="195" t="s">
        <v>101</v>
      </c>
      <c r="F92" s="196" t="s">
        <v>93</v>
      </c>
      <c r="G92" s="195" t="s">
        <v>268</v>
      </c>
      <c r="H92" s="195" t="str">
        <f t="shared" si="4"/>
        <v>6 yard Regular</v>
      </c>
      <c r="I92" s="197" t="s">
        <v>279</v>
      </c>
      <c r="J92" s="197">
        <f>References!$C$37</f>
        <v>840</v>
      </c>
      <c r="K92" s="198">
        <f>References!$C$10</f>
        <v>8.6666666666666661</v>
      </c>
      <c r="L92" s="199">
        <f>IFERROR((VLOOKUP(C92,'Murrey''s Price Out'!$C$87:$AE$157,29,FALSE)+VLOOKUP(C92,'American Price Out'!$C$87:$AE$157,29,FALSE)),0)</f>
        <v>1195.8298746481669</v>
      </c>
      <c r="M92" s="199">
        <f t="shared" si="5"/>
        <v>10363.858913617445</v>
      </c>
    </row>
    <row r="93" spans="1:15">
      <c r="A93" s="195" t="s">
        <v>147</v>
      </c>
      <c r="B93" s="195" t="s">
        <v>158</v>
      </c>
      <c r="C93" s="195" t="s">
        <v>128</v>
      </c>
      <c r="D93" s="195" t="s">
        <v>126</v>
      </c>
      <c r="E93" s="195" t="s">
        <v>101</v>
      </c>
      <c r="F93" s="196" t="s">
        <v>93</v>
      </c>
      <c r="G93" s="195" t="s">
        <v>268</v>
      </c>
      <c r="H93" s="195" t="str">
        <f t="shared" si="4"/>
        <v>6 yard Regular</v>
      </c>
      <c r="I93" s="197" t="s">
        <v>279</v>
      </c>
      <c r="J93" s="197">
        <f>References!$C$37</f>
        <v>840</v>
      </c>
      <c r="K93" s="198">
        <f>References!$C$9</f>
        <v>13</v>
      </c>
      <c r="L93" s="199">
        <f>IFERROR((VLOOKUP(C93,'Murrey''s Price Out'!$C$87:$AE$157,29,FALSE)+VLOOKUP(C93,'American Price Out'!$C$87:$AE$157,29,FALSE)),0)</f>
        <v>182.49359964778768</v>
      </c>
      <c r="M93" s="199">
        <f t="shared" si="5"/>
        <v>2372.4167954212398</v>
      </c>
    </row>
    <row r="94" spans="1:15">
      <c r="A94" s="195" t="s">
        <v>147</v>
      </c>
      <c r="B94" s="195" t="s">
        <v>158</v>
      </c>
      <c r="C94" s="195" t="s">
        <v>129</v>
      </c>
      <c r="D94" s="195" t="s">
        <v>126</v>
      </c>
      <c r="E94" s="195" t="s">
        <v>101</v>
      </c>
      <c r="F94" s="196" t="s">
        <v>93</v>
      </c>
      <c r="G94" s="195" t="s">
        <v>268</v>
      </c>
      <c r="H94" s="195" t="str">
        <f t="shared" si="4"/>
        <v>6 yard Regular</v>
      </c>
      <c r="I94" s="197" t="s">
        <v>279</v>
      </c>
      <c r="J94" s="197">
        <f>References!$C$37</f>
        <v>840</v>
      </c>
      <c r="K94" s="198">
        <f>References!$C$8</f>
        <v>17.333333333333332</v>
      </c>
      <c r="L94" s="199">
        <f>IFERROR((VLOOKUP(C94,'Murrey''s Price Out'!$C$87:$AE$157,29,FALSE)+VLOOKUP(C94,'American Price Out'!$C$87:$AE$157,29,FALSE)),0)</f>
        <v>31.5</v>
      </c>
      <c r="M94" s="199">
        <f t="shared" si="5"/>
        <v>546</v>
      </c>
    </row>
    <row r="95" spans="1:15">
      <c r="A95" s="195" t="s">
        <v>147</v>
      </c>
      <c r="B95" s="195" t="s">
        <v>158</v>
      </c>
      <c r="C95" s="195" t="s">
        <v>130</v>
      </c>
      <c r="D95" s="195" t="s">
        <v>126</v>
      </c>
      <c r="E95" s="195" t="s">
        <v>101</v>
      </c>
      <c r="F95" s="196" t="s">
        <v>93</v>
      </c>
      <c r="G95" s="195" t="s">
        <v>268</v>
      </c>
      <c r="H95" s="195" t="str">
        <f t="shared" si="4"/>
        <v>6 yard Regular</v>
      </c>
      <c r="I95" s="197" t="s">
        <v>279</v>
      </c>
      <c r="J95" s="197">
        <f>References!$C$37</f>
        <v>840</v>
      </c>
      <c r="K95" s="198">
        <f>References!$C$7</f>
        <v>21.666666666666668</v>
      </c>
      <c r="L95" s="199">
        <f>IFERROR((VLOOKUP(C95,'Murrey''s Price Out'!$C$87:$AE$157,29,FALSE)+VLOOKUP(C95,'American Price Out'!$C$87:$AE$157,29,FALSE)),0)</f>
        <v>47.850000981604722</v>
      </c>
      <c r="M95" s="199">
        <f t="shared" si="5"/>
        <v>1036.7500212681023</v>
      </c>
    </row>
    <row r="96" spans="1:15">
      <c r="A96" s="195" t="s">
        <v>147</v>
      </c>
      <c r="B96" s="195" t="s">
        <v>158</v>
      </c>
      <c r="C96" s="195" t="s">
        <v>208</v>
      </c>
      <c r="D96" s="195" t="s">
        <v>208</v>
      </c>
      <c r="E96" s="195" t="s">
        <v>101</v>
      </c>
      <c r="F96" s="196" t="s">
        <v>93</v>
      </c>
      <c r="G96" s="202" t="s">
        <v>269</v>
      </c>
      <c r="H96" s="195" t="str">
        <f t="shared" si="4"/>
        <v>6 yard Extra</v>
      </c>
      <c r="I96" s="197" t="s">
        <v>279</v>
      </c>
      <c r="J96" s="197">
        <f>References!$C$37</f>
        <v>840</v>
      </c>
      <c r="K96" s="198">
        <f>References!$C$14</f>
        <v>1</v>
      </c>
      <c r="L96" s="199">
        <f>IFERROR((VLOOKUP(C96,'Murrey''s Price Out'!$C$87:$AE$157,29,FALSE)+VLOOKUP(C96,'American Price Out'!$C$87:$AE$157,29,FALSE)),0)</f>
        <v>144.03324440796223</v>
      </c>
      <c r="M96" s="199">
        <f t="shared" si="5"/>
        <v>144.03324440796223</v>
      </c>
    </row>
    <row r="97" spans="1:15">
      <c r="A97" s="195" t="s">
        <v>147</v>
      </c>
      <c r="B97" s="195" t="s">
        <v>158</v>
      </c>
      <c r="C97" s="195" t="s">
        <v>253</v>
      </c>
      <c r="D97" s="195" t="s">
        <v>253</v>
      </c>
      <c r="E97" s="195" t="s">
        <v>101</v>
      </c>
      <c r="F97" s="196" t="s">
        <v>93</v>
      </c>
      <c r="G97" s="202" t="s">
        <v>821</v>
      </c>
      <c r="H97" s="195" t="str">
        <f t="shared" si="4"/>
        <v>6 yard Temp</v>
      </c>
      <c r="I97" s="197" t="s">
        <v>279</v>
      </c>
      <c r="J97" s="197">
        <f>References!$C$37</f>
        <v>840</v>
      </c>
      <c r="K97" s="198">
        <f>References!$C$14</f>
        <v>1</v>
      </c>
      <c r="L97" s="199">
        <f>IFERROR((VLOOKUP(C97,'Murrey''s Price Out'!$C$87:$AE$157,29,FALSE)+VLOOKUP(C97,'American Price Out'!$C$87:$AE$157,29,FALSE)),0)</f>
        <v>0</v>
      </c>
      <c r="M97" s="199">
        <f t="shared" si="5"/>
        <v>12</v>
      </c>
      <c r="O97" s="8"/>
    </row>
    <row r="98" spans="1:15">
      <c r="A98" s="195" t="s">
        <v>147</v>
      </c>
      <c r="B98" s="195" t="s">
        <v>159</v>
      </c>
      <c r="C98" s="195" t="s">
        <v>199</v>
      </c>
      <c r="D98" s="195" t="s">
        <v>812</v>
      </c>
      <c r="E98" s="248" t="s">
        <v>171</v>
      </c>
      <c r="F98" s="249" t="s">
        <v>93</v>
      </c>
      <c r="G98" s="248" t="s">
        <v>827</v>
      </c>
      <c r="H98" s="248" t="str">
        <f t="shared" si="4"/>
        <v>20 Gallon Cart per PU</v>
      </c>
      <c r="I98" s="250" t="s">
        <v>271</v>
      </c>
      <c r="J98" s="250">
        <f>References!$C$17</f>
        <v>20</v>
      </c>
      <c r="K98" s="251">
        <v>1</v>
      </c>
      <c r="L98" s="252">
        <f>IFERROR((VLOOKUP(D98,'Murrey''s Price Out'!$C$87:$AE$157,29,FALSE)+VLOOKUP(C98,'American Price Out'!$C$87:$AE$157,29,FALSE)),0)</f>
        <v>0</v>
      </c>
      <c r="M98" s="252">
        <f t="shared" si="5"/>
        <v>12</v>
      </c>
      <c r="O98" s="8"/>
    </row>
    <row r="99" spans="1:15">
      <c r="A99" s="195" t="s">
        <v>147</v>
      </c>
      <c r="B99" s="195" t="s">
        <v>159</v>
      </c>
      <c r="C99" s="200" t="s">
        <v>199</v>
      </c>
      <c r="D99" s="200" t="s">
        <v>199</v>
      </c>
      <c r="E99" s="248" t="s">
        <v>171</v>
      </c>
      <c r="F99" s="249" t="s">
        <v>150</v>
      </c>
      <c r="G99" s="248" t="s">
        <v>102</v>
      </c>
      <c r="H99" s="248" t="str">
        <f t="shared" si="4"/>
        <v>20 Gallon Cart Minimum</v>
      </c>
      <c r="I99" s="250" t="s">
        <v>271</v>
      </c>
      <c r="J99" s="250">
        <f>References!$C$17</f>
        <v>20</v>
      </c>
      <c r="K99" s="251">
        <f>References!$C$11</f>
        <v>4.333333333333333</v>
      </c>
      <c r="L99" s="252">
        <f>IFERROR((VLOOKUP(D99,'Murrey''s Price Out'!$C$87:$AE$157,29,FALSE)+VLOOKUP(C99,'American Price Out'!$C$87:$AE$157,29,FALSE)),0)</f>
        <v>13.101808439383792</v>
      </c>
      <c r="M99" s="252">
        <f>IF(L99=0,K99*12,K99*L99)</f>
        <v>56.77450323732976</v>
      </c>
      <c r="O99" s="324"/>
    </row>
    <row r="100" spans="1:15">
      <c r="A100" s="195" t="s">
        <v>147</v>
      </c>
      <c r="B100" s="195" t="s">
        <v>159</v>
      </c>
      <c r="C100" s="195" t="s">
        <v>200</v>
      </c>
      <c r="D100" s="195" t="s">
        <v>813</v>
      </c>
      <c r="E100" s="248" t="s">
        <v>172</v>
      </c>
      <c r="F100" s="249" t="s">
        <v>93</v>
      </c>
      <c r="G100" s="248" t="s">
        <v>827</v>
      </c>
      <c r="H100" s="248" t="str">
        <f t="shared" si="4"/>
        <v>35 Gallon Cart per PU</v>
      </c>
      <c r="I100" s="250" t="s">
        <v>272</v>
      </c>
      <c r="J100" s="250">
        <f>References!$C$18</f>
        <v>34</v>
      </c>
      <c r="K100" s="251">
        <v>1</v>
      </c>
      <c r="L100" s="252">
        <f>IFERROR((VLOOKUP(D100,'Murrey''s Price Out'!$C$87:$AE$157,29,FALSE)+VLOOKUP(C100,'American Price Out'!$C$87:$AE$157,29,FALSE)),0)</f>
        <v>0</v>
      </c>
      <c r="M100" s="252">
        <f t="shared" si="5"/>
        <v>12</v>
      </c>
      <c r="O100" s="8"/>
    </row>
    <row r="101" spans="1:15">
      <c r="A101" s="195" t="s">
        <v>147</v>
      </c>
      <c r="B101" s="195" t="s">
        <v>159</v>
      </c>
      <c r="C101" s="200" t="s">
        <v>200</v>
      </c>
      <c r="D101" s="200" t="s">
        <v>200</v>
      </c>
      <c r="E101" s="248" t="s">
        <v>172</v>
      </c>
      <c r="F101" s="249" t="s">
        <v>150</v>
      </c>
      <c r="G101" s="248" t="s">
        <v>102</v>
      </c>
      <c r="H101" s="248" t="str">
        <f t="shared" si="4"/>
        <v>35 Gallon Cart Minimum</v>
      </c>
      <c r="I101" s="250" t="s">
        <v>272</v>
      </c>
      <c r="J101" s="250">
        <f>References!$C$18</f>
        <v>34</v>
      </c>
      <c r="K101" s="251">
        <f>References!$C$11</f>
        <v>4.333333333333333</v>
      </c>
      <c r="L101" s="252">
        <f>IFERROR((VLOOKUP(D101,'Murrey''s Price Out'!$C$87:$AE$157,29,FALSE)+VLOOKUP(C101,'American Price Out'!$C$87:$AE$157,29,FALSE)),0)</f>
        <v>1170.8298707151114</v>
      </c>
      <c r="M101" s="252">
        <f t="shared" si="5"/>
        <v>5073.5961064321491</v>
      </c>
    </row>
    <row r="102" spans="1:15">
      <c r="A102" s="195" t="s">
        <v>147</v>
      </c>
      <c r="B102" s="195" t="s">
        <v>159</v>
      </c>
      <c r="C102" s="195" t="s">
        <v>201</v>
      </c>
      <c r="D102" s="195" t="s">
        <v>814</v>
      </c>
      <c r="E102" s="248" t="s">
        <v>173</v>
      </c>
      <c r="F102" s="249" t="s">
        <v>93</v>
      </c>
      <c r="G102" s="248" t="s">
        <v>827</v>
      </c>
      <c r="H102" s="248" t="str">
        <f t="shared" si="4"/>
        <v>65 Gallon Cart per PU</v>
      </c>
      <c r="I102" s="250" t="s">
        <v>273</v>
      </c>
      <c r="J102" s="250">
        <f>References!$C$25</f>
        <v>47</v>
      </c>
      <c r="K102" s="251">
        <v>1</v>
      </c>
      <c r="L102" s="252">
        <f>IFERROR((VLOOKUP(D102,'Murrey''s Price Out'!$C$87:$AE$157,29,FALSE)+VLOOKUP(C102,'American Price Out'!$C$87:$AE$157,29,FALSE)),0)</f>
        <v>0</v>
      </c>
      <c r="M102" s="252">
        <f t="shared" si="5"/>
        <v>12</v>
      </c>
      <c r="O102" s="8"/>
    </row>
    <row r="103" spans="1:15">
      <c r="A103" s="195" t="s">
        <v>147</v>
      </c>
      <c r="B103" s="195" t="s">
        <v>159</v>
      </c>
      <c r="C103" s="200" t="s">
        <v>201</v>
      </c>
      <c r="D103" s="200" t="s">
        <v>201</v>
      </c>
      <c r="E103" s="248" t="s">
        <v>173</v>
      </c>
      <c r="F103" s="249" t="s">
        <v>150</v>
      </c>
      <c r="G103" s="248" t="s">
        <v>102</v>
      </c>
      <c r="H103" s="248" t="str">
        <f t="shared" si="4"/>
        <v>65 Gallon Cart Minimum</v>
      </c>
      <c r="I103" s="250" t="s">
        <v>273</v>
      </c>
      <c r="J103" s="250">
        <f>References!$C$25</f>
        <v>47</v>
      </c>
      <c r="K103" s="251">
        <f>References!$C$11</f>
        <v>4.333333333333333</v>
      </c>
      <c r="L103" s="252">
        <f>IFERROR((VLOOKUP(D103,'Murrey''s Price Out'!$C$87:$AE$157,29,FALSE)+VLOOKUP(C103,'American Price Out'!$C$87:$AE$157,29,FALSE)),0)</f>
        <v>749.80118020048064</v>
      </c>
      <c r="M103" s="252">
        <f t="shared" si="5"/>
        <v>3249.1384475354157</v>
      </c>
    </row>
    <row r="104" spans="1:15">
      <c r="A104" s="195" t="s">
        <v>147</v>
      </c>
      <c r="B104" s="195" t="s">
        <v>159</v>
      </c>
      <c r="C104" s="195" t="s">
        <v>202</v>
      </c>
      <c r="D104" s="195" t="s">
        <v>815</v>
      </c>
      <c r="E104" s="248" t="s">
        <v>174</v>
      </c>
      <c r="F104" s="249" t="s">
        <v>93</v>
      </c>
      <c r="G104" s="248" t="s">
        <v>827</v>
      </c>
      <c r="H104" s="248" t="str">
        <f t="shared" si="4"/>
        <v>95 Gallon Cart per PU</v>
      </c>
      <c r="I104" s="250" t="s">
        <v>274</v>
      </c>
      <c r="J104" s="250">
        <f>References!$C$26</f>
        <v>68</v>
      </c>
      <c r="K104" s="251">
        <v>1</v>
      </c>
      <c r="L104" s="252">
        <f>IFERROR((VLOOKUP(D104,'Murrey''s Price Out'!$C$87:$AE$157,29,FALSE)+VLOOKUP(C104,'American Price Out'!$C$87:$AE$157,29,FALSE)),0)</f>
        <v>0</v>
      </c>
      <c r="M104" s="252">
        <f t="shared" si="5"/>
        <v>12</v>
      </c>
      <c r="O104" s="8"/>
    </row>
    <row r="105" spans="1:15">
      <c r="A105" s="195" t="s">
        <v>147</v>
      </c>
      <c r="B105" s="195" t="s">
        <v>159</v>
      </c>
      <c r="C105" s="200" t="s">
        <v>202</v>
      </c>
      <c r="D105" s="200" t="s">
        <v>202</v>
      </c>
      <c r="E105" s="248" t="s">
        <v>174</v>
      </c>
      <c r="F105" s="249" t="s">
        <v>150</v>
      </c>
      <c r="G105" s="248" t="s">
        <v>102</v>
      </c>
      <c r="H105" s="248" t="str">
        <f t="shared" si="4"/>
        <v>95 Gallon Cart Minimum</v>
      </c>
      <c r="I105" s="250" t="s">
        <v>274</v>
      </c>
      <c r="J105" s="250">
        <f>References!$C$26</f>
        <v>68</v>
      </c>
      <c r="K105" s="251">
        <f>References!$C$11</f>
        <v>4.333333333333333</v>
      </c>
      <c r="L105" s="252">
        <f>IFERROR((VLOOKUP(D105,'Murrey''s Price Out'!$C$87:$AE$157,29,FALSE)+VLOOKUP(C105,'American Price Out'!$C$87:$AE$157,29,FALSE)),0)</f>
        <v>465.51123376294402</v>
      </c>
      <c r="M105" s="252">
        <f t="shared" si="5"/>
        <v>2017.2153463060906</v>
      </c>
    </row>
    <row r="106" spans="1:15">
      <c r="A106" s="195" t="s">
        <v>147</v>
      </c>
      <c r="B106" s="195" t="s">
        <v>159</v>
      </c>
      <c r="C106" s="201" t="s">
        <v>226</v>
      </c>
      <c r="D106" s="201" t="s">
        <v>226</v>
      </c>
      <c r="E106" s="195" t="s">
        <v>825</v>
      </c>
      <c r="F106" s="196" t="s">
        <v>93</v>
      </c>
      <c r="G106" s="195" t="s">
        <v>269</v>
      </c>
      <c r="H106" s="195" t="str">
        <f t="shared" si="4"/>
        <v>Can Extra</v>
      </c>
      <c r="I106" s="197" t="s">
        <v>272</v>
      </c>
      <c r="J106" s="197">
        <f>References!$C$30</f>
        <v>29</v>
      </c>
      <c r="K106" s="198">
        <f>References!$C$14</f>
        <v>1</v>
      </c>
      <c r="L106" s="199">
        <f>IFERROR((VLOOKUP(C106,'Murrey''s Price Out'!$C$87:$AE$157,29,FALSE)+VLOOKUP(C106,'American Price Out'!$C$87:$AE$157,29,FALSE)),0)</f>
        <v>5523.700418286985</v>
      </c>
      <c r="M106" s="199">
        <f t="shared" si="5"/>
        <v>5523.700418286985</v>
      </c>
    </row>
    <row r="107" spans="1:15">
      <c r="A107" s="195" t="s">
        <v>147</v>
      </c>
      <c r="B107" s="195" t="s">
        <v>160</v>
      </c>
      <c r="C107" s="195" t="s">
        <v>210</v>
      </c>
      <c r="D107" s="195" t="s">
        <v>210</v>
      </c>
      <c r="E107" s="195" t="s">
        <v>99</v>
      </c>
      <c r="F107" s="196">
        <v>2.25</v>
      </c>
      <c r="G107" s="195" t="s">
        <v>268</v>
      </c>
      <c r="H107" s="195" t="str">
        <f t="shared" si="4"/>
        <v>2 yard Regular</v>
      </c>
      <c r="I107" s="197" t="s">
        <v>281</v>
      </c>
      <c r="J107" s="197">
        <f>References!$C$40</f>
        <v>729</v>
      </c>
      <c r="K107" s="198">
        <f>References!$C$11</f>
        <v>4.333333333333333</v>
      </c>
      <c r="L107" s="199">
        <f>IFERROR((VLOOKUP(C107,'Murrey''s Price Out'!$C$87:$AE$157,29,FALSE)+VLOOKUP(C107,'American Price Out'!$C$87:$AE$157,29,FALSE)),0)</f>
        <v>12</v>
      </c>
      <c r="M107" s="199">
        <f t="shared" si="5"/>
        <v>52</v>
      </c>
    </row>
    <row r="108" spans="1:15">
      <c r="A108" s="195" t="s">
        <v>147</v>
      </c>
      <c r="B108" s="195" t="s">
        <v>160</v>
      </c>
      <c r="C108" s="195" t="s">
        <v>290</v>
      </c>
      <c r="D108" s="195" t="s">
        <v>290</v>
      </c>
      <c r="E108" s="195" t="s">
        <v>99</v>
      </c>
      <c r="F108" s="196">
        <v>2.25</v>
      </c>
      <c r="G108" s="195" t="s">
        <v>103</v>
      </c>
      <c r="H108" s="195" t="str">
        <f t="shared" si="4"/>
        <v>2 yard Special and Temporary</v>
      </c>
      <c r="I108" s="197" t="s">
        <v>281</v>
      </c>
      <c r="J108" s="197">
        <f>References!$C$40</f>
        <v>729</v>
      </c>
      <c r="K108" s="198">
        <f>References!$C$14</f>
        <v>1</v>
      </c>
      <c r="L108" s="199">
        <f>IFERROR((VLOOKUP(C108,'Murrey''s Price Out'!$C$87:$AE$157,29,FALSE)+VLOOKUP(C108,'American Price Out'!$C$87:$AE$157,29,FALSE)),0)</f>
        <v>0</v>
      </c>
      <c r="M108" s="199">
        <f t="shared" si="5"/>
        <v>12</v>
      </c>
      <c r="O108" s="8"/>
    </row>
    <row r="109" spans="1:15">
      <c r="A109" s="195" t="s">
        <v>147</v>
      </c>
      <c r="B109" s="195" t="s">
        <v>160</v>
      </c>
      <c r="C109" s="195" t="s">
        <v>211</v>
      </c>
      <c r="D109" s="195" t="s">
        <v>211</v>
      </c>
      <c r="E109" s="195" t="s">
        <v>100</v>
      </c>
      <c r="F109" s="196">
        <v>2.25</v>
      </c>
      <c r="G109" s="195" t="s">
        <v>268</v>
      </c>
      <c r="H109" s="195" t="str">
        <f t="shared" si="4"/>
        <v>4 yard Regular</v>
      </c>
      <c r="I109" s="197" t="s">
        <v>278</v>
      </c>
      <c r="J109" s="197">
        <f>References!$C$41</f>
        <v>1379.25</v>
      </c>
      <c r="K109" s="198">
        <f>References!$C$11</f>
        <v>4.333333333333333</v>
      </c>
      <c r="L109" s="199">
        <f>IFERROR((VLOOKUP(C109,'Murrey''s Price Out'!$C$87:$AE$157,29,FALSE)+VLOOKUP(C109,'American Price Out'!$C$87:$AE$157,29,FALSE)),0)</f>
        <v>12</v>
      </c>
      <c r="M109" s="199">
        <f t="shared" si="5"/>
        <v>52</v>
      </c>
    </row>
    <row r="110" spans="1:15">
      <c r="A110" s="195" t="s">
        <v>147</v>
      </c>
      <c r="B110" s="195" t="s">
        <v>160</v>
      </c>
      <c r="C110" s="195" t="s">
        <v>288</v>
      </c>
      <c r="D110" s="195" t="s">
        <v>288</v>
      </c>
      <c r="E110" s="195" t="s">
        <v>100</v>
      </c>
      <c r="F110" s="196">
        <v>2.25</v>
      </c>
      <c r="G110" s="195" t="s">
        <v>103</v>
      </c>
      <c r="H110" s="195" t="str">
        <f t="shared" si="4"/>
        <v>4 yard Special and Temporary</v>
      </c>
      <c r="I110" s="197" t="s">
        <v>278</v>
      </c>
      <c r="J110" s="197">
        <f>References!$C$41</f>
        <v>1379.25</v>
      </c>
      <c r="K110" s="198">
        <f>References!$C$14</f>
        <v>1</v>
      </c>
      <c r="L110" s="199">
        <f>IFERROR((VLOOKUP(C110,'Murrey''s Price Out'!$C$87:$AE$157,29,FALSE)+VLOOKUP(C110,'American Price Out'!$C$87:$AE$157,29,FALSE)),0)</f>
        <v>0</v>
      </c>
      <c r="M110" s="199">
        <f t="shared" si="5"/>
        <v>12</v>
      </c>
      <c r="O110" s="8"/>
    </row>
    <row r="111" spans="1:15">
      <c r="A111" s="195" t="s">
        <v>147</v>
      </c>
      <c r="B111" s="195" t="s">
        <v>160</v>
      </c>
      <c r="C111" s="195" t="s">
        <v>248</v>
      </c>
      <c r="D111" s="195" t="s">
        <v>248</v>
      </c>
      <c r="E111" s="195" t="s">
        <v>101</v>
      </c>
      <c r="F111" s="196">
        <v>2.25</v>
      </c>
      <c r="G111" s="195" t="s">
        <v>268</v>
      </c>
      <c r="H111" s="195" t="str">
        <f t="shared" si="4"/>
        <v>6 yard Regular</v>
      </c>
      <c r="I111" s="197" t="s">
        <v>279</v>
      </c>
      <c r="J111" s="197">
        <f>References!$C$42</f>
        <v>1890</v>
      </c>
      <c r="K111" s="198">
        <f>References!$C$11</f>
        <v>4.333333333333333</v>
      </c>
      <c r="L111" s="199">
        <f>IFERROR((VLOOKUP(C111,'Murrey''s Price Out'!$C$87:$AE$157,29,FALSE)+VLOOKUP(C111,'American Price Out'!$C$87:$AE$157,29,FALSE)),0)</f>
        <v>0</v>
      </c>
      <c r="M111" s="199">
        <f t="shared" si="5"/>
        <v>52</v>
      </c>
      <c r="O111" s="8"/>
    </row>
    <row r="112" spans="1:15">
      <c r="A112" s="195" t="s">
        <v>147</v>
      </c>
      <c r="B112" s="195" t="s">
        <v>160</v>
      </c>
      <c r="C112" s="195" t="s">
        <v>289</v>
      </c>
      <c r="D112" s="195" t="s">
        <v>289</v>
      </c>
      <c r="E112" s="195" t="s">
        <v>101</v>
      </c>
      <c r="F112" s="196">
        <v>2.25</v>
      </c>
      <c r="G112" s="195" t="s">
        <v>103</v>
      </c>
      <c r="H112" s="195" t="str">
        <f t="shared" si="4"/>
        <v>6 yard Special and Temporary</v>
      </c>
      <c r="I112" s="197" t="s">
        <v>279</v>
      </c>
      <c r="J112" s="197">
        <f>References!$C$42</f>
        <v>1890</v>
      </c>
      <c r="K112" s="198">
        <f>References!$C$14</f>
        <v>1</v>
      </c>
      <c r="L112" s="199">
        <f>IFERROR((VLOOKUP(C112,'Murrey''s Price Out'!$C$87:$AE$157,29,FALSE)+VLOOKUP(C112,'American Price Out'!$C$87:$AE$157,29,FALSE)),0)</f>
        <v>0</v>
      </c>
      <c r="M112" s="199">
        <f t="shared" si="5"/>
        <v>12</v>
      </c>
      <c r="O112" s="8"/>
    </row>
    <row r="113" spans="1:15">
      <c r="A113" s="195" t="s">
        <v>147</v>
      </c>
      <c r="B113" s="195" t="s">
        <v>161</v>
      </c>
      <c r="C113" s="195" t="s">
        <v>257</v>
      </c>
      <c r="D113" s="195" t="s">
        <v>257</v>
      </c>
      <c r="E113" s="195" t="s">
        <v>99</v>
      </c>
      <c r="F113" s="196">
        <v>3</v>
      </c>
      <c r="G113" s="195" t="s">
        <v>268</v>
      </c>
      <c r="H113" s="195" t="str">
        <f t="shared" si="4"/>
        <v>2 yard Regular</v>
      </c>
      <c r="I113" s="197" t="s">
        <v>281</v>
      </c>
      <c r="J113" s="197">
        <f>References!$C$44</f>
        <v>972</v>
      </c>
      <c r="K113" s="198">
        <f>References!$C$11</f>
        <v>4.333333333333333</v>
      </c>
      <c r="L113" s="199">
        <f>IFERROR((VLOOKUP(C113,'Murrey''s Price Out'!$C$87:$AE$157,29,FALSE)+VLOOKUP(C113,'American Price Out'!$C$87:$AE$157,29,FALSE)),0)</f>
        <v>0</v>
      </c>
      <c r="M113" s="199">
        <f t="shared" si="5"/>
        <v>52</v>
      </c>
      <c r="O113" s="8"/>
    </row>
    <row r="114" spans="1:15">
      <c r="A114" s="195" t="s">
        <v>147</v>
      </c>
      <c r="B114" s="195" t="s">
        <v>161</v>
      </c>
      <c r="C114" s="195" t="s">
        <v>291</v>
      </c>
      <c r="D114" s="195" t="s">
        <v>291</v>
      </c>
      <c r="E114" s="195" t="s">
        <v>99</v>
      </c>
      <c r="F114" s="196">
        <v>3</v>
      </c>
      <c r="G114" s="195" t="s">
        <v>103</v>
      </c>
      <c r="H114" s="195" t="str">
        <f t="shared" si="4"/>
        <v>2 yard Special and Temporary</v>
      </c>
      <c r="I114" s="197" t="s">
        <v>281</v>
      </c>
      <c r="J114" s="197">
        <f>References!$C$44</f>
        <v>972</v>
      </c>
      <c r="K114" s="198">
        <f>References!$C$14</f>
        <v>1</v>
      </c>
      <c r="L114" s="199">
        <f>IFERROR((VLOOKUP(C114,'Murrey''s Price Out'!$C$87:$AE$157,29,FALSE)+VLOOKUP(C114,'American Price Out'!$C$87:$AE$157,29,FALSE)),0)</f>
        <v>0</v>
      </c>
      <c r="M114" s="199">
        <f t="shared" si="5"/>
        <v>12</v>
      </c>
      <c r="O114" s="8"/>
    </row>
    <row r="115" spans="1:15" ht="15.75" customHeight="1">
      <c r="A115" s="195" t="s">
        <v>147</v>
      </c>
      <c r="B115" s="195" t="s">
        <v>161</v>
      </c>
      <c r="C115" s="195" t="s">
        <v>258</v>
      </c>
      <c r="D115" s="195" t="s">
        <v>258</v>
      </c>
      <c r="E115" s="195" t="s">
        <v>104</v>
      </c>
      <c r="F115" s="196">
        <v>3</v>
      </c>
      <c r="G115" s="195" t="s">
        <v>268</v>
      </c>
      <c r="H115" s="195" t="str">
        <f t="shared" si="4"/>
        <v>3 yard Regular</v>
      </c>
      <c r="I115" s="197" t="s">
        <v>280</v>
      </c>
      <c r="J115" s="197">
        <f>References!$C$45</f>
        <v>1419</v>
      </c>
      <c r="K115" s="198">
        <f>References!$C$11</f>
        <v>4.333333333333333</v>
      </c>
      <c r="L115" s="199">
        <f>IFERROR((VLOOKUP(C115,'Murrey''s Price Out'!$C$87:$AE$157,29,FALSE)+VLOOKUP(C115,'American Price Out'!$C$87:$AE$157,29,FALSE)),0)</f>
        <v>0</v>
      </c>
      <c r="M115" s="199">
        <f t="shared" si="5"/>
        <v>52</v>
      </c>
      <c r="O115" s="8"/>
    </row>
    <row r="116" spans="1:15">
      <c r="A116" s="195" t="s">
        <v>147</v>
      </c>
      <c r="B116" s="195" t="s">
        <v>161</v>
      </c>
      <c r="C116" s="195" t="s">
        <v>292</v>
      </c>
      <c r="D116" s="195" t="s">
        <v>292</v>
      </c>
      <c r="E116" s="195" t="s">
        <v>104</v>
      </c>
      <c r="F116" s="196">
        <v>3</v>
      </c>
      <c r="G116" s="195" t="s">
        <v>103</v>
      </c>
      <c r="H116" s="195" t="str">
        <f t="shared" si="4"/>
        <v>3 yard Special and Temporary</v>
      </c>
      <c r="I116" s="197" t="s">
        <v>280</v>
      </c>
      <c r="J116" s="197">
        <f>References!$C$45</f>
        <v>1419</v>
      </c>
      <c r="K116" s="198">
        <f>References!$C$14</f>
        <v>1</v>
      </c>
      <c r="L116" s="199">
        <f>IFERROR((VLOOKUP(C116,'Murrey''s Price Out'!$C$87:$AE$157,29,FALSE)+VLOOKUP(C116,'American Price Out'!$C$87:$AE$157,29,FALSE)),0)</f>
        <v>0</v>
      </c>
      <c r="M116" s="199">
        <f t="shared" si="5"/>
        <v>12</v>
      </c>
      <c r="O116" s="8"/>
    </row>
    <row r="117" spans="1:15">
      <c r="A117" s="195" t="s">
        <v>147</v>
      </c>
      <c r="B117" s="195" t="s">
        <v>161</v>
      </c>
      <c r="C117" s="195" t="s">
        <v>259</v>
      </c>
      <c r="D117" s="195" t="s">
        <v>259</v>
      </c>
      <c r="E117" s="195" t="s">
        <v>100</v>
      </c>
      <c r="F117" s="196">
        <v>3</v>
      </c>
      <c r="G117" s="195" t="s">
        <v>268</v>
      </c>
      <c r="H117" s="195" t="str">
        <f t="shared" si="4"/>
        <v>4 yard Regular</v>
      </c>
      <c r="I117" s="197" t="s">
        <v>278</v>
      </c>
      <c r="J117" s="197">
        <f>References!$C$46</f>
        <v>1839</v>
      </c>
      <c r="K117" s="198">
        <f>References!$C$11</f>
        <v>4.333333333333333</v>
      </c>
      <c r="L117" s="199">
        <f>IFERROR((VLOOKUP(C117,'Murrey''s Price Out'!$C$87:$AE$157,29,FALSE)+VLOOKUP(C117,'American Price Out'!$C$87:$AE$157,29,FALSE)),0)</f>
        <v>0</v>
      </c>
      <c r="M117" s="199">
        <f t="shared" si="5"/>
        <v>52</v>
      </c>
      <c r="O117" s="8"/>
    </row>
    <row r="118" spans="1:15">
      <c r="A118" s="195" t="s">
        <v>147</v>
      </c>
      <c r="B118" s="195" t="s">
        <v>161</v>
      </c>
      <c r="C118" s="195" t="s">
        <v>287</v>
      </c>
      <c r="D118" s="195" t="s">
        <v>287</v>
      </c>
      <c r="E118" s="195" t="s">
        <v>100</v>
      </c>
      <c r="F118" s="196">
        <v>3</v>
      </c>
      <c r="G118" s="195" t="s">
        <v>103</v>
      </c>
      <c r="H118" s="195" t="str">
        <f t="shared" si="4"/>
        <v>4 yard Special and Temporary</v>
      </c>
      <c r="I118" s="197" t="s">
        <v>278</v>
      </c>
      <c r="J118" s="197">
        <f>References!$C$46</f>
        <v>1839</v>
      </c>
      <c r="K118" s="198">
        <f>References!$C$14</f>
        <v>1</v>
      </c>
      <c r="L118" s="199">
        <f>IFERROR((VLOOKUP(C118,'Murrey''s Price Out'!$C$87:$AE$157,29,FALSE)+VLOOKUP(C118,'American Price Out'!$C$87:$AE$157,29,FALSE)),0)</f>
        <v>0</v>
      </c>
      <c r="M118" s="199">
        <f t="shared" si="5"/>
        <v>12</v>
      </c>
      <c r="O118" s="8"/>
    </row>
    <row r="119" spans="1:15">
      <c r="A119" s="195" t="s">
        <v>147</v>
      </c>
      <c r="B119" s="195" t="s">
        <v>161</v>
      </c>
      <c r="C119" s="195" t="s">
        <v>251</v>
      </c>
      <c r="D119" s="195" t="s">
        <v>251</v>
      </c>
      <c r="E119" s="195" t="s">
        <v>101</v>
      </c>
      <c r="F119" s="196">
        <v>3</v>
      </c>
      <c r="G119" s="195" t="s">
        <v>268</v>
      </c>
      <c r="H119" s="195" t="str">
        <f t="shared" si="4"/>
        <v>6 yard Regular</v>
      </c>
      <c r="I119" s="197" t="s">
        <v>279</v>
      </c>
      <c r="J119" s="197">
        <f>References!$C$47</f>
        <v>2520</v>
      </c>
      <c r="K119" s="198">
        <f>References!$C$11</f>
        <v>4.333333333333333</v>
      </c>
      <c r="L119" s="199">
        <f>IFERROR((VLOOKUP(C119,'Murrey''s Price Out'!$C$87:$AE$157,29,FALSE)+VLOOKUP(C119,'American Price Out'!$C$87:$AE$157,29,FALSE)),0)</f>
        <v>0</v>
      </c>
      <c r="M119" s="199">
        <f t="shared" si="5"/>
        <v>52</v>
      </c>
      <c r="O119" s="8"/>
    </row>
    <row r="120" spans="1:15">
      <c r="A120" s="195" t="s">
        <v>147</v>
      </c>
      <c r="B120" s="195" t="s">
        <v>161</v>
      </c>
      <c r="C120" s="195" t="s">
        <v>216</v>
      </c>
      <c r="D120" s="195" t="s">
        <v>251</v>
      </c>
      <c r="E120" s="195" t="s">
        <v>101</v>
      </c>
      <c r="F120" s="196">
        <v>3</v>
      </c>
      <c r="G120" s="195" t="s">
        <v>268</v>
      </c>
      <c r="H120" s="195" t="str">
        <f t="shared" si="4"/>
        <v>6 yard Regular</v>
      </c>
      <c r="I120" s="197" t="s">
        <v>279</v>
      </c>
      <c r="J120" s="197">
        <f>References!$C$47</f>
        <v>2520</v>
      </c>
      <c r="K120" s="198">
        <f>References!$C$10</f>
        <v>8.6666666666666661</v>
      </c>
      <c r="L120" s="199">
        <f>IFERROR((VLOOKUP(C120,'Murrey''s Price Out'!$C$87:$AE$157,29,FALSE)+VLOOKUP(C120,'American Price Out'!$C$87:$AE$157,29,FALSE)),0)</f>
        <v>12</v>
      </c>
      <c r="M120" s="199">
        <f>IF(L120=0,K120*12,K120*L120)</f>
        <v>104</v>
      </c>
    </row>
    <row r="121" spans="1:15">
      <c r="A121" s="195" t="s">
        <v>147</v>
      </c>
      <c r="B121" s="195" t="s">
        <v>161</v>
      </c>
      <c r="C121" s="195" t="s">
        <v>293</v>
      </c>
      <c r="D121" s="195" t="s">
        <v>293</v>
      </c>
      <c r="E121" s="195" t="s">
        <v>101</v>
      </c>
      <c r="F121" s="196">
        <v>3</v>
      </c>
      <c r="G121" s="195" t="s">
        <v>103</v>
      </c>
      <c r="H121" s="195" t="str">
        <f t="shared" si="4"/>
        <v>6 yard Special and Temporary</v>
      </c>
      <c r="I121" s="197" t="s">
        <v>279</v>
      </c>
      <c r="J121" s="197">
        <f>References!$C$47</f>
        <v>2520</v>
      </c>
      <c r="K121" s="198">
        <f>References!$C$14</f>
        <v>1</v>
      </c>
      <c r="L121" s="199">
        <f>IFERROR((VLOOKUP(C121,'Murrey''s Price Out'!$C$87:$AE$157,29,FALSE)+VLOOKUP(C121,'American Price Out'!$C$87:$AE$157,29,FALSE)),0)</f>
        <v>0</v>
      </c>
      <c r="M121" s="199">
        <f t="shared" si="5"/>
        <v>12</v>
      </c>
      <c r="O121" s="8"/>
    </row>
    <row r="122" spans="1:15">
      <c r="A122" s="195" t="s">
        <v>147</v>
      </c>
      <c r="B122" s="195" t="s">
        <v>162</v>
      </c>
      <c r="C122" s="195" t="s">
        <v>250</v>
      </c>
      <c r="D122" s="195" t="s">
        <v>250</v>
      </c>
      <c r="E122" s="195" t="s">
        <v>104</v>
      </c>
      <c r="F122" s="196">
        <v>4</v>
      </c>
      <c r="G122" s="195" t="s">
        <v>268</v>
      </c>
      <c r="H122" s="195" t="str">
        <f t="shared" si="4"/>
        <v>3 yard Regular</v>
      </c>
      <c r="I122" s="197" t="s">
        <v>280</v>
      </c>
      <c r="J122" s="197">
        <f>References!$C$49</f>
        <v>1892</v>
      </c>
      <c r="K122" s="198">
        <f>References!$C$11</f>
        <v>4.333333333333333</v>
      </c>
      <c r="L122" s="199">
        <f>IFERROR((VLOOKUP(C122,'Murrey''s Price Out'!$C$87:$AE$157,29,FALSE)+VLOOKUP(C122,'American Price Out'!$C$87:$AE$157,29,FALSE)),0)</f>
        <v>0</v>
      </c>
      <c r="M122" s="199">
        <f t="shared" si="5"/>
        <v>52</v>
      </c>
      <c r="O122" s="8"/>
    </row>
    <row r="123" spans="1:15">
      <c r="A123" s="195" t="s">
        <v>147</v>
      </c>
      <c r="B123" s="195" t="s">
        <v>162</v>
      </c>
      <c r="C123" s="195" t="s">
        <v>294</v>
      </c>
      <c r="D123" s="195" t="s">
        <v>294</v>
      </c>
      <c r="E123" s="195" t="s">
        <v>104</v>
      </c>
      <c r="F123" s="196">
        <v>4</v>
      </c>
      <c r="G123" s="195" t="s">
        <v>103</v>
      </c>
      <c r="H123" s="195" t="str">
        <f t="shared" si="4"/>
        <v>3 yard Special and Temporary</v>
      </c>
      <c r="I123" s="197" t="s">
        <v>280</v>
      </c>
      <c r="J123" s="197">
        <f>References!$C$49</f>
        <v>1892</v>
      </c>
      <c r="K123" s="198">
        <f>References!$C$14</f>
        <v>1</v>
      </c>
      <c r="L123" s="199">
        <f>IFERROR((VLOOKUP(C123,'Murrey''s Price Out'!$C$87:$AE$157,29,FALSE)+VLOOKUP(C123,'American Price Out'!$C$87:$AE$157,29,FALSE)),0)</f>
        <v>0</v>
      </c>
      <c r="M123" s="199">
        <f t="shared" si="5"/>
        <v>12</v>
      </c>
      <c r="O123" s="8"/>
    </row>
    <row r="124" spans="1:15">
      <c r="A124" s="195" t="s">
        <v>147</v>
      </c>
      <c r="B124" s="195" t="s">
        <v>162</v>
      </c>
      <c r="C124" s="195" t="s">
        <v>286</v>
      </c>
      <c r="D124" s="195" t="s">
        <v>286</v>
      </c>
      <c r="E124" s="195" t="s">
        <v>100</v>
      </c>
      <c r="F124" s="196">
        <v>4</v>
      </c>
      <c r="G124" s="195" t="s">
        <v>103</v>
      </c>
      <c r="H124" s="195" t="str">
        <f t="shared" si="4"/>
        <v>4 yard Special and Temporary</v>
      </c>
      <c r="I124" s="197" t="s">
        <v>278</v>
      </c>
      <c r="J124" s="197">
        <f>References!$C$50</f>
        <v>2452</v>
      </c>
      <c r="K124" s="198">
        <f>References!$C$14</f>
        <v>1</v>
      </c>
      <c r="L124" s="199">
        <f>IFERROR((VLOOKUP(C124,'Murrey''s Price Out'!$C$87:$AE$157,29,FALSE)+VLOOKUP(C124,'American Price Out'!$C$87:$AE$157,29,FALSE)),0)</f>
        <v>0</v>
      </c>
      <c r="M124" s="199">
        <f t="shared" si="5"/>
        <v>12</v>
      </c>
      <c r="O124" s="8"/>
    </row>
    <row r="125" spans="1:15">
      <c r="A125" s="195" t="s">
        <v>147</v>
      </c>
      <c r="B125" s="195" t="s">
        <v>162</v>
      </c>
      <c r="C125" s="195" t="s">
        <v>212</v>
      </c>
      <c r="D125" s="195" t="s">
        <v>212</v>
      </c>
      <c r="E125" s="195" t="s">
        <v>100</v>
      </c>
      <c r="F125" s="196">
        <v>4</v>
      </c>
      <c r="G125" s="195" t="s">
        <v>268</v>
      </c>
      <c r="H125" s="195" t="str">
        <f t="shared" si="4"/>
        <v>4 yard Regular</v>
      </c>
      <c r="I125" s="197" t="s">
        <v>278</v>
      </c>
      <c r="J125" s="197">
        <f>References!$C$50</f>
        <v>2452</v>
      </c>
      <c r="K125" s="198">
        <f>References!$C$11</f>
        <v>4.333333333333333</v>
      </c>
      <c r="L125" s="199">
        <f>IFERROR((VLOOKUP(C125,'Murrey''s Price Out'!$C$87:$AE$157,29,FALSE)+VLOOKUP(C125,'American Price Out'!$C$87:$AE$157,29,FALSE)),0)</f>
        <v>12</v>
      </c>
      <c r="M125" s="199">
        <f t="shared" si="5"/>
        <v>52</v>
      </c>
    </row>
    <row r="126" spans="1:15">
      <c r="A126" s="195" t="s">
        <v>147</v>
      </c>
      <c r="B126" s="195" t="s">
        <v>162</v>
      </c>
      <c r="C126" s="195" t="s">
        <v>249</v>
      </c>
      <c r="D126" s="195" t="s">
        <v>249</v>
      </c>
      <c r="E126" s="195" t="s">
        <v>101</v>
      </c>
      <c r="F126" s="196">
        <v>4</v>
      </c>
      <c r="G126" s="195" t="s">
        <v>268</v>
      </c>
      <c r="H126" s="195" t="str">
        <f t="shared" si="4"/>
        <v>6 yard Regular</v>
      </c>
      <c r="I126" s="197" t="s">
        <v>279</v>
      </c>
      <c r="J126" s="197">
        <f>References!$C$51</f>
        <v>3360</v>
      </c>
      <c r="K126" s="198">
        <f>References!$C$11</f>
        <v>4.333333333333333</v>
      </c>
      <c r="L126" s="199">
        <f>IFERROR((VLOOKUP(C126,'Murrey''s Price Out'!$C$87:$AE$157,29,FALSE)+VLOOKUP(C126,'American Price Out'!$C$87:$AE$157,29,FALSE)),0)</f>
        <v>0</v>
      </c>
      <c r="M126" s="199">
        <f t="shared" si="5"/>
        <v>52</v>
      </c>
    </row>
    <row r="127" spans="1:15">
      <c r="A127" s="195" t="s">
        <v>147</v>
      </c>
      <c r="B127" s="195" t="s">
        <v>162</v>
      </c>
      <c r="C127" s="195" t="s">
        <v>217</v>
      </c>
      <c r="D127" s="195" t="s">
        <v>249</v>
      </c>
      <c r="E127" s="195" t="s">
        <v>101</v>
      </c>
      <c r="F127" s="196">
        <v>4</v>
      </c>
      <c r="G127" s="195" t="s">
        <v>268</v>
      </c>
      <c r="H127" s="195" t="str">
        <f t="shared" si="4"/>
        <v>6 yard Regular</v>
      </c>
      <c r="I127" s="197" t="s">
        <v>279</v>
      </c>
      <c r="J127" s="197">
        <f>References!$C$51</f>
        <v>3360</v>
      </c>
      <c r="K127" s="198">
        <f>References!$C$10</f>
        <v>8.6666666666666661</v>
      </c>
      <c r="L127" s="199">
        <f>IFERROR((VLOOKUP(C127,'Murrey''s Price Out'!$C$87:$AE$157,29,FALSE)+VLOOKUP(C127,'American Price Out'!$C$87:$AE$157,29,FALSE)),0)</f>
        <v>12</v>
      </c>
      <c r="M127" s="199">
        <f t="shared" si="5"/>
        <v>104</v>
      </c>
    </row>
    <row r="128" spans="1:15">
      <c r="A128" s="195" t="s">
        <v>147</v>
      </c>
      <c r="B128" s="195" t="s">
        <v>162</v>
      </c>
      <c r="C128" s="195" t="s">
        <v>295</v>
      </c>
      <c r="D128" s="195" t="s">
        <v>295</v>
      </c>
      <c r="E128" s="195" t="s">
        <v>101</v>
      </c>
      <c r="F128" s="196">
        <v>4</v>
      </c>
      <c r="G128" s="195" t="s">
        <v>103</v>
      </c>
      <c r="H128" s="195" t="str">
        <f t="shared" ref="H128:H157" si="6">CONCATENATE(E128," ",G128)</f>
        <v>6 yard Special and Temporary</v>
      </c>
      <c r="I128" s="197" t="s">
        <v>279</v>
      </c>
      <c r="J128" s="197">
        <f>References!$C$51</f>
        <v>3360</v>
      </c>
      <c r="K128" s="198">
        <f>References!$C$14</f>
        <v>1</v>
      </c>
      <c r="L128" s="199">
        <f>IFERROR((VLOOKUP(C128,'Murrey''s Price Out'!$C$87:$AE$157,29,FALSE)+VLOOKUP(C128,'American Price Out'!$C$87:$AE$157,29,FALSE)),0)</f>
        <v>0</v>
      </c>
      <c r="M128" s="199">
        <f t="shared" ref="M128:M157" si="7">IF(L128=0,K128*12,K128*L128)</f>
        <v>12</v>
      </c>
      <c r="O128" s="8"/>
    </row>
    <row r="129" spans="1:15">
      <c r="A129" s="195" t="s">
        <v>147</v>
      </c>
      <c r="B129" s="195" t="s">
        <v>163</v>
      </c>
      <c r="C129" s="195" t="s">
        <v>213</v>
      </c>
      <c r="D129" s="195" t="s">
        <v>213</v>
      </c>
      <c r="E129" s="195" t="s">
        <v>100</v>
      </c>
      <c r="F129" s="196">
        <v>5</v>
      </c>
      <c r="G129" s="195" t="s">
        <v>268</v>
      </c>
      <c r="H129" s="195" t="str">
        <f t="shared" si="6"/>
        <v>4 yard Regular</v>
      </c>
      <c r="I129" s="197" t="s">
        <v>278</v>
      </c>
      <c r="J129" s="197">
        <f>References!$C$53</f>
        <v>3065</v>
      </c>
      <c r="K129" s="198">
        <f>References!$C$11</f>
        <v>4.333333333333333</v>
      </c>
      <c r="L129" s="199">
        <f>IFERROR((VLOOKUP(C129,'Murrey''s Price Out'!$C$87:$AE$157,29,FALSE)+VLOOKUP(C129,'American Price Out'!$C$87:$AE$157,29,FALSE)),0)</f>
        <v>12.000009026329804</v>
      </c>
      <c r="M129" s="199">
        <f t="shared" si="7"/>
        <v>52.000039114095813</v>
      </c>
    </row>
    <row r="130" spans="1:15">
      <c r="A130" s="195" t="s">
        <v>147</v>
      </c>
      <c r="B130" s="195" t="s">
        <v>163</v>
      </c>
      <c r="C130" s="195" t="s">
        <v>214</v>
      </c>
      <c r="D130" s="195" t="s">
        <v>214</v>
      </c>
      <c r="E130" s="195" t="s">
        <v>100</v>
      </c>
      <c r="F130" s="196">
        <v>5</v>
      </c>
      <c r="G130" s="195" t="s">
        <v>268</v>
      </c>
      <c r="H130" s="195" t="str">
        <f t="shared" si="6"/>
        <v>4 yard Regular</v>
      </c>
      <c r="I130" s="197" t="s">
        <v>278</v>
      </c>
      <c r="J130" s="197">
        <f>References!$C$53</f>
        <v>3065</v>
      </c>
      <c r="K130" s="198">
        <f>References!$C$12</f>
        <v>2.1666666666666665</v>
      </c>
      <c r="L130" s="199">
        <f>IFERROR((VLOOKUP(C130,'Murrey''s Price Out'!$C$87:$AE$157,29,FALSE)+VLOOKUP(C130,'American Price Out'!$C$87:$AE$157,29,FALSE)),0)</f>
        <v>12</v>
      </c>
      <c r="M130" s="199">
        <f t="shared" si="7"/>
        <v>26</v>
      </c>
    </row>
    <row r="131" spans="1:15">
      <c r="A131" s="195" t="s">
        <v>147</v>
      </c>
      <c r="B131" s="195" t="s">
        <v>163</v>
      </c>
      <c r="C131" s="195" t="s">
        <v>215</v>
      </c>
      <c r="D131" s="195" t="s">
        <v>215</v>
      </c>
      <c r="E131" s="195" t="s">
        <v>100</v>
      </c>
      <c r="F131" s="196">
        <v>5</v>
      </c>
      <c r="G131" s="195" t="s">
        <v>103</v>
      </c>
      <c r="H131" s="195" t="str">
        <f t="shared" si="6"/>
        <v>4 yard Special and Temporary</v>
      </c>
      <c r="I131" s="197" t="s">
        <v>278</v>
      </c>
      <c r="J131" s="197">
        <f>References!$C$53</f>
        <v>3065</v>
      </c>
      <c r="K131" s="198">
        <f>References!$C$14</f>
        <v>1</v>
      </c>
      <c r="L131" s="199">
        <f>IFERROR((VLOOKUP(C131,'Murrey''s Price Out'!$C$87:$AE$157,29,FALSE)+VLOOKUP(C131,'American Price Out'!$C$87:$AE$157,29,FALSE)),0)</f>
        <v>13</v>
      </c>
      <c r="M131" s="199">
        <f t="shared" si="7"/>
        <v>13</v>
      </c>
    </row>
    <row r="132" spans="1:15">
      <c r="A132" s="195" t="s">
        <v>147</v>
      </c>
      <c r="B132" s="195" t="s">
        <v>163</v>
      </c>
      <c r="C132" s="195" t="s">
        <v>260</v>
      </c>
      <c r="D132" s="195" t="s">
        <v>260</v>
      </c>
      <c r="E132" s="195" t="s">
        <v>101</v>
      </c>
      <c r="F132" s="196">
        <v>5</v>
      </c>
      <c r="G132" s="195" t="s">
        <v>268</v>
      </c>
      <c r="H132" s="195" t="str">
        <f t="shared" si="6"/>
        <v>6 yard Regular</v>
      </c>
      <c r="I132" s="197" t="s">
        <v>279</v>
      </c>
      <c r="J132" s="197">
        <f>References!$C$54</f>
        <v>4200</v>
      </c>
      <c r="K132" s="198">
        <f>References!$C$11</f>
        <v>4.333333333333333</v>
      </c>
      <c r="L132" s="199">
        <f>IFERROR((VLOOKUP(C132,'Murrey''s Price Out'!$C$87:$AE$157,29,FALSE)+VLOOKUP(C132,'American Price Out'!$C$87:$AE$157,29,FALSE)),0)</f>
        <v>0</v>
      </c>
      <c r="M132" s="199">
        <f t="shared" si="7"/>
        <v>52</v>
      </c>
      <c r="O132" s="8"/>
    </row>
    <row r="133" spans="1:15">
      <c r="A133" s="195" t="s">
        <v>147</v>
      </c>
      <c r="B133" s="195" t="s">
        <v>163</v>
      </c>
      <c r="C133" s="195" t="s">
        <v>296</v>
      </c>
      <c r="D133" s="195" t="s">
        <v>296</v>
      </c>
      <c r="E133" s="195" t="s">
        <v>101</v>
      </c>
      <c r="F133" s="196">
        <v>5</v>
      </c>
      <c r="G133" s="195" t="s">
        <v>103</v>
      </c>
      <c r="H133" s="195" t="str">
        <f t="shared" si="6"/>
        <v>6 yard Special and Temporary</v>
      </c>
      <c r="I133" s="197" t="s">
        <v>279</v>
      </c>
      <c r="J133" s="197">
        <f>References!$C$54</f>
        <v>4200</v>
      </c>
      <c r="K133" s="198">
        <f>References!$C$14</f>
        <v>1</v>
      </c>
      <c r="L133" s="199">
        <f>IFERROR((VLOOKUP(C133,'Murrey''s Price Out'!$C$87:$AE$157,29,FALSE)+VLOOKUP(C133,'American Price Out'!$C$87:$AE$157,29,FALSE)),0)</f>
        <v>0</v>
      </c>
      <c r="M133" s="199">
        <f t="shared" si="7"/>
        <v>12</v>
      </c>
      <c r="O133" s="8"/>
    </row>
    <row r="134" spans="1:15">
      <c r="A134" s="202" t="s">
        <v>247</v>
      </c>
      <c r="B134" s="202" t="s">
        <v>164</v>
      </c>
      <c r="C134" s="202" t="s">
        <v>210</v>
      </c>
      <c r="D134" s="202" t="s">
        <v>210</v>
      </c>
      <c r="E134" s="202" t="s">
        <v>99</v>
      </c>
      <c r="F134" s="203">
        <v>2.25</v>
      </c>
      <c r="G134" s="202" t="s">
        <v>268</v>
      </c>
      <c r="H134" s="202" t="str">
        <f t="shared" si="6"/>
        <v>2 yard Regular</v>
      </c>
      <c r="I134" s="204" t="s">
        <v>281</v>
      </c>
      <c r="J134" s="204">
        <f>References!$C$40</f>
        <v>729</v>
      </c>
      <c r="K134" s="205">
        <f>References!$C$11</f>
        <v>4.333333333333333</v>
      </c>
      <c r="L134" s="206">
        <f>IFERROR(VLOOKUP(C134,'Murrey''s Price Out'!$C$162:$AE$197,29,FALSE)+VLOOKUP(C134,'American Price Out'!$C$162:$AE$197,29,FALSE),0)</f>
        <v>0</v>
      </c>
      <c r="M134" s="206">
        <f t="shared" si="7"/>
        <v>52</v>
      </c>
    </row>
    <row r="135" spans="1:15">
      <c r="A135" s="202" t="s">
        <v>247</v>
      </c>
      <c r="B135" s="202" t="s">
        <v>164</v>
      </c>
      <c r="C135" s="202" t="s">
        <v>290</v>
      </c>
      <c r="D135" s="202" t="s">
        <v>290</v>
      </c>
      <c r="E135" s="202" t="s">
        <v>99</v>
      </c>
      <c r="F135" s="203">
        <v>2.25</v>
      </c>
      <c r="G135" s="202" t="s">
        <v>103</v>
      </c>
      <c r="H135" s="202" t="str">
        <f t="shared" si="6"/>
        <v>2 yard Special and Temporary</v>
      </c>
      <c r="I135" s="204" t="s">
        <v>281</v>
      </c>
      <c r="J135" s="204">
        <f>References!$C$40</f>
        <v>729</v>
      </c>
      <c r="K135" s="205">
        <f>References!$C$14</f>
        <v>1</v>
      </c>
      <c r="L135" s="206">
        <f>IFERROR(VLOOKUP(C135,'Murrey''s Price Out'!$C$162:$AE$197,29,FALSE)+VLOOKUP(C135,'American Price Out'!$C$162:$AE$197,29,FALSE),0)</f>
        <v>0</v>
      </c>
      <c r="M135" s="206">
        <f t="shared" si="7"/>
        <v>12</v>
      </c>
    </row>
    <row r="136" spans="1:15">
      <c r="A136" s="202" t="s">
        <v>247</v>
      </c>
      <c r="B136" s="202" t="s">
        <v>164</v>
      </c>
      <c r="C136" s="202" t="s">
        <v>211</v>
      </c>
      <c r="D136" s="202" t="s">
        <v>211</v>
      </c>
      <c r="E136" s="202" t="s">
        <v>100</v>
      </c>
      <c r="F136" s="203">
        <v>2.25</v>
      </c>
      <c r="G136" s="202" t="s">
        <v>268</v>
      </c>
      <c r="H136" s="202" t="str">
        <f t="shared" si="6"/>
        <v>4 yard Regular</v>
      </c>
      <c r="I136" s="204" t="s">
        <v>278</v>
      </c>
      <c r="J136" s="204">
        <f>References!$C$41</f>
        <v>1379.25</v>
      </c>
      <c r="K136" s="205">
        <f>References!$C$11</f>
        <v>4.333333333333333</v>
      </c>
      <c r="L136" s="206">
        <f>IFERROR(VLOOKUP(C136,'Murrey''s Price Out'!$C$162:$AE$197,29,FALSE)+VLOOKUP(C136,'American Price Out'!$C$162:$AE$197,29,FALSE),0)</f>
        <v>0</v>
      </c>
      <c r="M136" s="206">
        <f t="shared" si="7"/>
        <v>52</v>
      </c>
    </row>
    <row r="137" spans="1:15">
      <c r="A137" s="202" t="s">
        <v>247</v>
      </c>
      <c r="B137" s="202" t="s">
        <v>164</v>
      </c>
      <c r="C137" s="202" t="s">
        <v>288</v>
      </c>
      <c r="D137" s="202" t="s">
        <v>288</v>
      </c>
      <c r="E137" s="202" t="s">
        <v>100</v>
      </c>
      <c r="F137" s="203">
        <v>2.25</v>
      </c>
      <c r="G137" s="202" t="s">
        <v>103</v>
      </c>
      <c r="H137" s="202" t="str">
        <f t="shared" si="6"/>
        <v>4 yard Special and Temporary</v>
      </c>
      <c r="I137" s="204" t="s">
        <v>278</v>
      </c>
      <c r="J137" s="204">
        <f>References!$C$41</f>
        <v>1379.25</v>
      </c>
      <c r="K137" s="205">
        <f>References!$C$14</f>
        <v>1</v>
      </c>
      <c r="L137" s="206">
        <f>IFERROR(VLOOKUP(C137,'Murrey''s Price Out'!$C$162:$AE$197,29,FALSE)+VLOOKUP(C137,'American Price Out'!$C$162:$AE$197,29,FALSE),0)</f>
        <v>0</v>
      </c>
      <c r="M137" s="206">
        <f t="shared" si="7"/>
        <v>12</v>
      </c>
    </row>
    <row r="138" spans="1:15" ht="16.5" customHeight="1">
      <c r="A138" s="202" t="s">
        <v>247</v>
      </c>
      <c r="B138" s="202" t="s">
        <v>164</v>
      </c>
      <c r="C138" s="202" t="s">
        <v>248</v>
      </c>
      <c r="D138" s="202" t="s">
        <v>248</v>
      </c>
      <c r="E138" s="202" t="s">
        <v>101</v>
      </c>
      <c r="F138" s="203">
        <v>2.25</v>
      </c>
      <c r="G138" s="202" t="s">
        <v>268</v>
      </c>
      <c r="H138" s="202" t="str">
        <f t="shared" si="6"/>
        <v>6 yard Regular</v>
      </c>
      <c r="I138" s="204" t="s">
        <v>279</v>
      </c>
      <c r="J138" s="204">
        <f>References!$C$42</f>
        <v>1890</v>
      </c>
      <c r="K138" s="205">
        <f>References!$C$11</f>
        <v>4.333333333333333</v>
      </c>
      <c r="L138" s="206">
        <f>IFERROR(VLOOKUP(C138,'Murrey''s Price Out'!$C$162:$AE$197,29,FALSE)+VLOOKUP(C138,'American Price Out'!$C$162:$AE$197,29,FALSE),0)</f>
        <v>0</v>
      </c>
      <c r="M138" s="206">
        <f t="shared" si="7"/>
        <v>52</v>
      </c>
    </row>
    <row r="139" spans="1:15">
      <c r="A139" s="202" t="s">
        <v>247</v>
      </c>
      <c r="B139" s="202" t="s">
        <v>164</v>
      </c>
      <c r="C139" s="202" t="s">
        <v>289</v>
      </c>
      <c r="D139" s="202" t="s">
        <v>289</v>
      </c>
      <c r="E139" s="202" t="s">
        <v>101</v>
      </c>
      <c r="F139" s="203">
        <v>2.25</v>
      </c>
      <c r="G139" s="202" t="s">
        <v>103</v>
      </c>
      <c r="H139" s="202" t="str">
        <f t="shared" si="6"/>
        <v>6 yard Special and Temporary</v>
      </c>
      <c r="I139" s="204" t="s">
        <v>279</v>
      </c>
      <c r="J139" s="204">
        <f>References!$C$42</f>
        <v>1890</v>
      </c>
      <c r="K139" s="205">
        <f>References!$C$14</f>
        <v>1</v>
      </c>
      <c r="L139" s="206">
        <f>IFERROR(VLOOKUP(C139,'Murrey''s Price Out'!$C$162:$AE$197,29,FALSE)+VLOOKUP(C139,'American Price Out'!$C$162:$AE$197,29,FALSE),0)</f>
        <v>0</v>
      </c>
      <c r="M139" s="206">
        <f t="shared" si="7"/>
        <v>12</v>
      </c>
    </row>
    <row r="140" spans="1:15">
      <c r="A140" s="202" t="s">
        <v>247</v>
      </c>
      <c r="B140" s="202" t="s">
        <v>165</v>
      </c>
      <c r="C140" s="202" t="s">
        <v>257</v>
      </c>
      <c r="D140" s="202" t="s">
        <v>257</v>
      </c>
      <c r="E140" s="202" t="s">
        <v>99</v>
      </c>
      <c r="F140" s="203">
        <v>3</v>
      </c>
      <c r="G140" s="202" t="s">
        <v>268</v>
      </c>
      <c r="H140" s="202" t="str">
        <f t="shared" si="6"/>
        <v>2 yard Regular</v>
      </c>
      <c r="I140" s="204" t="s">
        <v>281</v>
      </c>
      <c r="J140" s="204">
        <f>References!$C$44</f>
        <v>972</v>
      </c>
      <c r="K140" s="205">
        <f>References!$C$11</f>
        <v>4.333333333333333</v>
      </c>
      <c r="L140" s="206">
        <f>IFERROR(VLOOKUP(C140,'Murrey''s Price Out'!$C$162:$AE$197,29,FALSE)+VLOOKUP(C140,'American Price Out'!$C$162:$AE$197,29,FALSE),0)</f>
        <v>0</v>
      </c>
      <c r="M140" s="206">
        <f t="shared" si="7"/>
        <v>52</v>
      </c>
    </row>
    <row r="141" spans="1:15">
      <c r="A141" s="202" t="s">
        <v>247</v>
      </c>
      <c r="B141" s="202" t="s">
        <v>165</v>
      </c>
      <c r="C141" s="202" t="s">
        <v>291</v>
      </c>
      <c r="D141" s="202" t="s">
        <v>291</v>
      </c>
      <c r="E141" s="202" t="s">
        <v>99</v>
      </c>
      <c r="F141" s="203">
        <v>3</v>
      </c>
      <c r="G141" s="202" t="s">
        <v>103</v>
      </c>
      <c r="H141" s="202" t="str">
        <f t="shared" si="6"/>
        <v>2 yard Special and Temporary</v>
      </c>
      <c r="I141" s="204" t="s">
        <v>281</v>
      </c>
      <c r="J141" s="204">
        <f>References!$C$44</f>
        <v>972</v>
      </c>
      <c r="K141" s="205">
        <f>References!$C$14</f>
        <v>1</v>
      </c>
      <c r="L141" s="206">
        <f>IFERROR(VLOOKUP(C141,'Murrey''s Price Out'!$C$162:$AE$197,29,FALSE)+VLOOKUP(C141,'American Price Out'!$C$162:$AE$197,29,FALSE),0)</f>
        <v>0</v>
      </c>
      <c r="M141" s="206">
        <f t="shared" si="7"/>
        <v>12</v>
      </c>
    </row>
    <row r="142" spans="1:15">
      <c r="A142" s="202" t="s">
        <v>247</v>
      </c>
      <c r="B142" s="202" t="s">
        <v>165</v>
      </c>
      <c r="C142" s="202" t="s">
        <v>258</v>
      </c>
      <c r="D142" s="202" t="s">
        <v>258</v>
      </c>
      <c r="E142" s="202" t="s">
        <v>104</v>
      </c>
      <c r="F142" s="203">
        <v>3</v>
      </c>
      <c r="G142" s="202" t="s">
        <v>268</v>
      </c>
      <c r="H142" s="202" t="str">
        <f t="shared" si="6"/>
        <v>3 yard Regular</v>
      </c>
      <c r="I142" s="204" t="s">
        <v>280</v>
      </c>
      <c r="J142" s="204">
        <f>References!$C$45</f>
        <v>1419</v>
      </c>
      <c r="K142" s="205">
        <f>References!$C$11</f>
        <v>4.333333333333333</v>
      </c>
      <c r="L142" s="206">
        <f>IFERROR(VLOOKUP(C142,'Murrey''s Price Out'!$C$162:$AE$197,29,FALSE)+VLOOKUP(C142,'American Price Out'!$C$162:$AE$197,29,FALSE),0)</f>
        <v>0</v>
      </c>
      <c r="M142" s="206">
        <f t="shared" si="7"/>
        <v>52</v>
      </c>
    </row>
    <row r="143" spans="1:15">
      <c r="A143" s="202" t="s">
        <v>247</v>
      </c>
      <c r="B143" s="202" t="s">
        <v>165</v>
      </c>
      <c r="C143" s="202" t="s">
        <v>292</v>
      </c>
      <c r="D143" s="202" t="s">
        <v>292</v>
      </c>
      <c r="E143" s="202" t="s">
        <v>104</v>
      </c>
      <c r="F143" s="203">
        <v>3</v>
      </c>
      <c r="G143" s="202" t="s">
        <v>103</v>
      </c>
      <c r="H143" s="202" t="str">
        <f t="shared" si="6"/>
        <v>3 yard Special and Temporary</v>
      </c>
      <c r="I143" s="204" t="s">
        <v>280</v>
      </c>
      <c r="J143" s="204">
        <f>References!$C$45</f>
        <v>1419</v>
      </c>
      <c r="K143" s="205">
        <f>References!$C$14</f>
        <v>1</v>
      </c>
      <c r="L143" s="206">
        <f>IFERROR(VLOOKUP(C143,'Murrey''s Price Out'!$C$162:$AE$197,29,FALSE)+VLOOKUP(C143,'American Price Out'!$C$162:$AE$197,29,FALSE),0)</f>
        <v>0</v>
      </c>
      <c r="M143" s="206">
        <f t="shared" si="7"/>
        <v>12</v>
      </c>
    </row>
    <row r="144" spans="1:15">
      <c r="A144" s="202" t="s">
        <v>247</v>
      </c>
      <c r="B144" s="202" t="s">
        <v>165</v>
      </c>
      <c r="C144" s="202" t="s">
        <v>259</v>
      </c>
      <c r="D144" s="202" t="s">
        <v>259</v>
      </c>
      <c r="E144" s="202" t="s">
        <v>100</v>
      </c>
      <c r="F144" s="203">
        <v>3</v>
      </c>
      <c r="G144" s="202" t="s">
        <v>268</v>
      </c>
      <c r="H144" s="202" t="str">
        <f t="shared" si="6"/>
        <v>4 yard Regular</v>
      </c>
      <c r="I144" s="204" t="s">
        <v>278</v>
      </c>
      <c r="J144" s="204">
        <f>References!$C$46</f>
        <v>1839</v>
      </c>
      <c r="K144" s="205">
        <f>References!$C$11</f>
        <v>4.333333333333333</v>
      </c>
      <c r="L144" s="206">
        <f>IFERROR(VLOOKUP(C144,'Murrey''s Price Out'!$C$162:$AE$197,29,FALSE)+VLOOKUP(C144,'American Price Out'!$C$162:$AE$197,29,FALSE),0)</f>
        <v>0</v>
      </c>
      <c r="M144" s="206">
        <f t="shared" si="7"/>
        <v>52</v>
      </c>
    </row>
    <row r="145" spans="1:13">
      <c r="A145" s="202" t="s">
        <v>247</v>
      </c>
      <c r="B145" s="202" t="s">
        <v>165</v>
      </c>
      <c r="C145" s="202" t="s">
        <v>287</v>
      </c>
      <c r="D145" s="202" t="s">
        <v>287</v>
      </c>
      <c r="E145" s="202" t="s">
        <v>100</v>
      </c>
      <c r="F145" s="203">
        <v>3</v>
      </c>
      <c r="G145" s="202" t="s">
        <v>103</v>
      </c>
      <c r="H145" s="202" t="str">
        <f t="shared" si="6"/>
        <v>4 yard Special and Temporary</v>
      </c>
      <c r="I145" s="204" t="s">
        <v>278</v>
      </c>
      <c r="J145" s="204">
        <f>References!$C$46</f>
        <v>1839</v>
      </c>
      <c r="K145" s="205">
        <f>References!$C$14</f>
        <v>1</v>
      </c>
      <c r="L145" s="206">
        <f>IFERROR(VLOOKUP(C145,'Murrey''s Price Out'!$C$162:$AE$197,29,FALSE)+VLOOKUP(C145,'American Price Out'!$C$162:$AE$197,29,FALSE),0)</f>
        <v>0</v>
      </c>
      <c r="M145" s="206">
        <f t="shared" si="7"/>
        <v>12</v>
      </c>
    </row>
    <row r="146" spans="1:13">
      <c r="A146" s="202" t="s">
        <v>247</v>
      </c>
      <c r="B146" s="202" t="s">
        <v>165</v>
      </c>
      <c r="C146" s="202" t="s">
        <v>251</v>
      </c>
      <c r="D146" s="202" t="s">
        <v>251</v>
      </c>
      <c r="E146" s="202" t="s">
        <v>101</v>
      </c>
      <c r="F146" s="203">
        <v>3</v>
      </c>
      <c r="G146" s="202" t="s">
        <v>268</v>
      </c>
      <c r="H146" s="202" t="str">
        <f t="shared" si="6"/>
        <v>6 yard Regular</v>
      </c>
      <c r="I146" s="204" t="s">
        <v>279</v>
      </c>
      <c r="J146" s="204">
        <f>References!$C$47</f>
        <v>2520</v>
      </c>
      <c r="K146" s="205">
        <f>References!$C$11</f>
        <v>4.333333333333333</v>
      </c>
      <c r="L146" s="206">
        <f>IFERROR(VLOOKUP(C146,'Murrey''s Price Out'!$C$162:$AE$197,29,FALSE)+VLOOKUP(C146,'American Price Out'!$C$162:$AE$197,29,FALSE),0)</f>
        <v>0</v>
      </c>
      <c r="M146" s="206">
        <f t="shared" si="7"/>
        <v>52</v>
      </c>
    </row>
    <row r="147" spans="1:13">
      <c r="A147" s="202" t="s">
        <v>247</v>
      </c>
      <c r="B147" s="202" t="s">
        <v>165</v>
      </c>
      <c r="C147" s="202" t="s">
        <v>293</v>
      </c>
      <c r="D147" s="202" t="s">
        <v>293</v>
      </c>
      <c r="E147" s="202" t="s">
        <v>101</v>
      </c>
      <c r="F147" s="203">
        <v>3</v>
      </c>
      <c r="G147" s="202" t="s">
        <v>103</v>
      </c>
      <c r="H147" s="202" t="str">
        <f t="shared" si="6"/>
        <v>6 yard Special and Temporary</v>
      </c>
      <c r="I147" s="204" t="s">
        <v>279</v>
      </c>
      <c r="J147" s="204">
        <f>References!$C$47</f>
        <v>2520</v>
      </c>
      <c r="K147" s="205">
        <f>References!$C$14</f>
        <v>1</v>
      </c>
      <c r="L147" s="206">
        <f>IFERROR(VLOOKUP(C147,'Murrey''s Price Out'!$C$162:$AE$197,29,FALSE)+VLOOKUP(C147,'American Price Out'!$C$162:$AE$197,29,FALSE),0)</f>
        <v>0</v>
      </c>
      <c r="M147" s="206">
        <f t="shared" si="7"/>
        <v>12</v>
      </c>
    </row>
    <row r="148" spans="1:13">
      <c r="A148" s="202" t="s">
        <v>247</v>
      </c>
      <c r="B148" s="202" t="s">
        <v>166</v>
      </c>
      <c r="C148" s="202" t="s">
        <v>250</v>
      </c>
      <c r="D148" s="202" t="str">
        <f>C148</f>
        <v>3 YD 4-1 COMP 1X WK</v>
      </c>
      <c r="E148" s="202" t="s">
        <v>104</v>
      </c>
      <c r="F148" s="203">
        <v>4</v>
      </c>
      <c r="G148" s="202" t="s">
        <v>268</v>
      </c>
      <c r="H148" s="202" t="str">
        <f t="shared" si="6"/>
        <v>3 yard Regular</v>
      </c>
      <c r="I148" s="204" t="s">
        <v>280</v>
      </c>
      <c r="J148" s="204">
        <f>References!$C$49</f>
        <v>1892</v>
      </c>
      <c r="K148" s="205">
        <f>References!$C$11</f>
        <v>4.333333333333333</v>
      </c>
      <c r="L148" s="206">
        <f>IFERROR(VLOOKUP(C148,'Murrey''s Price Out'!$C$162:$AE$197,29,FALSE)+VLOOKUP(C148,'American Price Out'!$C$162:$AE$197,29,FALSE),0)</f>
        <v>0</v>
      </c>
      <c r="M148" s="206">
        <f t="shared" ref="M148" si="8">IF(L148=0,K148*12,K148*L148)</f>
        <v>52</v>
      </c>
    </row>
    <row r="149" spans="1:13">
      <c r="A149" s="202" t="s">
        <v>247</v>
      </c>
      <c r="B149" s="202" t="s">
        <v>166</v>
      </c>
      <c r="C149" s="202" t="s">
        <v>294</v>
      </c>
      <c r="D149" s="202" t="s">
        <v>294</v>
      </c>
      <c r="E149" s="202" t="s">
        <v>104</v>
      </c>
      <c r="F149" s="203">
        <v>4</v>
      </c>
      <c r="G149" s="202" t="s">
        <v>103</v>
      </c>
      <c r="H149" s="202" t="str">
        <f t="shared" si="6"/>
        <v>3 yard Special and Temporary</v>
      </c>
      <c r="I149" s="204" t="s">
        <v>280</v>
      </c>
      <c r="J149" s="204">
        <f>References!$C$49</f>
        <v>1892</v>
      </c>
      <c r="K149" s="205">
        <f>References!$C$14</f>
        <v>1</v>
      </c>
      <c r="L149" s="206">
        <f>IFERROR(VLOOKUP(C149,'Murrey''s Price Out'!$C$162:$AE$197,29,FALSE)+VLOOKUP(C149,'American Price Out'!$C$162:$AE$197,29,FALSE),0)</f>
        <v>0</v>
      </c>
      <c r="M149" s="206">
        <f t="shared" si="7"/>
        <v>12</v>
      </c>
    </row>
    <row r="150" spans="1:13">
      <c r="A150" s="202" t="s">
        <v>247</v>
      </c>
      <c r="B150" s="202" t="s">
        <v>166</v>
      </c>
      <c r="C150" s="202" t="s">
        <v>297</v>
      </c>
      <c r="D150" s="202" t="s">
        <v>297</v>
      </c>
      <c r="E150" s="202" t="s">
        <v>100</v>
      </c>
      <c r="F150" s="203">
        <v>4</v>
      </c>
      <c r="G150" s="202" t="s">
        <v>268</v>
      </c>
      <c r="H150" s="202" t="str">
        <f t="shared" si="6"/>
        <v>4 yard Regular</v>
      </c>
      <c r="I150" s="204" t="s">
        <v>278</v>
      </c>
      <c r="J150" s="204">
        <f>References!$C$50</f>
        <v>2452</v>
      </c>
      <c r="K150" s="205">
        <f>References!$C$11</f>
        <v>4.333333333333333</v>
      </c>
      <c r="L150" s="206">
        <f>IFERROR(VLOOKUP(C150,'Murrey''s Price Out'!$C$162:$AE$197,29,FALSE)+VLOOKUP(C150,'American Price Out'!$C$162:$AE$197,29,FALSE),0)</f>
        <v>0</v>
      </c>
      <c r="M150" s="206">
        <f t="shared" si="7"/>
        <v>52</v>
      </c>
    </row>
    <row r="151" spans="1:13">
      <c r="A151" s="202" t="s">
        <v>247</v>
      </c>
      <c r="B151" s="202" t="s">
        <v>166</v>
      </c>
      <c r="C151" s="202" t="s">
        <v>286</v>
      </c>
      <c r="D151" s="202" t="s">
        <v>286</v>
      </c>
      <c r="E151" s="202" t="s">
        <v>100</v>
      </c>
      <c r="F151" s="203">
        <v>4</v>
      </c>
      <c r="G151" s="202" t="s">
        <v>103</v>
      </c>
      <c r="H151" s="202" t="str">
        <f t="shared" si="6"/>
        <v>4 yard Special and Temporary</v>
      </c>
      <c r="I151" s="204" t="s">
        <v>278</v>
      </c>
      <c r="J151" s="204">
        <f>References!$C$50</f>
        <v>2452</v>
      </c>
      <c r="K151" s="205">
        <f>References!$C$14</f>
        <v>1</v>
      </c>
      <c r="L151" s="206">
        <f>IFERROR(VLOOKUP(C151,'Murrey''s Price Out'!$C$162:$AE$197,29,FALSE)+VLOOKUP(C151,'American Price Out'!$C$162:$AE$197,29,FALSE),0)</f>
        <v>0</v>
      </c>
      <c r="M151" s="206">
        <f t="shared" si="7"/>
        <v>12</v>
      </c>
    </row>
    <row r="152" spans="1:13">
      <c r="A152" s="202" t="s">
        <v>247</v>
      </c>
      <c r="B152" s="202" t="s">
        <v>166</v>
      </c>
      <c r="C152" s="202" t="s">
        <v>249</v>
      </c>
      <c r="D152" s="202" t="s">
        <v>249</v>
      </c>
      <c r="E152" s="202" t="s">
        <v>101</v>
      </c>
      <c r="F152" s="203">
        <v>4</v>
      </c>
      <c r="G152" s="202" t="s">
        <v>268</v>
      </c>
      <c r="H152" s="202" t="str">
        <f t="shared" si="6"/>
        <v>6 yard Regular</v>
      </c>
      <c r="I152" s="204" t="s">
        <v>279</v>
      </c>
      <c r="J152" s="204">
        <f>References!$C$51</f>
        <v>3360</v>
      </c>
      <c r="K152" s="205">
        <f>References!$C$11</f>
        <v>4.333333333333333</v>
      </c>
      <c r="L152" s="206">
        <f>IFERROR(VLOOKUP(C152,'Murrey''s Price Out'!$C$162:$AE$197,29,FALSE)+VLOOKUP(C152,'American Price Out'!$C$162:$AE$197,29,FALSE),0)</f>
        <v>0</v>
      </c>
      <c r="M152" s="206">
        <f t="shared" si="7"/>
        <v>52</v>
      </c>
    </row>
    <row r="153" spans="1:13">
      <c r="A153" s="202" t="s">
        <v>247</v>
      </c>
      <c r="B153" s="202" t="s">
        <v>166</v>
      </c>
      <c r="C153" s="202" t="s">
        <v>295</v>
      </c>
      <c r="D153" s="202" t="s">
        <v>295</v>
      </c>
      <c r="E153" s="202" t="s">
        <v>101</v>
      </c>
      <c r="F153" s="203">
        <v>4</v>
      </c>
      <c r="G153" s="202" t="s">
        <v>103</v>
      </c>
      <c r="H153" s="202" t="str">
        <f t="shared" si="6"/>
        <v>6 yard Special and Temporary</v>
      </c>
      <c r="I153" s="204" t="s">
        <v>279</v>
      </c>
      <c r="J153" s="204">
        <f>References!$C$51</f>
        <v>3360</v>
      </c>
      <c r="K153" s="205">
        <f>References!$C$14</f>
        <v>1</v>
      </c>
      <c r="L153" s="206">
        <f>IFERROR(VLOOKUP(C153,'Murrey''s Price Out'!$C$162:$AE$197,29,FALSE)+VLOOKUP(C153,'American Price Out'!$C$162:$AE$197,29,FALSE),0)</f>
        <v>0</v>
      </c>
      <c r="M153" s="206">
        <f t="shared" si="7"/>
        <v>12</v>
      </c>
    </row>
    <row r="154" spans="1:13">
      <c r="A154" s="202" t="s">
        <v>247</v>
      </c>
      <c r="B154" s="202" t="s">
        <v>167</v>
      </c>
      <c r="C154" s="202" t="s">
        <v>213</v>
      </c>
      <c r="D154" s="202" t="s">
        <v>213</v>
      </c>
      <c r="E154" s="202" t="s">
        <v>100</v>
      </c>
      <c r="F154" s="203">
        <v>5</v>
      </c>
      <c r="G154" s="202" t="s">
        <v>268</v>
      </c>
      <c r="H154" s="202" t="str">
        <f t="shared" si="6"/>
        <v>4 yard Regular</v>
      </c>
      <c r="I154" s="204" t="s">
        <v>278</v>
      </c>
      <c r="J154" s="204">
        <f>References!$C$53</f>
        <v>3065</v>
      </c>
      <c r="K154" s="205">
        <f>References!$C$11</f>
        <v>4.333333333333333</v>
      </c>
      <c r="L154" s="206">
        <f>IFERROR(VLOOKUP(C154,'Murrey''s Price Out'!$C$162:$AE$197,29,FALSE)+VLOOKUP(C154,'American Price Out'!$C$162:$AE$197,29,FALSE),0)</f>
        <v>0</v>
      </c>
      <c r="M154" s="206">
        <f t="shared" si="7"/>
        <v>52</v>
      </c>
    </row>
    <row r="155" spans="1:13">
      <c r="A155" s="202" t="s">
        <v>247</v>
      </c>
      <c r="B155" s="202" t="s">
        <v>167</v>
      </c>
      <c r="C155" s="202" t="s">
        <v>215</v>
      </c>
      <c r="D155" s="202" t="s">
        <v>215</v>
      </c>
      <c r="E155" s="202" t="s">
        <v>100</v>
      </c>
      <c r="F155" s="203">
        <v>5</v>
      </c>
      <c r="G155" s="202" t="s">
        <v>103</v>
      </c>
      <c r="H155" s="202" t="str">
        <f t="shared" si="6"/>
        <v>4 yard Special and Temporary</v>
      </c>
      <c r="I155" s="204" t="s">
        <v>278</v>
      </c>
      <c r="J155" s="204">
        <f>References!$C$53</f>
        <v>3065</v>
      </c>
      <c r="K155" s="205">
        <f>References!$C$14</f>
        <v>1</v>
      </c>
      <c r="L155" s="206">
        <f>IFERROR(VLOOKUP(C155,'Murrey''s Price Out'!$C$162:$AE$197,29,FALSE)+VLOOKUP(C155,'American Price Out'!$C$162:$AE$197,29,FALSE),0)</f>
        <v>0</v>
      </c>
      <c r="M155" s="206">
        <f t="shared" si="7"/>
        <v>12</v>
      </c>
    </row>
    <row r="156" spans="1:13">
      <c r="A156" s="202" t="s">
        <v>247</v>
      </c>
      <c r="B156" s="202" t="s">
        <v>167</v>
      </c>
      <c r="C156" s="202" t="s">
        <v>260</v>
      </c>
      <c r="D156" s="202" t="s">
        <v>260</v>
      </c>
      <c r="E156" s="202" t="s">
        <v>101</v>
      </c>
      <c r="F156" s="203">
        <v>5</v>
      </c>
      <c r="G156" s="202" t="s">
        <v>268</v>
      </c>
      <c r="H156" s="202" t="str">
        <f t="shared" si="6"/>
        <v>6 yard Regular</v>
      </c>
      <c r="I156" s="204" t="s">
        <v>279</v>
      </c>
      <c r="J156" s="204">
        <f>References!$C$54</f>
        <v>4200</v>
      </c>
      <c r="K156" s="205">
        <f>References!$C$11</f>
        <v>4.333333333333333</v>
      </c>
      <c r="L156" s="206">
        <f>IFERROR(VLOOKUP(C156,'Murrey''s Price Out'!$C$162:$AE$197,29,FALSE)+VLOOKUP(C156,'American Price Out'!$C$162:$AE$197,29,FALSE),0)</f>
        <v>0</v>
      </c>
      <c r="M156" s="206">
        <f t="shared" si="7"/>
        <v>52</v>
      </c>
    </row>
    <row r="157" spans="1:13">
      <c r="A157" s="202" t="s">
        <v>247</v>
      </c>
      <c r="B157" s="202" t="s">
        <v>167</v>
      </c>
      <c r="C157" s="202" t="s">
        <v>296</v>
      </c>
      <c r="D157" s="202" t="s">
        <v>296</v>
      </c>
      <c r="E157" s="202" t="s">
        <v>101</v>
      </c>
      <c r="F157" s="203">
        <v>5</v>
      </c>
      <c r="G157" s="202" t="s">
        <v>103</v>
      </c>
      <c r="H157" s="202" t="str">
        <f t="shared" si="6"/>
        <v>6 yard Special and Temporary</v>
      </c>
      <c r="I157" s="204" t="s">
        <v>279</v>
      </c>
      <c r="J157" s="204">
        <f>References!$C$54</f>
        <v>4200</v>
      </c>
      <c r="K157" s="205">
        <f>References!$C$14</f>
        <v>1</v>
      </c>
      <c r="L157" s="206">
        <f>IFERROR(VLOOKUP(C157,'Murrey''s Price Out'!$C$162:$AE$197,29,FALSE)+VLOOKUP(C157,'American Price Out'!$C$162:$AE$197,29,FALSE),0)</f>
        <v>0</v>
      </c>
      <c r="M157" s="206">
        <f t="shared" si="7"/>
        <v>12</v>
      </c>
    </row>
  </sheetData>
  <autoFilter ref="A1:M157"/>
  <pageMargins left="0.7" right="0.7" top="0.75" bottom="0.75" header="0.3" footer="0.3"/>
  <pageSetup scale="38" fitToHeight="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I404"/>
  <sheetViews>
    <sheetView zoomScale="85" zoomScaleNormal="85" zoomScaleSheetLayoutView="85" workbookViewId="0">
      <pane xSplit="5" ySplit="6" topLeftCell="F3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outlineLevelRow="2" outlineLevelCol="1"/>
  <cols>
    <col min="1" max="1" width="32.5703125" style="135" hidden="1" customWidth="1" outlineLevel="1"/>
    <col min="2" max="2" width="29.140625" style="137" customWidth="1" collapsed="1"/>
    <col min="3" max="3" width="32.140625" style="137" bestFit="1" customWidth="1"/>
    <col min="4" max="5" width="10.5703125" style="137" customWidth="1"/>
    <col min="6" max="15" width="10.7109375" style="137" hidden="1" customWidth="1" outlineLevel="1"/>
    <col min="16" max="17" width="10.7109375" style="135" hidden="1" customWidth="1" outlineLevel="1"/>
    <col min="18" max="18" width="13" style="135" customWidth="1" collapsed="1"/>
    <col min="19" max="19" width="8.85546875" style="137" hidden="1" customWidth="1" outlineLevel="1"/>
    <col min="20" max="30" width="8.85546875" style="135" hidden="1" customWidth="1" outlineLevel="1"/>
    <col min="31" max="31" width="14.28515625" style="135" customWidth="1" collapsed="1"/>
    <col min="32" max="16384" width="9.140625" style="135"/>
  </cols>
  <sheetData>
    <row r="1" spans="1:33">
      <c r="B1" s="136" t="s">
        <v>304</v>
      </c>
      <c r="C1" s="188" t="s">
        <v>797</v>
      </c>
    </row>
    <row r="2" spans="1:33">
      <c r="B2" s="136" t="s">
        <v>306</v>
      </c>
      <c r="C2" s="136"/>
    </row>
    <row r="3" spans="1:33">
      <c r="B3" s="136" t="s">
        <v>307</v>
      </c>
      <c r="C3" s="136"/>
      <c r="P3" s="139"/>
      <c r="Q3" s="139"/>
      <c r="R3" s="139"/>
      <c r="U3" s="138"/>
      <c r="V3" s="138"/>
      <c r="W3" s="138"/>
      <c r="X3" s="138"/>
      <c r="AA3" s="140" t="s">
        <v>308</v>
      </c>
      <c r="AB3" s="141">
        <v>1</v>
      </c>
    </row>
    <row r="4" spans="1:33">
      <c r="B4" s="135"/>
      <c r="C4" s="189">
        <v>1</v>
      </c>
      <c r="D4" s="188">
        <v>2</v>
      </c>
      <c r="E4" s="188">
        <v>3</v>
      </c>
      <c r="F4" s="188">
        <v>4</v>
      </c>
      <c r="G4" s="188">
        <v>5</v>
      </c>
      <c r="H4" s="188">
        <v>6</v>
      </c>
      <c r="I4" s="188">
        <v>7</v>
      </c>
      <c r="J4" s="188">
        <v>8</v>
      </c>
      <c r="K4" s="188">
        <v>9</v>
      </c>
      <c r="L4" s="188">
        <v>10</v>
      </c>
      <c r="M4" s="188">
        <v>11</v>
      </c>
      <c r="N4" s="188">
        <v>12</v>
      </c>
      <c r="O4" s="188">
        <v>13</v>
      </c>
      <c r="P4" s="188">
        <v>14</v>
      </c>
      <c r="Q4" s="188">
        <v>15</v>
      </c>
      <c r="R4" s="188">
        <v>16</v>
      </c>
      <c r="S4" s="188">
        <v>17</v>
      </c>
      <c r="T4" s="188">
        <v>18</v>
      </c>
      <c r="U4" s="188">
        <v>19</v>
      </c>
      <c r="V4" s="188">
        <v>20</v>
      </c>
      <c r="W4" s="188">
        <v>21</v>
      </c>
      <c r="X4" s="188">
        <v>22</v>
      </c>
      <c r="Y4" s="188">
        <v>23</v>
      </c>
      <c r="Z4" s="188">
        <v>24</v>
      </c>
      <c r="AA4" s="188">
        <v>25</v>
      </c>
      <c r="AB4" s="188">
        <v>26</v>
      </c>
      <c r="AC4" s="188">
        <v>27</v>
      </c>
      <c r="AD4" s="188">
        <v>28</v>
      </c>
      <c r="AE4" s="188">
        <v>29</v>
      </c>
      <c r="AF4" s="188"/>
      <c r="AG4" s="188"/>
    </row>
    <row r="5" spans="1:33">
      <c r="A5" s="135" t="s">
        <v>309</v>
      </c>
      <c r="C5" s="142"/>
      <c r="D5" s="143"/>
      <c r="E5" s="143"/>
      <c r="F5" s="360" t="s">
        <v>310</v>
      </c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144"/>
      <c r="S5" s="360" t="s">
        <v>311</v>
      </c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3" ht="45">
      <c r="B6" s="145" t="s">
        <v>185</v>
      </c>
      <c r="C6" s="142" t="s">
        <v>312</v>
      </c>
      <c r="D6" s="142" t="s">
        <v>313</v>
      </c>
      <c r="E6" s="142" t="s">
        <v>314</v>
      </c>
      <c r="F6" s="146">
        <v>43009</v>
      </c>
      <c r="G6" s="146">
        <v>43040</v>
      </c>
      <c r="H6" s="146">
        <v>43070</v>
      </c>
      <c r="I6" s="146">
        <v>43118</v>
      </c>
      <c r="J6" s="146">
        <v>43149</v>
      </c>
      <c r="K6" s="146">
        <v>43177</v>
      </c>
      <c r="L6" s="146">
        <v>43208</v>
      </c>
      <c r="M6" s="146">
        <v>43238</v>
      </c>
      <c r="N6" s="146">
        <v>43269</v>
      </c>
      <c r="O6" s="146">
        <v>43299</v>
      </c>
      <c r="P6" s="146">
        <v>43330</v>
      </c>
      <c r="Q6" s="146">
        <v>43361</v>
      </c>
      <c r="R6" s="147" t="s">
        <v>315</v>
      </c>
      <c r="S6" s="146">
        <v>43009</v>
      </c>
      <c r="T6" s="146">
        <v>43040</v>
      </c>
      <c r="U6" s="146">
        <v>43070</v>
      </c>
      <c r="V6" s="146">
        <v>43118</v>
      </c>
      <c r="W6" s="146">
        <v>43149</v>
      </c>
      <c r="X6" s="146">
        <v>43177</v>
      </c>
      <c r="Y6" s="146">
        <v>43208</v>
      </c>
      <c r="Z6" s="146">
        <v>43238</v>
      </c>
      <c r="AA6" s="146">
        <v>43269</v>
      </c>
      <c r="AB6" s="146">
        <v>43299</v>
      </c>
      <c r="AC6" s="146">
        <v>43330</v>
      </c>
      <c r="AD6" s="146">
        <v>43361</v>
      </c>
      <c r="AE6" s="147" t="s">
        <v>796</v>
      </c>
    </row>
    <row r="7" spans="1:33">
      <c r="P7" s="137"/>
      <c r="Q7" s="137"/>
      <c r="R7" s="149"/>
      <c r="S7" s="135"/>
      <c r="AE7" s="149"/>
    </row>
    <row r="8" spans="1:33" outlineLevel="1">
      <c r="B8" s="150" t="s">
        <v>316</v>
      </c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3"/>
      <c r="S8" s="135"/>
      <c r="AE8" s="149"/>
    </row>
    <row r="9" spans="1:33" outlineLevel="1">
      <c r="B9" s="150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135"/>
      <c r="AE9" s="149"/>
    </row>
    <row r="10" spans="1:33" outlineLevel="2">
      <c r="A10" s="135" t="s">
        <v>105</v>
      </c>
      <c r="B10" s="154" t="s">
        <v>317</v>
      </c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/>
      <c r="S10" s="135"/>
      <c r="AE10" s="149"/>
    </row>
    <row r="11" spans="1:33" outlineLevel="2">
      <c r="A11" s="135" t="str">
        <f>+$A$5&amp;$A$10&amp;B11</f>
        <v>MurreysRESIDENTIAL10RW1N</v>
      </c>
      <c r="B11" s="116" t="s">
        <v>318</v>
      </c>
      <c r="C11" s="116" t="s">
        <v>319</v>
      </c>
      <c r="D11" s="155">
        <v>0</v>
      </c>
      <c r="E11" s="155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7">
        <f>SUM(F11:Q11)</f>
        <v>0</v>
      </c>
      <c r="S11" s="158">
        <f>+IFERROR(F11/$D11,0)</f>
        <v>0</v>
      </c>
      <c r="T11" s="158">
        <f t="shared" ref="T11:W26" si="0">+IFERROR(G11/$D11,0)</f>
        <v>0</v>
      </c>
      <c r="U11" s="158">
        <f t="shared" si="0"/>
        <v>0</v>
      </c>
      <c r="V11" s="158">
        <f t="shared" si="0"/>
        <v>0</v>
      </c>
      <c r="W11" s="158">
        <f t="shared" si="0"/>
        <v>0</v>
      </c>
      <c r="X11" s="158">
        <f t="shared" ref="X11:AD26" si="1">+IFERROR(K11/$E11,0)</f>
        <v>0</v>
      </c>
      <c r="Y11" s="158">
        <f t="shared" si="1"/>
        <v>0</v>
      </c>
      <c r="Z11" s="158">
        <f t="shared" si="1"/>
        <v>0</v>
      </c>
      <c r="AA11" s="158">
        <f t="shared" si="1"/>
        <v>0</v>
      </c>
      <c r="AB11" s="158">
        <f t="shared" si="1"/>
        <v>0</v>
      </c>
      <c r="AC11" s="158">
        <f t="shared" si="1"/>
        <v>0</v>
      </c>
      <c r="AD11" s="158">
        <f t="shared" si="1"/>
        <v>0</v>
      </c>
      <c r="AE11" s="157">
        <f>+SUM(S11:AD11)/$AB$3</f>
        <v>0</v>
      </c>
    </row>
    <row r="12" spans="1:33" outlineLevel="2">
      <c r="A12" s="135" t="str">
        <f t="shared" ref="A12:A53" si="2">+$A$5&amp;$A$10&amp;B12</f>
        <v>MurreysRESIDENTIAL10RW1R</v>
      </c>
      <c r="B12" s="116" t="s">
        <v>320</v>
      </c>
      <c r="C12" s="116" t="s">
        <v>321</v>
      </c>
      <c r="D12" s="155">
        <v>0</v>
      </c>
      <c r="E12" s="155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7">
        <f t="shared" ref="R12:R55" si="3">SUM(F12:Q12)</f>
        <v>0</v>
      </c>
      <c r="S12" s="158">
        <f t="shared" ref="S12:W53" si="4">+IFERROR(F12/$D12,0)</f>
        <v>0</v>
      </c>
      <c r="T12" s="158">
        <f t="shared" si="0"/>
        <v>0</v>
      </c>
      <c r="U12" s="158">
        <f t="shared" si="0"/>
        <v>0</v>
      </c>
      <c r="V12" s="158">
        <f t="shared" si="0"/>
        <v>0</v>
      </c>
      <c r="W12" s="158">
        <f t="shared" si="0"/>
        <v>0</v>
      </c>
      <c r="X12" s="158">
        <f t="shared" si="1"/>
        <v>0</v>
      </c>
      <c r="Y12" s="158">
        <f t="shared" si="1"/>
        <v>0</v>
      </c>
      <c r="Z12" s="158">
        <f t="shared" si="1"/>
        <v>0</v>
      </c>
      <c r="AA12" s="158">
        <f t="shared" si="1"/>
        <v>0</v>
      </c>
      <c r="AB12" s="158">
        <f t="shared" si="1"/>
        <v>0</v>
      </c>
      <c r="AC12" s="158">
        <f t="shared" si="1"/>
        <v>0</v>
      </c>
      <c r="AD12" s="158">
        <f t="shared" si="1"/>
        <v>0</v>
      </c>
      <c r="AE12" s="157">
        <f t="shared" ref="AE12:AE53" si="5">+SUM(S12:AD12)/$AB$3</f>
        <v>0</v>
      </c>
    </row>
    <row r="13" spans="1:33" outlineLevel="2">
      <c r="A13" s="135" t="str">
        <f t="shared" si="2"/>
        <v>MurreysRESIDENTIAL20RM1</v>
      </c>
      <c r="B13" s="116" t="s">
        <v>322</v>
      </c>
      <c r="C13" s="116" t="s">
        <v>186</v>
      </c>
      <c r="D13" s="155">
        <v>8.9499999999999993</v>
      </c>
      <c r="E13" s="155">
        <v>9.2100000000000009</v>
      </c>
      <c r="F13" s="156">
        <v>404.95000000000005</v>
      </c>
      <c r="G13" s="156">
        <v>429.16999999999996</v>
      </c>
      <c r="H13" s="156">
        <v>436.05</v>
      </c>
      <c r="I13" s="156">
        <v>468.18</v>
      </c>
      <c r="J13" s="156">
        <v>482.29</v>
      </c>
      <c r="K13" s="156">
        <v>492.37</v>
      </c>
      <c r="L13" s="156">
        <v>506.54999999999995</v>
      </c>
      <c r="M13" s="156">
        <v>534.18000000000006</v>
      </c>
      <c r="N13" s="156">
        <v>415.09000000000003</v>
      </c>
      <c r="O13" s="156">
        <v>515.7700000000001</v>
      </c>
      <c r="P13" s="156">
        <v>506.57000000000011</v>
      </c>
      <c r="Q13" s="156">
        <v>520.38000000000011</v>
      </c>
      <c r="R13" s="157">
        <f t="shared" si="3"/>
        <v>5711.5500000000011</v>
      </c>
      <c r="S13" s="158">
        <f t="shared" si="4"/>
        <v>45.245810055865931</v>
      </c>
      <c r="T13" s="158">
        <f t="shared" si="0"/>
        <v>47.951955307262573</v>
      </c>
      <c r="U13" s="158">
        <f t="shared" si="0"/>
        <v>48.720670391061461</v>
      </c>
      <c r="V13" s="158">
        <f t="shared" si="0"/>
        <v>52.31061452513967</v>
      </c>
      <c r="W13" s="158">
        <f t="shared" si="0"/>
        <v>53.887150837988834</v>
      </c>
      <c r="X13" s="158">
        <f t="shared" si="1"/>
        <v>53.460369163952222</v>
      </c>
      <c r="Y13" s="158">
        <f t="shared" si="1"/>
        <v>54.999999999999993</v>
      </c>
      <c r="Z13" s="158">
        <f t="shared" si="1"/>
        <v>58</v>
      </c>
      <c r="AA13" s="158">
        <f t="shared" si="1"/>
        <v>45.069489685124864</v>
      </c>
      <c r="AB13" s="158">
        <f t="shared" si="1"/>
        <v>56.001085776330079</v>
      </c>
      <c r="AC13" s="158">
        <f t="shared" si="1"/>
        <v>55.002171552660158</v>
      </c>
      <c r="AD13" s="158">
        <f t="shared" si="1"/>
        <v>56.501628664495122</v>
      </c>
      <c r="AE13" s="157">
        <f t="shared" si="5"/>
        <v>627.15094595988091</v>
      </c>
    </row>
    <row r="14" spans="1:33" s="137" customFormat="1" outlineLevel="2">
      <c r="A14" s="137" t="str">
        <f t="shared" si="2"/>
        <v>MurreysRESIDENTIAL20RW1N</v>
      </c>
      <c r="B14" s="116" t="s">
        <v>323</v>
      </c>
      <c r="C14" s="116" t="s">
        <v>187</v>
      </c>
      <c r="D14" s="155">
        <v>15.53</v>
      </c>
      <c r="E14" s="155">
        <v>16.04</v>
      </c>
      <c r="F14" s="156">
        <v>313.02</v>
      </c>
      <c r="G14" s="156">
        <v>275.67</v>
      </c>
      <c r="H14" s="156">
        <v>286.20000000000005</v>
      </c>
      <c r="I14" s="156">
        <v>278.25</v>
      </c>
      <c r="J14" s="156">
        <v>279.08999999999997</v>
      </c>
      <c r="K14" s="156">
        <v>299.90999999999997</v>
      </c>
      <c r="L14" s="156">
        <v>300.75</v>
      </c>
      <c r="M14" s="156">
        <v>324.81</v>
      </c>
      <c r="N14" s="156">
        <v>336.84000000000003</v>
      </c>
      <c r="O14" s="156">
        <v>344.86000000000007</v>
      </c>
      <c r="P14" s="156">
        <v>364.90999999999997</v>
      </c>
      <c r="Q14" s="156">
        <v>368.92</v>
      </c>
      <c r="R14" s="157">
        <f t="shared" si="3"/>
        <v>3773.23</v>
      </c>
      <c r="S14" s="156">
        <f t="shared" si="4"/>
        <v>20.155827430779137</v>
      </c>
      <c r="T14" s="156">
        <f t="shared" si="0"/>
        <v>17.750804893754026</v>
      </c>
      <c r="U14" s="156">
        <f t="shared" si="0"/>
        <v>18.428847392144242</v>
      </c>
      <c r="V14" s="156">
        <f t="shared" si="0"/>
        <v>17.916934964584676</v>
      </c>
      <c r="W14" s="156">
        <f t="shared" si="0"/>
        <v>17.97102382485512</v>
      </c>
      <c r="X14" s="156">
        <f t="shared" si="1"/>
        <v>18.697630922693264</v>
      </c>
      <c r="Y14" s="156">
        <f t="shared" si="1"/>
        <v>18.75</v>
      </c>
      <c r="Z14" s="156">
        <f t="shared" si="1"/>
        <v>20.25</v>
      </c>
      <c r="AA14" s="156">
        <f t="shared" si="1"/>
        <v>21.000000000000004</v>
      </c>
      <c r="AB14" s="156">
        <f t="shared" si="1"/>
        <v>21.500000000000007</v>
      </c>
      <c r="AC14" s="156">
        <f t="shared" si="1"/>
        <v>22.75</v>
      </c>
      <c r="AD14" s="156">
        <f t="shared" si="1"/>
        <v>23.000000000000004</v>
      </c>
      <c r="AE14" s="157">
        <f t="shared" si="5"/>
        <v>238.17106942881048</v>
      </c>
    </row>
    <row r="15" spans="1:33" s="137" customFormat="1" outlineLevel="2">
      <c r="A15" s="137" t="str">
        <f t="shared" si="2"/>
        <v>MurreysRESIDENTIAL20RW1R</v>
      </c>
      <c r="B15" s="116" t="s">
        <v>324</v>
      </c>
      <c r="C15" s="116" t="s">
        <v>188</v>
      </c>
      <c r="D15" s="155">
        <v>14.53</v>
      </c>
      <c r="E15" s="155">
        <v>15.04</v>
      </c>
      <c r="F15" s="156">
        <v>24923.679999999997</v>
      </c>
      <c r="G15" s="156">
        <v>25259.09</v>
      </c>
      <c r="H15" s="156">
        <v>25404.63</v>
      </c>
      <c r="I15" s="156">
        <v>25696.520000000004</v>
      </c>
      <c r="J15" s="156">
        <v>25757.429999999997</v>
      </c>
      <c r="K15" s="156">
        <v>26378.810000000005</v>
      </c>
      <c r="L15" s="156">
        <v>26488.73</v>
      </c>
      <c r="M15" s="156">
        <v>26703.280000000002</v>
      </c>
      <c r="N15" s="156">
        <v>27025.58</v>
      </c>
      <c r="O15" s="156">
        <v>27296.530000000002</v>
      </c>
      <c r="P15" s="156">
        <v>27486.660000000003</v>
      </c>
      <c r="Q15" s="156">
        <v>27621.420000000002</v>
      </c>
      <c r="R15" s="157">
        <f t="shared" si="3"/>
        <v>316042.36</v>
      </c>
      <c r="S15" s="156">
        <f t="shared" si="4"/>
        <v>1715.3255333792154</v>
      </c>
      <c r="T15" s="156">
        <f t="shared" si="0"/>
        <v>1738.4094975911908</v>
      </c>
      <c r="U15" s="156">
        <f t="shared" si="0"/>
        <v>1748.4260151410876</v>
      </c>
      <c r="V15" s="156">
        <f t="shared" si="0"/>
        <v>1768.514796971783</v>
      </c>
      <c r="W15" s="156">
        <f t="shared" si="0"/>
        <v>1772.7068134893323</v>
      </c>
      <c r="X15" s="156">
        <f t="shared" si="1"/>
        <v>1753.9102393617025</v>
      </c>
      <c r="Y15" s="156">
        <f t="shared" si="1"/>
        <v>1761.21875</v>
      </c>
      <c r="Z15" s="156">
        <f t="shared" si="1"/>
        <v>1775.4840425531918</v>
      </c>
      <c r="AA15" s="156">
        <f t="shared" si="1"/>
        <v>1796.9135638297876</v>
      </c>
      <c r="AB15" s="156">
        <f t="shared" si="1"/>
        <v>1814.9288563829789</v>
      </c>
      <c r="AC15" s="156">
        <f t="shared" si="1"/>
        <v>1827.5704787234047</v>
      </c>
      <c r="AD15" s="156">
        <f t="shared" si="1"/>
        <v>1836.5305851063831</v>
      </c>
      <c r="AE15" s="157">
        <f t="shared" si="5"/>
        <v>21309.939172530059</v>
      </c>
    </row>
    <row r="16" spans="1:33" s="137" customFormat="1" outlineLevel="2">
      <c r="A16" s="137" t="str">
        <f t="shared" si="2"/>
        <v>MurreysRESIDENTIAL24RW1N</v>
      </c>
      <c r="B16" s="116" t="s">
        <v>325</v>
      </c>
      <c r="C16" s="116" t="s">
        <v>326</v>
      </c>
      <c r="D16" s="155">
        <v>0</v>
      </c>
      <c r="E16" s="155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7">
        <f t="shared" si="3"/>
        <v>0</v>
      </c>
      <c r="S16" s="156">
        <f t="shared" si="4"/>
        <v>0</v>
      </c>
      <c r="T16" s="156">
        <f t="shared" si="0"/>
        <v>0</v>
      </c>
      <c r="U16" s="156">
        <f t="shared" si="0"/>
        <v>0</v>
      </c>
      <c r="V16" s="156">
        <f t="shared" si="0"/>
        <v>0</v>
      </c>
      <c r="W16" s="156">
        <f t="shared" si="0"/>
        <v>0</v>
      </c>
      <c r="X16" s="156">
        <f t="shared" si="1"/>
        <v>0</v>
      </c>
      <c r="Y16" s="156">
        <f t="shared" si="1"/>
        <v>0</v>
      </c>
      <c r="Z16" s="156">
        <f t="shared" si="1"/>
        <v>0</v>
      </c>
      <c r="AA16" s="156">
        <f t="shared" si="1"/>
        <v>0</v>
      </c>
      <c r="AB16" s="156">
        <f t="shared" si="1"/>
        <v>0</v>
      </c>
      <c r="AC16" s="156">
        <f t="shared" si="1"/>
        <v>0</v>
      </c>
      <c r="AD16" s="156">
        <f t="shared" si="1"/>
        <v>0</v>
      </c>
      <c r="AE16" s="157">
        <f t="shared" si="5"/>
        <v>0</v>
      </c>
    </row>
    <row r="17" spans="1:31" s="137" customFormat="1" outlineLevel="2">
      <c r="A17" s="137" t="str">
        <f t="shared" si="2"/>
        <v>MurreysRESIDENTIAL24RW1R</v>
      </c>
      <c r="B17" s="116" t="s">
        <v>327</v>
      </c>
      <c r="C17" s="116" t="s">
        <v>328</v>
      </c>
      <c r="D17" s="155">
        <v>0</v>
      </c>
      <c r="E17" s="155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7">
        <f t="shared" si="3"/>
        <v>0</v>
      </c>
      <c r="S17" s="156">
        <f t="shared" si="4"/>
        <v>0</v>
      </c>
      <c r="T17" s="156">
        <f t="shared" si="0"/>
        <v>0</v>
      </c>
      <c r="U17" s="156">
        <f t="shared" si="0"/>
        <v>0</v>
      </c>
      <c r="V17" s="156">
        <f t="shared" si="0"/>
        <v>0</v>
      </c>
      <c r="W17" s="156">
        <f t="shared" si="0"/>
        <v>0</v>
      </c>
      <c r="X17" s="156">
        <f t="shared" si="1"/>
        <v>0</v>
      </c>
      <c r="Y17" s="156">
        <f t="shared" si="1"/>
        <v>0</v>
      </c>
      <c r="Z17" s="156">
        <f t="shared" si="1"/>
        <v>0</v>
      </c>
      <c r="AA17" s="156">
        <f t="shared" si="1"/>
        <v>0</v>
      </c>
      <c r="AB17" s="156">
        <f t="shared" si="1"/>
        <v>0</v>
      </c>
      <c r="AC17" s="156">
        <f t="shared" si="1"/>
        <v>0</v>
      </c>
      <c r="AD17" s="156">
        <f t="shared" si="1"/>
        <v>0</v>
      </c>
      <c r="AE17" s="157">
        <f t="shared" si="5"/>
        <v>0</v>
      </c>
    </row>
    <row r="18" spans="1:31" s="137" customFormat="1" outlineLevel="2">
      <c r="A18" s="137" t="str">
        <f t="shared" si="2"/>
        <v>MurreysRESIDENTIAL32RW1N</v>
      </c>
      <c r="B18" s="116" t="s">
        <v>329</v>
      </c>
      <c r="C18" s="116" t="s">
        <v>330</v>
      </c>
      <c r="D18" s="155">
        <v>0</v>
      </c>
      <c r="E18" s="155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7">
        <f t="shared" si="3"/>
        <v>0</v>
      </c>
      <c r="S18" s="156">
        <f t="shared" si="4"/>
        <v>0</v>
      </c>
      <c r="T18" s="156">
        <f t="shared" si="0"/>
        <v>0</v>
      </c>
      <c r="U18" s="156">
        <f t="shared" si="0"/>
        <v>0</v>
      </c>
      <c r="V18" s="156">
        <f t="shared" si="0"/>
        <v>0</v>
      </c>
      <c r="W18" s="156">
        <f t="shared" si="0"/>
        <v>0</v>
      </c>
      <c r="X18" s="156">
        <f t="shared" si="1"/>
        <v>0</v>
      </c>
      <c r="Y18" s="156">
        <f t="shared" si="1"/>
        <v>0</v>
      </c>
      <c r="Z18" s="156">
        <f t="shared" si="1"/>
        <v>0</v>
      </c>
      <c r="AA18" s="156">
        <f t="shared" si="1"/>
        <v>0</v>
      </c>
      <c r="AB18" s="156">
        <f t="shared" si="1"/>
        <v>0</v>
      </c>
      <c r="AC18" s="156">
        <f t="shared" si="1"/>
        <v>0</v>
      </c>
      <c r="AD18" s="156">
        <f t="shared" si="1"/>
        <v>0</v>
      </c>
      <c r="AE18" s="157">
        <f t="shared" si="5"/>
        <v>0</v>
      </c>
    </row>
    <row r="19" spans="1:31" s="137" customFormat="1" outlineLevel="2">
      <c r="A19" s="137" t="str">
        <f t="shared" si="2"/>
        <v>MurreysRESIDENTIAL32RW1R</v>
      </c>
      <c r="B19" s="116" t="s">
        <v>331</v>
      </c>
      <c r="C19" s="116" t="s">
        <v>332</v>
      </c>
      <c r="D19" s="155">
        <v>0</v>
      </c>
      <c r="E19" s="155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7">
        <f t="shared" si="3"/>
        <v>0</v>
      </c>
      <c r="S19" s="156">
        <f t="shared" si="4"/>
        <v>0</v>
      </c>
      <c r="T19" s="156">
        <f t="shared" si="0"/>
        <v>0</v>
      </c>
      <c r="U19" s="156">
        <f t="shared" si="0"/>
        <v>0</v>
      </c>
      <c r="V19" s="156">
        <f t="shared" si="0"/>
        <v>0</v>
      </c>
      <c r="W19" s="156">
        <f t="shared" si="0"/>
        <v>0</v>
      </c>
      <c r="X19" s="156">
        <f t="shared" si="1"/>
        <v>0</v>
      </c>
      <c r="Y19" s="156">
        <f t="shared" si="1"/>
        <v>0</v>
      </c>
      <c r="Z19" s="156">
        <f t="shared" si="1"/>
        <v>0</v>
      </c>
      <c r="AA19" s="156">
        <f t="shared" si="1"/>
        <v>0</v>
      </c>
      <c r="AB19" s="156">
        <f t="shared" si="1"/>
        <v>0</v>
      </c>
      <c r="AC19" s="156">
        <f t="shared" si="1"/>
        <v>0</v>
      </c>
      <c r="AD19" s="156">
        <f t="shared" si="1"/>
        <v>0</v>
      </c>
      <c r="AE19" s="157">
        <f t="shared" si="5"/>
        <v>0</v>
      </c>
    </row>
    <row r="20" spans="1:31" s="137" customFormat="1" outlineLevel="2">
      <c r="A20" s="137" t="str">
        <f t="shared" si="2"/>
        <v>MurreysRESIDENTIAL32RW2R</v>
      </c>
      <c r="B20" s="116" t="s">
        <v>333</v>
      </c>
      <c r="C20" s="116" t="s">
        <v>334</v>
      </c>
      <c r="D20" s="155">
        <v>0</v>
      </c>
      <c r="E20" s="155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7">
        <f t="shared" si="3"/>
        <v>0</v>
      </c>
      <c r="S20" s="156">
        <f t="shared" si="4"/>
        <v>0</v>
      </c>
      <c r="T20" s="156">
        <f t="shared" si="0"/>
        <v>0</v>
      </c>
      <c r="U20" s="156">
        <f t="shared" si="0"/>
        <v>0</v>
      </c>
      <c r="V20" s="156">
        <f t="shared" si="0"/>
        <v>0</v>
      </c>
      <c r="W20" s="156">
        <f t="shared" si="0"/>
        <v>0</v>
      </c>
      <c r="X20" s="156">
        <f t="shared" si="1"/>
        <v>0</v>
      </c>
      <c r="Y20" s="156">
        <f t="shared" si="1"/>
        <v>0</v>
      </c>
      <c r="Z20" s="156">
        <f t="shared" si="1"/>
        <v>0</v>
      </c>
      <c r="AA20" s="156">
        <f t="shared" si="1"/>
        <v>0</v>
      </c>
      <c r="AB20" s="156">
        <f t="shared" si="1"/>
        <v>0</v>
      </c>
      <c r="AC20" s="156">
        <f t="shared" si="1"/>
        <v>0</v>
      </c>
      <c r="AD20" s="156">
        <f t="shared" si="1"/>
        <v>0</v>
      </c>
      <c r="AE20" s="157">
        <f t="shared" si="5"/>
        <v>0</v>
      </c>
    </row>
    <row r="21" spans="1:31" s="137" customFormat="1" outlineLevel="2">
      <c r="A21" s="137" t="str">
        <f t="shared" si="2"/>
        <v>MurreysRESIDENTIAL35RM1</v>
      </c>
      <c r="B21" s="116" t="s">
        <v>335</v>
      </c>
      <c r="C21" s="116" t="s">
        <v>189</v>
      </c>
      <c r="D21" s="155">
        <v>11.41</v>
      </c>
      <c r="E21" s="155">
        <v>11.46</v>
      </c>
      <c r="F21" s="156">
        <v>4375.33</v>
      </c>
      <c r="G21" s="156">
        <v>4382.83</v>
      </c>
      <c r="H21" s="156">
        <v>4417.1000000000004</v>
      </c>
      <c r="I21" s="156">
        <v>4332.95</v>
      </c>
      <c r="J21" s="156">
        <v>4257.6399999999994</v>
      </c>
      <c r="K21" s="156">
        <v>4252.7300000000005</v>
      </c>
      <c r="L21" s="156">
        <v>4234.42</v>
      </c>
      <c r="M21" s="156">
        <v>4294.24</v>
      </c>
      <c r="N21" s="156">
        <v>4194.3599999999997</v>
      </c>
      <c r="O21" s="156">
        <v>4131.33</v>
      </c>
      <c r="P21" s="156">
        <v>4010.9999999999995</v>
      </c>
      <c r="Q21" s="156">
        <v>4005.2700000000004</v>
      </c>
      <c r="R21" s="157">
        <f t="shared" si="3"/>
        <v>50889.2</v>
      </c>
      <c r="S21" s="156">
        <f t="shared" si="4"/>
        <v>383.46450482033305</v>
      </c>
      <c r="T21" s="156">
        <f t="shared" si="0"/>
        <v>384.12182296231373</v>
      </c>
      <c r="U21" s="156">
        <f t="shared" si="0"/>
        <v>387.12532865907104</v>
      </c>
      <c r="V21" s="156">
        <f t="shared" si="0"/>
        <v>379.75021910604733</v>
      </c>
      <c r="W21" s="156">
        <f t="shared" si="0"/>
        <v>373.14986853637157</v>
      </c>
      <c r="X21" s="156">
        <f t="shared" si="1"/>
        <v>371.09336823734731</v>
      </c>
      <c r="Y21" s="156">
        <f t="shared" si="1"/>
        <v>369.49563699825478</v>
      </c>
      <c r="Z21" s="156">
        <f t="shared" si="1"/>
        <v>374.71553228621286</v>
      </c>
      <c r="AA21" s="156">
        <f t="shared" si="1"/>
        <v>365.99999999999994</v>
      </c>
      <c r="AB21" s="156">
        <f t="shared" si="1"/>
        <v>360.49999999999994</v>
      </c>
      <c r="AC21" s="156">
        <f t="shared" si="1"/>
        <v>349.99999999999994</v>
      </c>
      <c r="AD21" s="156">
        <f t="shared" si="1"/>
        <v>349.5</v>
      </c>
      <c r="AE21" s="157">
        <f t="shared" si="5"/>
        <v>4448.9162816059516</v>
      </c>
    </row>
    <row r="22" spans="1:31" s="137" customFormat="1" outlineLevel="2">
      <c r="A22" s="137" t="str">
        <f t="shared" si="2"/>
        <v>MurreysRESIDENTIAL35RW1N</v>
      </c>
      <c r="B22" s="116" t="s">
        <v>336</v>
      </c>
      <c r="C22" s="116" t="s">
        <v>190</v>
      </c>
      <c r="D22" s="155">
        <v>19.77</v>
      </c>
      <c r="E22" s="155">
        <v>20</v>
      </c>
      <c r="F22" s="156">
        <v>5342.59</v>
      </c>
      <c r="G22" s="156">
        <v>5328.44</v>
      </c>
      <c r="H22" s="156">
        <v>5328.3499999999995</v>
      </c>
      <c r="I22" s="156">
        <v>5352.91</v>
      </c>
      <c r="J22" s="156">
        <v>5301.08</v>
      </c>
      <c r="K22" s="156">
        <v>5195.82</v>
      </c>
      <c r="L22" s="156">
        <v>5252.5</v>
      </c>
      <c r="M22" s="156">
        <v>5242.88</v>
      </c>
      <c r="N22" s="156">
        <v>5121.32</v>
      </c>
      <c r="O22" s="156">
        <v>5175</v>
      </c>
      <c r="P22" s="156">
        <v>5112.5</v>
      </c>
      <c r="Q22" s="156">
        <v>5098.26</v>
      </c>
      <c r="R22" s="157">
        <f t="shared" si="3"/>
        <v>62851.649999999994</v>
      </c>
      <c r="S22" s="156">
        <f t="shared" si="4"/>
        <v>270.23722812341936</v>
      </c>
      <c r="T22" s="156">
        <f t="shared" si="0"/>
        <v>269.52149721800708</v>
      </c>
      <c r="U22" s="156">
        <f t="shared" si="0"/>
        <v>269.51694486595852</v>
      </c>
      <c r="V22" s="156">
        <f t="shared" si="0"/>
        <v>270.75923115832069</v>
      </c>
      <c r="W22" s="156">
        <f t="shared" si="0"/>
        <v>268.13758219524533</v>
      </c>
      <c r="X22" s="156">
        <f t="shared" si="1"/>
        <v>259.791</v>
      </c>
      <c r="Y22" s="156">
        <f t="shared" si="1"/>
        <v>262.625</v>
      </c>
      <c r="Z22" s="156">
        <f t="shared" si="1"/>
        <v>262.14400000000001</v>
      </c>
      <c r="AA22" s="156">
        <f t="shared" si="1"/>
        <v>256.06599999999997</v>
      </c>
      <c r="AB22" s="156">
        <f t="shared" si="1"/>
        <v>258.75</v>
      </c>
      <c r="AC22" s="156">
        <f t="shared" si="1"/>
        <v>255.625</v>
      </c>
      <c r="AD22" s="156">
        <f t="shared" si="1"/>
        <v>254.91300000000001</v>
      </c>
      <c r="AE22" s="157">
        <f t="shared" si="5"/>
        <v>3158.0864835609509</v>
      </c>
    </row>
    <row r="23" spans="1:31" s="137" customFormat="1" outlineLevel="2">
      <c r="A23" s="137" t="str">
        <f t="shared" si="2"/>
        <v>MurreysRESIDENTIAL35RW1R</v>
      </c>
      <c r="B23" s="116" t="s">
        <v>337</v>
      </c>
      <c r="C23" s="116" t="s">
        <v>191</v>
      </c>
      <c r="D23" s="155">
        <v>18.77</v>
      </c>
      <c r="E23" s="155">
        <v>19</v>
      </c>
      <c r="F23" s="156">
        <v>408572.67000000004</v>
      </c>
      <c r="G23" s="156">
        <v>412302.76</v>
      </c>
      <c r="H23" s="156">
        <v>413002.57999999996</v>
      </c>
      <c r="I23" s="156">
        <v>411565.13</v>
      </c>
      <c r="J23" s="156">
        <v>411079.17000000004</v>
      </c>
      <c r="K23" s="156">
        <v>413845.55000000005</v>
      </c>
      <c r="L23" s="156">
        <v>415078.50000000006</v>
      </c>
      <c r="M23" s="156">
        <v>417264.07000000007</v>
      </c>
      <c r="N23" s="156">
        <v>416455.97000000003</v>
      </c>
      <c r="O23" s="156">
        <v>414002.27</v>
      </c>
      <c r="P23" s="156">
        <v>413709.87</v>
      </c>
      <c r="Q23" s="156">
        <v>411738.39</v>
      </c>
      <c r="R23" s="157">
        <f t="shared" si="3"/>
        <v>4958616.9300000006</v>
      </c>
      <c r="S23" s="156">
        <f t="shared" si="4"/>
        <v>21767.323921150775</v>
      </c>
      <c r="T23" s="156">
        <f t="shared" si="0"/>
        <v>21966.050079914759</v>
      </c>
      <c r="U23" s="156">
        <f t="shared" si="0"/>
        <v>22003.334043686733</v>
      </c>
      <c r="V23" s="156">
        <f t="shared" si="0"/>
        <v>21926.751731486416</v>
      </c>
      <c r="W23" s="156">
        <f t="shared" si="0"/>
        <v>21900.861481086842</v>
      </c>
      <c r="X23" s="156">
        <f t="shared" si="1"/>
        <v>21781.344736842108</v>
      </c>
      <c r="Y23" s="156">
        <f t="shared" si="1"/>
        <v>21846.236842105267</v>
      </c>
      <c r="Z23" s="156">
        <f t="shared" si="1"/>
        <v>21961.266842105266</v>
      </c>
      <c r="AA23" s="156">
        <f t="shared" si="1"/>
        <v>21918.735263157898</v>
      </c>
      <c r="AB23" s="156">
        <f t="shared" si="1"/>
        <v>21789.593157894738</v>
      </c>
      <c r="AC23" s="156">
        <f t="shared" si="1"/>
        <v>21774.203684210526</v>
      </c>
      <c r="AD23" s="156">
        <f t="shared" si="1"/>
        <v>21670.441578947368</v>
      </c>
      <c r="AE23" s="157">
        <f t="shared" si="5"/>
        <v>262306.14336258866</v>
      </c>
    </row>
    <row r="24" spans="1:31" s="137" customFormat="1" outlineLevel="2">
      <c r="A24" s="137" t="str">
        <f t="shared" si="2"/>
        <v>MurreysRESIDENTIAL64RW1N</v>
      </c>
      <c r="B24" s="116" t="s">
        <v>338</v>
      </c>
      <c r="C24" s="116" t="s">
        <v>339</v>
      </c>
      <c r="D24" s="155">
        <v>0</v>
      </c>
      <c r="E24" s="155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7">
        <f t="shared" si="3"/>
        <v>0</v>
      </c>
      <c r="S24" s="156">
        <f t="shared" si="4"/>
        <v>0</v>
      </c>
      <c r="T24" s="156">
        <f t="shared" si="0"/>
        <v>0</v>
      </c>
      <c r="U24" s="156">
        <f t="shared" si="0"/>
        <v>0</v>
      </c>
      <c r="V24" s="156">
        <f t="shared" si="0"/>
        <v>0</v>
      </c>
      <c r="W24" s="156">
        <f t="shared" si="0"/>
        <v>0</v>
      </c>
      <c r="X24" s="156">
        <f t="shared" si="1"/>
        <v>0</v>
      </c>
      <c r="Y24" s="156">
        <f t="shared" si="1"/>
        <v>0</v>
      </c>
      <c r="Z24" s="156">
        <f t="shared" si="1"/>
        <v>0</v>
      </c>
      <c r="AA24" s="156">
        <f t="shared" si="1"/>
        <v>0</v>
      </c>
      <c r="AB24" s="156">
        <f t="shared" si="1"/>
        <v>0</v>
      </c>
      <c r="AC24" s="156">
        <f t="shared" si="1"/>
        <v>0</v>
      </c>
      <c r="AD24" s="156">
        <f t="shared" si="1"/>
        <v>0</v>
      </c>
      <c r="AE24" s="157">
        <f t="shared" si="5"/>
        <v>0</v>
      </c>
    </row>
    <row r="25" spans="1:31" s="137" customFormat="1" ht="15.75" customHeight="1" outlineLevel="2">
      <c r="A25" s="137" t="str">
        <f t="shared" si="2"/>
        <v>MurreysRESIDENTIAL64RW1R</v>
      </c>
      <c r="B25" s="116" t="s">
        <v>340</v>
      </c>
      <c r="C25" s="116" t="s">
        <v>341</v>
      </c>
      <c r="D25" s="155">
        <v>0</v>
      </c>
      <c r="E25" s="155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7">
        <f t="shared" si="3"/>
        <v>0</v>
      </c>
      <c r="S25" s="156">
        <f t="shared" si="4"/>
        <v>0</v>
      </c>
      <c r="T25" s="156">
        <f t="shared" si="0"/>
        <v>0</v>
      </c>
      <c r="U25" s="156">
        <f t="shared" si="0"/>
        <v>0</v>
      </c>
      <c r="V25" s="156">
        <f t="shared" si="0"/>
        <v>0</v>
      </c>
      <c r="W25" s="156">
        <f t="shared" si="0"/>
        <v>0</v>
      </c>
      <c r="X25" s="156">
        <f t="shared" si="1"/>
        <v>0</v>
      </c>
      <c r="Y25" s="156">
        <f t="shared" si="1"/>
        <v>0</v>
      </c>
      <c r="Z25" s="156">
        <f t="shared" si="1"/>
        <v>0</v>
      </c>
      <c r="AA25" s="156">
        <f t="shared" si="1"/>
        <v>0</v>
      </c>
      <c r="AB25" s="156">
        <f t="shared" si="1"/>
        <v>0</v>
      </c>
      <c r="AC25" s="156">
        <f t="shared" si="1"/>
        <v>0</v>
      </c>
      <c r="AD25" s="156">
        <f t="shared" si="1"/>
        <v>0</v>
      </c>
      <c r="AE25" s="157">
        <f t="shared" si="5"/>
        <v>0</v>
      </c>
    </row>
    <row r="26" spans="1:31" s="137" customFormat="1" outlineLevel="2">
      <c r="A26" s="137" t="str">
        <f t="shared" si="2"/>
        <v>MurreysRESIDENTIAL65RM1</v>
      </c>
      <c r="B26" s="116" t="s">
        <v>342</v>
      </c>
      <c r="C26" s="116" t="s">
        <v>192</v>
      </c>
      <c r="D26" s="155">
        <v>17.079999999999998</v>
      </c>
      <c r="E26" s="155">
        <v>17.149999999999999</v>
      </c>
      <c r="F26" s="156">
        <v>335.51</v>
      </c>
      <c r="G26" s="156">
        <v>408.03</v>
      </c>
      <c r="H26" s="156">
        <v>435.53999999999996</v>
      </c>
      <c r="I26" s="156">
        <v>409.91999999999996</v>
      </c>
      <c r="J26" s="156">
        <v>444.53999999999996</v>
      </c>
      <c r="K26" s="156">
        <v>471.14</v>
      </c>
      <c r="L26" s="156">
        <v>471.63</v>
      </c>
      <c r="M26" s="156">
        <v>463.06</v>
      </c>
      <c r="N26" s="156">
        <v>488.78</v>
      </c>
      <c r="O26" s="156">
        <v>488.78</v>
      </c>
      <c r="P26" s="156">
        <v>531.66000000000008</v>
      </c>
      <c r="Q26" s="156">
        <v>548.81000000000006</v>
      </c>
      <c r="R26" s="157">
        <f t="shared" si="3"/>
        <v>5497.4</v>
      </c>
      <c r="S26" s="156">
        <f t="shared" si="4"/>
        <v>19.643442622950822</v>
      </c>
      <c r="T26" s="156">
        <f t="shared" si="0"/>
        <v>23.889344262295083</v>
      </c>
      <c r="U26" s="156">
        <f t="shared" si="0"/>
        <v>25.5</v>
      </c>
      <c r="V26" s="156">
        <f t="shared" si="0"/>
        <v>24</v>
      </c>
      <c r="W26" s="156">
        <f t="shared" si="0"/>
        <v>26.026932084309134</v>
      </c>
      <c r="X26" s="156">
        <f t="shared" si="1"/>
        <v>27.471720116618076</v>
      </c>
      <c r="Y26" s="156">
        <f t="shared" si="1"/>
        <v>27.500291545189505</v>
      </c>
      <c r="Z26" s="156">
        <f t="shared" si="1"/>
        <v>27.00058309037901</v>
      </c>
      <c r="AA26" s="156">
        <f t="shared" si="1"/>
        <v>28.500291545189505</v>
      </c>
      <c r="AB26" s="156">
        <f t="shared" si="1"/>
        <v>28.500291545189505</v>
      </c>
      <c r="AC26" s="156">
        <f t="shared" si="1"/>
        <v>31.000583090379017</v>
      </c>
      <c r="AD26" s="156">
        <f t="shared" si="1"/>
        <v>32.000583090379017</v>
      </c>
      <c r="AE26" s="157">
        <f t="shared" si="5"/>
        <v>321.0340629928786</v>
      </c>
    </row>
    <row r="27" spans="1:31" s="137" customFormat="1" outlineLevel="2">
      <c r="A27" s="137" t="str">
        <f t="shared" si="2"/>
        <v>MurreysRESIDENTIAL65RW1N</v>
      </c>
      <c r="B27" s="116" t="s">
        <v>343</v>
      </c>
      <c r="C27" s="116" t="s">
        <v>193</v>
      </c>
      <c r="D27" s="155">
        <v>29.61</v>
      </c>
      <c r="E27" s="155">
        <v>29.93</v>
      </c>
      <c r="F27" s="156">
        <v>3885.1499999999996</v>
      </c>
      <c r="G27" s="156">
        <v>3923.49</v>
      </c>
      <c r="H27" s="156">
        <v>3893.7200000000003</v>
      </c>
      <c r="I27" s="156">
        <v>3893.7200000000003</v>
      </c>
      <c r="J27" s="156">
        <v>3865.9799999999996</v>
      </c>
      <c r="K27" s="156">
        <v>3933.04</v>
      </c>
      <c r="L27" s="156">
        <v>3943.2799999999997</v>
      </c>
      <c r="M27" s="156">
        <v>4003.14</v>
      </c>
      <c r="N27" s="156">
        <v>3965.73</v>
      </c>
      <c r="O27" s="156">
        <v>4006.8900000000003</v>
      </c>
      <c r="P27" s="156">
        <v>4021.8599999999997</v>
      </c>
      <c r="Q27" s="156">
        <v>3894.65</v>
      </c>
      <c r="R27" s="157">
        <f t="shared" si="3"/>
        <v>47230.65</v>
      </c>
      <c r="S27" s="156">
        <f t="shared" si="4"/>
        <v>131.21073961499494</v>
      </c>
      <c r="T27" s="156">
        <f t="shared" si="4"/>
        <v>132.50557244174266</v>
      </c>
      <c r="U27" s="156">
        <f t="shared" si="4"/>
        <v>131.500168861871</v>
      </c>
      <c r="V27" s="156">
        <f t="shared" si="4"/>
        <v>131.500168861871</v>
      </c>
      <c r="W27" s="156">
        <f t="shared" si="4"/>
        <v>130.56332320162107</v>
      </c>
      <c r="X27" s="156">
        <f t="shared" ref="X27:AD53" si="6">+IFERROR(K27/$E27,0)</f>
        <v>131.40795188773805</v>
      </c>
      <c r="Y27" s="156">
        <f t="shared" si="6"/>
        <v>131.75008352823252</v>
      </c>
      <c r="Z27" s="156">
        <f t="shared" si="6"/>
        <v>133.75008352823255</v>
      </c>
      <c r="AA27" s="156">
        <f t="shared" si="6"/>
        <v>132.50016705646507</v>
      </c>
      <c r="AB27" s="156">
        <f t="shared" si="6"/>
        <v>133.87537587704645</v>
      </c>
      <c r="AC27" s="156">
        <f t="shared" si="6"/>
        <v>134.37554293351153</v>
      </c>
      <c r="AD27" s="156">
        <f t="shared" si="6"/>
        <v>130.1252923488139</v>
      </c>
      <c r="AE27" s="157">
        <f t="shared" si="5"/>
        <v>1585.0644701421406</v>
      </c>
    </row>
    <row r="28" spans="1:31" s="137" customFormat="1" outlineLevel="2">
      <c r="A28" s="137" t="str">
        <f t="shared" si="2"/>
        <v>MurreysRESIDENTIAL65RW1R</v>
      </c>
      <c r="B28" s="116" t="s">
        <v>344</v>
      </c>
      <c r="C28" s="116" t="s">
        <v>194</v>
      </c>
      <c r="D28" s="155">
        <v>27.61</v>
      </c>
      <c r="E28" s="155">
        <v>27.93</v>
      </c>
      <c r="F28" s="156">
        <v>263935.26999999996</v>
      </c>
      <c r="G28" s="156">
        <v>270777.15000000002</v>
      </c>
      <c r="H28" s="156">
        <v>275793.43</v>
      </c>
      <c r="I28" s="156">
        <v>279983.05</v>
      </c>
      <c r="J28" s="156">
        <v>282594.48000000004</v>
      </c>
      <c r="K28" s="156">
        <v>288522.39</v>
      </c>
      <c r="L28" s="156">
        <v>293015.99</v>
      </c>
      <c r="M28" s="156">
        <v>297210.06</v>
      </c>
      <c r="N28" s="156">
        <v>299426.56000000006</v>
      </c>
      <c r="O28" s="156">
        <v>301645.95000000007</v>
      </c>
      <c r="P28" s="156">
        <v>308051.02999999997</v>
      </c>
      <c r="Q28" s="156">
        <v>309427.43</v>
      </c>
      <c r="R28" s="157">
        <f t="shared" si="3"/>
        <v>3470382.79</v>
      </c>
      <c r="S28" s="156">
        <f t="shared" si="4"/>
        <v>9559.4085476276705</v>
      </c>
      <c r="T28" s="156">
        <f t="shared" si="4"/>
        <v>9807.2129663165524</v>
      </c>
      <c r="U28" s="156">
        <f t="shared" si="4"/>
        <v>9988.8964143426292</v>
      </c>
      <c r="V28" s="156">
        <f t="shared" si="4"/>
        <v>10140.639261137268</v>
      </c>
      <c r="W28" s="156">
        <f t="shared" si="4"/>
        <v>10235.222021006883</v>
      </c>
      <c r="X28" s="156">
        <f t="shared" si="6"/>
        <v>10330.196562835661</v>
      </c>
      <c r="Y28" s="156">
        <f t="shared" si="6"/>
        <v>10491.084496956677</v>
      </c>
      <c r="Z28" s="156">
        <f t="shared" si="6"/>
        <v>10641.248120300752</v>
      </c>
      <c r="AA28" s="156">
        <f t="shared" si="6"/>
        <v>10720.607232366632</v>
      </c>
      <c r="AB28" s="156">
        <f t="shared" si="6"/>
        <v>10800.069817400647</v>
      </c>
      <c r="AC28" s="156">
        <f t="shared" si="6"/>
        <v>11029.395989974937</v>
      </c>
      <c r="AD28" s="156">
        <f t="shared" si="6"/>
        <v>11078.676333691372</v>
      </c>
      <c r="AE28" s="157">
        <f t="shared" si="5"/>
        <v>124822.65776395769</v>
      </c>
    </row>
    <row r="29" spans="1:31" s="137" customFormat="1" outlineLevel="2">
      <c r="A29" s="137" t="str">
        <f t="shared" si="2"/>
        <v>MurreysRESIDENTIAL95RM1</v>
      </c>
      <c r="B29" s="116" t="s">
        <v>345</v>
      </c>
      <c r="C29" s="116" t="s">
        <v>195</v>
      </c>
      <c r="D29" s="155">
        <v>23.9</v>
      </c>
      <c r="E29" s="155">
        <v>24.01</v>
      </c>
      <c r="F29" s="156">
        <v>23.61</v>
      </c>
      <c r="G29" s="156">
        <v>47.51</v>
      </c>
      <c r="H29" s="156">
        <v>35.849999999999994</v>
      </c>
      <c r="I29" s="156">
        <v>59.749999999999993</v>
      </c>
      <c r="J29" s="156">
        <v>47.86</v>
      </c>
      <c r="K29" s="156">
        <v>95.990000000000009</v>
      </c>
      <c r="L29" s="156">
        <v>96.04</v>
      </c>
      <c r="M29" s="156">
        <v>72.03</v>
      </c>
      <c r="N29" s="156">
        <v>108.05000000000001</v>
      </c>
      <c r="O29" s="156">
        <v>108.05000000000001</v>
      </c>
      <c r="P29" s="156">
        <v>120.05000000000001</v>
      </c>
      <c r="Q29" s="156">
        <v>108.05000000000001</v>
      </c>
      <c r="R29" s="157">
        <f t="shared" si="3"/>
        <v>922.83999999999992</v>
      </c>
      <c r="S29" s="156">
        <f t="shared" si="4"/>
        <v>0.98786610878661096</v>
      </c>
      <c r="T29" s="156">
        <f t="shared" si="4"/>
        <v>1.987866108786611</v>
      </c>
      <c r="U29" s="156">
        <f t="shared" si="4"/>
        <v>1.4999999999999998</v>
      </c>
      <c r="V29" s="156">
        <f t="shared" si="4"/>
        <v>2.5</v>
      </c>
      <c r="W29" s="156">
        <f t="shared" si="4"/>
        <v>2.0025104602510462</v>
      </c>
      <c r="X29" s="156">
        <f t="shared" si="6"/>
        <v>3.997917534360683</v>
      </c>
      <c r="Y29" s="156">
        <f t="shared" si="6"/>
        <v>4</v>
      </c>
      <c r="Z29" s="156">
        <f t="shared" si="6"/>
        <v>3</v>
      </c>
      <c r="AA29" s="156">
        <f t="shared" si="6"/>
        <v>4.5002082465639317</v>
      </c>
      <c r="AB29" s="156">
        <f t="shared" si="6"/>
        <v>4.5002082465639317</v>
      </c>
      <c r="AC29" s="156">
        <f t="shared" si="6"/>
        <v>5</v>
      </c>
      <c r="AD29" s="156">
        <f t="shared" si="6"/>
        <v>4.5002082465639317</v>
      </c>
      <c r="AE29" s="157">
        <f t="shared" si="5"/>
        <v>38.476784951876745</v>
      </c>
    </row>
    <row r="30" spans="1:31" s="137" customFormat="1" outlineLevel="2">
      <c r="A30" s="137" t="str">
        <f t="shared" si="2"/>
        <v>MurreysRESIDENTIAL95RW1N</v>
      </c>
      <c r="B30" s="116" t="s">
        <v>346</v>
      </c>
      <c r="C30" s="116" t="s">
        <v>196</v>
      </c>
      <c r="D30" s="155">
        <v>41.42</v>
      </c>
      <c r="E30" s="155">
        <v>41.89</v>
      </c>
      <c r="F30" s="156">
        <v>483.55</v>
      </c>
      <c r="G30" s="156">
        <v>457.77</v>
      </c>
      <c r="H30" s="156">
        <v>455.62</v>
      </c>
      <c r="I30" s="156">
        <v>414.20000000000005</v>
      </c>
      <c r="J30" s="156">
        <v>415.38</v>
      </c>
      <c r="K30" s="156">
        <v>417.73</v>
      </c>
      <c r="L30" s="156">
        <v>418.9</v>
      </c>
      <c r="M30" s="156">
        <v>418.90999999999997</v>
      </c>
      <c r="N30" s="156">
        <v>403.2</v>
      </c>
      <c r="O30" s="156">
        <v>424.14</v>
      </c>
      <c r="P30" s="156">
        <v>575.99</v>
      </c>
      <c r="Q30" s="156">
        <v>596.94000000000005</v>
      </c>
      <c r="R30" s="157">
        <f t="shared" si="3"/>
        <v>5482.33</v>
      </c>
      <c r="S30" s="156">
        <f t="shared" si="4"/>
        <v>11.674311926605505</v>
      </c>
      <c r="T30" s="156">
        <f t="shared" si="4"/>
        <v>11.051907291163689</v>
      </c>
      <c r="U30" s="156">
        <f t="shared" si="4"/>
        <v>11</v>
      </c>
      <c r="V30" s="156">
        <f t="shared" si="4"/>
        <v>10</v>
      </c>
      <c r="W30" s="156">
        <f t="shared" si="4"/>
        <v>10.028488652824722</v>
      </c>
      <c r="X30" s="156">
        <f t="shared" si="6"/>
        <v>9.9720697063738371</v>
      </c>
      <c r="Y30" s="156">
        <f t="shared" si="6"/>
        <v>10</v>
      </c>
      <c r="Z30" s="156">
        <f t="shared" si="6"/>
        <v>10.000238720458343</v>
      </c>
      <c r="AA30" s="156">
        <f t="shared" si="6"/>
        <v>9.6252088804010505</v>
      </c>
      <c r="AB30" s="156">
        <f t="shared" si="6"/>
        <v>10.125089520171878</v>
      </c>
      <c r="AC30" s="156">
        <f t="shared" si="6"/>
        <v>13.750059680114585</v>
      </c>
      <c r="AD30" s="156">
        <f t="shared" si="6"/>
        <v>14.250179040343758</v>
      </c>
      <c r="AE30" s="157">
        <f t="shared" si="5"/>
        <v>131.47755341845738</v>
      </c>
    </row>
    <row r="31" spans="1:31" s="137" customFormat="1" outlineLevel="2">
      <c r="A31" s="137" t="str">
        <f t="shared" si="2"/>
        <v>MurreysRESIDENTIAL95RW1R</v>
      </c>
      <c r="B31" s="116" t="s">
        <v>347</v>
      </c>
      <c r="C31" s="116" t="s">
        <v>197</v>
      </c>
      <c r="D31" s="155">
        <v>38.42</v>
      </c>
      <c r="E31" s="155">
        <v>38.89</v>
      </c>
      <c r="F31" s="156">
        <v>42405.18</v>
      </c>
      <c r="G31" s="156">
        <v>44605.630000000005</v>
      </c>
      <c r="H31" s="156">
        <v>45979.82</v>
      </c>
      <c r="I31" s="156">
        <v>48148.770000000004</v>
      </c>
      <c r="J31" s="156">
        <v>49527.18</v>
      </c>
      <c r="K31" s="156">
        <v>51863.499999999993</v>
      </c>
      <c r="L31" s="156">
        <v>54120.44</v>
      </c>
      <c r="M31" s="156">
        <v>56538.270000000004</v>
      </c>
      <c r="N31" s="156">
        <v>58435.340000000004</v>
      </c>
      <c r="O31" s="156">
        <v>60294.189999999995</v>
      </c>
      <c r="P31" s="156">
        <v>63612.23</v>
      </c>
      <c r="Q31" s="156">
        <v>65640.12</v>
      </c>
      <c r="R31" s="157">
        <f t="shared" si="3"/>
        <v>641170.67000000004</v>
      </c>
      <c r="S31" s="156">
        <f t="shared" si="4"/>
        <v>1103.7267048412284</v>
      </c>
      <c r="T31" s="156">
        <f t="shared" si="4"/>
        <v>1161.0002602811037</v>
      </c>
      <c r="U31" s="156">
        <f t="shared" si="4"/>
        <v>1196.7678292555959</v>
      </c>
      <c r="V31" s="156">
        <f t="shared" si="4"/>
        <v>1253.2214992191568</v>
      </c>
      <c r="W31" s="156">
        <f t="shared" si="4"/>
        <v>1289.0989068193649</v>
      </c>
      <c r="X31" s="156">
        <f t="shared" si="6"/>
        <v>1333.5947544355874</v>
      </c>
      <c r="Y31" s="156">
        <f t="shared" si="6"/>
        <v>1391.6286963229622</v>
      </c>
      <c r="Z31" s="156">
        <f t="shared" si="6"/>
        <v>1453.7996914373875</v>
      </c>
      <c r="AA31" s="156">
        <f t="shared" si="6"/>
        <v>1502.5800977114941</v>
      </c>
      <c r="AB31" s="156">
        <f t="shared" si="6"/>
        <v>1550.377732064798</v>
      </c>
      <c r="AC31" s="156">
        <f t="shared" si="6"/>
        <v>1635.6963229622011</v>
      </c>
      <c r="AD31" s="156">
        <f t="shared" si="6"/>
        <v>1687.8405759835432</v>
      </c>
      <c r="AE31" s="157">
        <f t="shared" si="5"/>
        <v>16559.333071334426</v>
      </c>
    </row>
    <row r="32" spans="1:31" s="137" customFormat="1" outlineLevel="2">
      <c r="A32" s="137" t="str">
        <f t="shared" si="2"/>
        <v>MurreysRESIDENTIAL96RW1N</v>
      </c>
      <c r="B32" s="116" t="s">
        <v>348</v>
      </c>
      <c r="C32" s="116" t="s">
        <v>349</v>
      </c>
      <c r="D32" s="155">
        <v>0</v>
      </c>
      <c r="E32" s="155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7">
        <f t="shared" si="3"/>
        <v>0</v>
      </c>
      <c r="S32" s="156">
        <f t="shared" si="4"/>
        <v>0</v>
      </c>
      <c r="T32" s="156">
        <f t="shared" si="4"/>
        <v>0</v>
      </c>
      <c r="U32" s="156">
        <f t="shared" si="4"/>
        <v>0</v>
      </c>
      <c r="V32" s="156">
        <f t="shared" si="4"/>
        <v>0</v>
      </c>
      <c r="W32" s="156">
        <f t="shared" si="4"/>
        <v>0</v>
      </c>
      <c r="X32" s="156">
        <f t="shared" si="6"/>
        <v>0</v>
      </c>
      <c r="Y32" s="156">
        <f t="shared" si="6"/>
        <v>0</v>
      </c>
      <c r="Z32" s="156">
        <f t="shared" si="6"/>
        <v>0</v>
      </c>
      <c r="AA32" s="156">
        <f t="shared" si="6"/>
        <v>0</v>
      </c>
      <c r="AB32" s="156">
        <f t="shared" si="6"/>
        <v>0</v>
      </c>
      <c r="AC32" s="156">
        <f t="shared" si="6"/>
        <v>0</v>
      </c>
      <c r="AD32" s="156">
        <f t="shared" si="6"/>
        <v>0</v>
      </c>
      <c r="AE32" s="157">
        <f t="shared" si="5"/>
        <v>0</v>
      </c>
    </row>
    <row r="33" spans="1:31" s="137" customFormat="1" outlineLevel="2">
      <c r="A33" s="137" t="str">
        <f t="shared" si="2"/>
        <v>MurreysRESIDENTIAL96RW1R</v>
      </c>
      <c r="B33" s="116" t="s">
        <v>350</v>
      </c>
      <c r="C33" s="116" t="s">
        <v>351</v>
      </c>
      <c r="D33" s="155">
        <v>0</v>
      </c>
      <c r="E33" s="155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7">
        <f t="shared" si="3"/>
        <v>0</v>
      </c>
      <c r="S33" s="156">
        <f t="shared" si="4"/>
        <v>0</v>
      </c>
      <c r="T33" s="156">
        <f t="shared" si="4"/>
        <v>0</v>
      </c>
      <c r="U33" s="156">
        <f t="shared" si="4"/>
        <v>0</v>
      </c>
      <c r="V33" s="156">
        <f t="shared" si="4"/>
        <v>0</v>
      </c>
      <c r="W33" s="156">
        <f t="shared" si="4"/>
        <v>0</v>
      </c>
      <c r="X33" s="156">
        <f t="shared" si="6"/>
        <v>0</v>
      </c>
      <c r="Y33" s="156">
        <f t="shared" si="6"/>
        <v>0</v>
      </c>
      <c r="Z33" s="156">
        <f t="shared" si="6"/>
        <v>0</v>
      </c>
      <c r="AA33" s="156">
        <f t="shared" si="6"/>
        <v>0</v>
      </c>
      <c r="AB33" s="156">
        <f t="shared" si="6"/>
        <v>0</v>
      </c>
      <c r="AC33" s="156">
        <f t="shared" si="6"/>
        <v>0</v>
      </c>
      <c r="AD33" s="156">
        <f t="shared" si="6"/>
        <v>0</v>
      </c>
      <c r="AE33" s="157">
        <f t="shared" si="5"/>
        <v>0</v>
      </c>
    </row>
    <row r="34" spans="1:31" outlineLevel="2">
      <c r="A34" s="135" t="str">
        <f t="shared" si="2"/>
        <v>MurreysRESIDENTIALADJRES</v>
      </c>
      <c r="B34" s="116" t="s">
        <v>352</v>
      </c>
      <c r="C34" s="116" t="s">
        <v>353</v>
      </c>
      <c r="D34" s="155">
        <v>0</v>
      </c>
      <c r="E34" s="155">
        <v>0</v>
      </c>
      <c r="F34" s="156">
        <v>124.57</v>
      </c>
      <c r="G34" s="156">
        <v>-0.88</v>
      </c>
      <c r="H34" s="156">
        <v>0</v>
      </c>
      <c r="I34" s="156">
        <v>-5.57</v>
      </c>
      <c r="J34" s="156">
        <v>0.03</v>
      </c>
      <c r="K34" s="156">
        <v>0</v>
      </c>
      <c r="L34" s="156">
        <v>-3.41</v>
      </c>
      <c r="M34" s="156">
        <v>0</v>
      </c>
      <c r="N34" s="156">
        <v>-3</v>
      </c>
      <c r="O34" s="156">
        <v>0.49</v>
      </c>
      <c r="P34" s="156">
        <v>136.69999999999999</v>
      </c>
      <c r="Q34" s="156">
        <v>0</v>
      </c>
      <c r="R34" s="157">
        <f t="shared" si="3"/>
        <v>248.93</v>
      </c>
      <c r="S34" s="158">
        <f t="shared" si="4"/>
        <v>0</v>
      </c>
      <c r="T34" s="158">
        <f t="shared" si="4"/>
        <v>0</v>
      </c>
      <c r="U34" s="158">
        <f t="shared" si="4"/>
        <v>0</v>
      </c>
      <c r="V34" s="158">
        <f t="shared" si="4"/>
        <v>0</v>
      </c>
      <c r="W34" s="158">
        <f t="shared" si="4"/>
        <v>0</v>
      </c>
      <c r="X34" s="158">
        <f t="shared" si="6"/>
        <v>0</v>
      </c>
      <c r="Y34" s="158">
        <f t="shared" si="6"/>
        <v>0</v>
      </c>
      <c r="Z34" s="158">
        <f t="shared" si="6"/>
        <v>0</v>
      </c>
      <c r="AA34" s="158">
        <f t="shared" si="6"/>
        <v>0</v>
      </c>
      <c r="AB34" s="158">
        <f t="shared" si="6"/>
        <v>0</v>
      </c>
      <c r="AC34" s="158">
        <f t="shared" si="6"/>
        <v>0</v>
      </c>
      <c r="AD34" s="158">
        <f t="shared" si="6"/>
        <v>0</v>
      </c>
      <c r="AE34" s="157">
        <f t="shared" si="5"/>
        <v>0</v>
      </c>
    </row>
    <row r="35" spans="1:31" outlineLevel="2">
      <c r="A35" s="135" t="str">
        <f>+$A$5&amp;"ONCALL"&amp;B35</f>
        <v>MurreysONCALLCARRY-RES</v>
      </c>
      <c r="B35" s="116" t="s">
        <v>354</v>
      </c>
      <c r="C35" s="116" t="s">
        <v>355</v>
      </c>
      <c r="D35" s="155">
        <v>0</v>
      </c>
      <c r="E35" s="155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7">
        <f t="shared" si="3"/>
        <v>0</v>
      </c>
      <c r="S35" s="158">
        <f t="shared" si="4"/>
        <v>0</v>
      </c>
      <c r="T35" s="158">
        <f t="shared" si="4"/>
        <v>0</v>
      </c>
      <c r="U35" s="158">
        <f t="shared" si="4"/>
        <v>0</v>
      </c>
      <c r="V35" s="158">
        <f t="shared" si="4"/>
        <v>0</v>
      </c>
      <c r="W35" s="158">
        <f t="shared" si="4"/>
        <v>0</v>
      </c>
      <c r="X35" s="158">
        <f t="shared" si="6"/>
        <v>0</v>
      </c>
      <c r="Y35" s="158">
        <f t="shared" si="6"/>
        <v>0</v>
      </c>
      <c r="Z35" s="158">
        <f t="shared" si="6"/>
        <v>0</v>
      </c>
      <c r="AA35" s="158">
        <f t="shared" si="6"/>
        <v>0</v>
      </c>
      <c r="AB35" s="158">
        <f t="shared" si="6"/>
        <v>0</v>
      </c>
      <c r="AC35" s="158">
        <f t="shared" si="6"/>
        <v>0</v>
      </c>
      <c r="AD35" s="158">
        <f t="shared" si="6"/>
        <v>0</v>
      </c>
      <c r="AE35" s="157">
        <f t="shared" si="5"/>
        <v>0</v>
      </c>
    </row>
    <row r="36" spans="1:31" outlineLevel="2">
      <c r="A36" s="135" t="str">
        <f t="shared" si="2"/>
        <v>MurreysRESIDENTIALDELTOT</v>
      </c>
      <c r="B36" s="116" t="s">
        <v>356</v>
      </c>
      <c r="C36" s="116" t="s">
        <v>357</v>
      </c>
      <c r="D36" s="155">
        <v>20.84</v>
      </c>
      <c r="E36" s="155">
        <v>20.84</v>
      </c>
      <c r="F36" s="156">
        <v>143.34</v>
      </c>
      <c r="G36" s="156">
        <v>2.5399999999999991</v>
      </c>
      <c r="H36" s="156">
        <v>270.92</v>
      </c>
      <c r="I36" s="156">
        <v>187.56</v>
      </c>
      <c r="J36" s="156">
        <v>267.99</v>
      </c>
      <c r="K36" s="156">
        <v>270.92</v>
      </c>
      <c r="L36" s="156">
        <v>41.68</v>
      </c>
      <c r="M36" s="156">
        <v>41.68</v>
      </c>
      <c r="N36" s="156">
        <v>125.03999999999999</v>
      </c>
      <c r="O36" s="156">
        <v>229.24</v>
      </c>
      <c r="P36" s="156">
        <v>208.4</v>
      </c>
      <c r="Q36" s="156">
        <v>62.519999999999996</v>
      </c>
      <c r="R36" s="157">
        <f t="shared" si="3"/>
        <v>1851.8300000000002</v>
      </c>
      <c r="S36" s="158">
        <f t="shared" si="4"/>
        <v>6.8781190019193863</v>
      </c>
      <c r="T36" s="158">
        <f t="shared" si="4"/>
        <v>0.12188099808061416</v>
      </c>
      <c r="U36" s="158">
        <f t="shared" si="4"/>
        <v>13</v>
      </c>
      <c r="V36" s="158">
        <f t="shared" si="4"/>
        <v>9</v>
      </c>
      <c r="W36" s="158">
        <f t="shared" si="4"/>
        <v>12.859404990403071</v>
      </c>
      <c r="X36" s="158">
        <f t="shared" si="6"/>
        <v>13</v>
      </c>
      <c r="Y36" s="158">
        <f t="shared" si="6"/>
        <v>2</v>
      </c>
      <c r="Z36" s="158">
        <f t="shared" si="6"/>
        <v>2</v>
      </c>
      <c r="AA36" s="158">
        <f t="shared" si="6"/>
        <v>6</v>
      </c>
      <c r="AB36" s="158">
        <f t="shared" si="6"/>
        <v>11</v>
      </c>
      <c r="AC36" s="158">
        <f t="shared" si="6"/>
        <v>10</v>
      </c>
      <c r="AD36" s="158">
        <f t="shared" si="6"/>
        <v>3</v>
      </c>
      <c r="AE36" s="157">
        <f t="shared" si="5"/>
        <v>88.859404990403078</v>
      </c>
    </row>
    <row r="37" spans="1:31" outlineLevel="2">
      <c r="A37" s="135" t="str">
        <f>+$A$5&amp;"ONCALL"&amp;B37</f>
        <v>MurreysONCALLDRIVEPRVT-RES</v>
      </c>
      <c r="B37" s="116" t="s">
        <v>358</v>
      </c>
      <c r="C37" s="116" t="s">
        <v>359</v>
      </c>
      <c r="D37" s="155">
        <v>0</v>
      </c>
      <c r="E37" s="155">
        <v>0</v>
      </c>
      <c r="F37" s="156">
        <v>15.32</v>
      </c>
      <c r="G37" s="156">
        <v>15.32</v>
      </c>
      <c r="H37" s="156">
        <v>15.32</v>
      </c>
      <c r="I37" s="156">
        <v>15.32</v>
      </c>
      <c r="J37" s="156">
        <v>15.32</v>
      </c>
      <c r="K37" s="156">
        <v>7.66</v>
      </c>
      <c r="L37" s="156">
        <v>7.66</v>
      </c>
      <c r="M37" s="156">
        <v>15.32</v>
      </c>
      <c r="N37" s="156">
        <v>15.32</v>
      </c>
      <c r="O37" s="156">
        <v>15.32</v>
      </c>
      <c r="P37" s="156">
        <v>15.32</v>
      </c>
      <c r="Q37" s="156">
        <v>15.32</v>
      </c>
      <c r="R37" s="157">
        <f t="shared" si="3"/>
        <v>168.51999999999995</v>
      </c>
      <c r="S37" s="158">
        <f t="shared" si="4"/>
        <v>0</v>
      </c>
      <c r="T37" s="158">
        <f t="shared" si="4"/>
        <v>0</v>
      </c>
      <c r="U37" s="158">
        <f t="shared" si="4"/>
        <v>0</v>
      </c>
      <c r="V37" s="158">
        <f t="shared" si="4"/>
        <v>0</v>
      </c>
      <c r="W37" s="158">
        <f t="shared" si="4"/>
        <v>0</v>
      </c>
      <c r="X37" s="158">
        <f t="shared" si="6"/>
        <v>0</v>
      </c>
      <c r="Y37" s="158">
        <f t="shared" si="6"/>
        <v>0</v>
      </c>
      <c r="Z37" s="158">
        <f t="shared" si="6"/>
        <v>0</v>
      </c>
      <c r="AA37" s="158">
        <f t="shared" si="6"/>
        <v>0</v>
      </c>
      <c r="AB37" s="158">
        <f t="shared" si="6"/>
        <v>0</v>
      </c>
      <c r="AC37" s="158">
        <f t="shared" si="6"/>
        <v>0</v>
      </c>
      <c r="AD37" s="158">
        <f t="shared" si="6"/>
        <v>0</v>
      </c>
      <c r="AE37" s="157">
        <f t="shared" si="5"/>
        <v>0</v>
      </c>
    </row>
    <row r="38" spans="1:31" outlineLevel="2">
      <c r="A38" s="135" t="str">
        <f>+$A$5&amp;"ONCALL"&amp;B38</f>
        <v>MurreysONCALLDRVNRE1</v>
      </c>
      <c r="B38" s="116" t="s">
        <v>360</v>
      </c>
      <c r="C38" s="116" t="s">
        <v>361</v>
      </c>
      <c r="D38" s="155">
        <v>0</v>
      </c>
      <c r="E38" s="155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7">
        <f t="shared" si="3"/>
        <v>0</v>
      </c>
      <c r="S38" s="158">
        <f t="shared" si="4"/>
        <v>0</v>
      </c>
      <c r="T38" s="158">
        <f t="shared" si="4"/>
        <v>0</v>
      </c>
      <c r="U38" s="158">
        <f t="shared" si="4"/>
        <v>0</v>
      </c>
      <c r="V38" s="158">
        <f t="shared" si="4"/>
        <v>0</v>
      </c>
      <c r="W38" s="158">
        <f t="shared" si="4"/>
        <v>0</v>
      </c>
      <c r="X38" s="158">
        <f t="shared" si="6"/>
        <v>0</v>
      </c>
      <c r="Y38" s="158">
        <f t="shared" si="6"/>
        <v>0</v>
      </c>
      <c r="Z38" s="158">
        <f t="shared" si="6"/>
        <v>0</v>
      </c>
      <c r="AA38" s="158">
        <f t="shared" si="6"/>
        <v>0</v>
      </c>
      <c r="AB38" s="158">
        <f t="shared" si="6"/>
        <v>0</v>
      </c>
      <c r="AC38" s="158">
        <f t="shared" si="6"/>
        <v>0</v>
      </c>
      <c r="AD38" s="158">
        <f t="shared" si="6"/>
        <v>0</v>
      </c>
      <c r="AE38" s="157">
        <f t="shared" si="5"/>
        <v>0</v>
      </c>
    </row>
    <row r="39" spans="1:31" outlineLevel="2">
      <c r="A39" s="135" t="str">
        <f t="shared" si="2"/>
        <v>MurreysRESIDENTIALDRVNRW1</v>
      </c>
      <c r="B39" s="116" t="s">
        <v>362</v>
      </c>
      <c r="C39" s="116" t="s">
        <v>363</v>
      </c>
      <c r="D39" s="155">
        <v>4.66</v>
      </c>
      <c r="E39" s="155">
        <v>4.66</v>
      </c>
      <c r="F39" s="156">
        <v>607.91999999999996</v>
      </c>
      <c r="G39" s="156">
        <v>576.38</v>
      </c>
      <c r="H39" s="156">
        <v>592.66000000000008</v>
      </c>
      <c r="I39" s="156">
        <v>550.79</v>
      </c>
      <c r="J39" s="156">
        <v>595.59999999999991</v>
      </c>
      <c r="K39" s="156">
        <v>585.64</v>
      </c>
      <c r="L39" s="156">
        <v>595.60000000000014</v>
      </c>
      <c r="M39" s="156">
        <v>584.62</v>
      </c>
      <c r="N39" s="156">
        <v>592.69000000000005</v>
      </c>
      <c r="O39" s="156">
        <v>593.27</v>
      </c>
      <c r="P39" s="156">
        <v>417.30000000000007</v>
      </c>
      <c r="Q39" s="156">
        <v>590.95000000000005</v>
      </c>
      <c r="R39" s="157">
        <f t="shared" si="3"/>
        <v>6883.42</v>
      </c>
      <c r="S39" s="158">
        <f t="shared" si="4"/>
        <v>130.45493562231758</v>
      </c>
      <c r="T39" s="158">
        <f t="shared" si="4"/>
        <v>123.68669527896995</v>
      </c>
      <c r="U39" s="158">
        <f t="shared" si="4"/>
        <v>127.18025751072963</v>
      </c>
      <c r="V39" s="158">
        <f t="shared" si="4"/>
        <v>118.19527896995707</v>
      </c>
      <c r="W39" s="158">
        <f t="shared" si="4"/>
        <v>127.81115879828324</v>
      </c>
      <c r="X39" s="158">
        <f t="shared" si="6"/>
        <v>125.67381974248926</v>
      </c>
      <c r="Y39" s="158">
        <f t="shared" si="6"/>
        <v>127.81115879828329</v>
      </c>
      <c r="Z39" s="158">
        <f t="shared" si="6"/>
        <v>125.45493562231759</v>
      </c>
      <c r="AA39" s="158">
        <f t="shared" si="6"/>
        <v>127.18669527896996</v>
      </c>
      <c r="AB39" s="158">
        <f t="shared" si="6"/>
        <v>127.31115879828326</v>
      </c>
      <c r="AC39" s="158">
        <f t="shared" si="6"/>
        <v>89.549356223175977</v>
      </c>
      <c r="AD39" s="158">
        <f t="shared" si="6"/>
        <v>126.81330472103005</v>
      </c>
      <c r="AE39" s="157">
        <f t="shared" si="5"/>
        <v>1477.1287553648069</v>
      </c>
    </row>
    <row r="40" spans="1:31" outlineLevel="2">
      <c r="A40" s="135" t="str">
        <f>+$A$5&amp;"ONCALL"&amp;B40</f>
        <v>MurreysONCALLDRVNRW2</v>
      </c>
      <c r="B40" s="116" t="s">
        <v>364</v>
      </c>
      <c r="C40" s="116" t="s">
        <v>365</v>
      </c>
      <c r="D40" s="155">
        <v>0</v>
      </c>
      <c r="E40" s="155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7">
        <f t="shared" si="3"/>
        <v>0</v>
      </c>
      <c r="S40" s="158">
        <f t="shared" si="4"/>
        <v>0</v>
      </c>
      <c r="T40" s="158">
        <f t="shared" si="4"/>
        <v>0</v>
      </c>
      <c r="U40" s="158">
        <f t="shared" si="4"/>
        <v>0</v>
      </c>
      <c r="V40" s="158">
        <f t="shared" si="4"/>
        <v>0</v>
      </c>
      <c r="W40" s="158">
        <f t="shared" si="4"/>
        <v>0</v>
      </c>
      <c r="X40" s="158">
        <f t="shared" si="6"/>
        <v>0</v>
      </c>
      <c r="Y40" s="158">
        <f t="shared" si="6"/>
        <v>0</v>
      </c>
      <c r="Z40" s="158">
        <f t="shared" si="6"/>
        <v>0</v>
      </c>
      <c r="AA40" s="158">
        <f t="shared" si="6"/>
        <v>0</v>
      </c>
      <c r="AB40" s="158">
        <f t="shared" si="6"/>
        <v>0</v>
      </c>
      <c r="AC40" s="158">
        <f t="shared" si="6"/>
        <v>0</v>
      </c>
      <c r="AD40" s="158">
        <f t="shared" si="6"/>
        <v>0</v>
      </c>
      <c r="AE40" s="157">
        <f t="shared" si="5"/>
        <v>0</v>
      </c>
    </row>
    <row r="41" spans="1:31" outlineLevel="2">
      <c r="A41" s="135" t="str">
        <f>+$A$5&amp;"ONCALL"&amp;B41</f>
        <v>MurreysONCALLGWCR</v>
      </c>
      <c r="B41" s="116" t="s">
        <v>366</v>
      </c>
      <c r="C41" s="116" t="s">
        <v>367</v>
      </c>
      <c r="D41" s="155">
        <v>0</v>
      </c>
      <c r="E41" s="155">
        <v>0</v>
      </c>
      <c r="F41" s="156">
        <v>0</v>
      </c>
      <c r="G41" s="156">
        <v>0</v>
      </c>
      <c r="H41" s="156">
        <v>-80</v>
      </c>
      <c r="I41" s="156">
        <v>-100</v>
      </c>
      <c r="J41" s="156">
        <v>-30</v>
      </c>
      <c r="K41" s="156">
        <v>-265</v>
      </c>
      <c r="L41" s="156">
        <v>-153</v>
      </c>
      <c r="M41" s="156">
        <v>-30</v>
      </c>
      <c r="N41" s="156">
        <v>-50</v>
      </c>
      <c r="O41" s="156">
        <v>-30</v>
      </c>
      <c r="P41" s="156">
        <v>-165</v>
      </c>
      <c r="Q41" s="156">
        <v>-15</v>
      </c>
      <c r="R41" s="157">
        <f t="shared" si="3"/>
        <v>-918</v>
      </c>
      <c r="S41" s="158">
        <f t="shared" si="4"/>
        <v>0</v>
      </c>
      <c r="T41" s="158">
        <f t="shared" si="4"/>
        <v>0</v>
      </c>
      <c r="U41" s="158">
        <f t="shared" si="4"/>
        <v>0</v>
      </c>
      <c r="V41" s="158">
        <f t="shared" si="4"/>
        <v>0</v>
      </c>
      <c r="W41" s="158">
        <f t="shared" si="4"/>
        <v>0</v>
      </c>
      <c r="X41" s="158">
        <f t="shared" si="6"/>
        <v>0</v>
      </c>
      <c r="Y41" s="158">
        <f t="shared" si="6"/>
        <v>0</v>
      </c>
      <c r="Z41" s="158">
        <f t="shared" si="6"/>
        <v>0</v>
      </c>
      <c r="AA41" s="158">
        <f t="shared" si="6"/>
        <v>0</v>
      </c>
      <c r="AB41" s="158">
        <f t="shared" si="6"/>
        <v>0</v>
      </c>
      <c r="AC41" s="158">
        <f t="shared" si="6"/>
        <v>0</v>
      </c>
      <c r="AD41" s="158">
        <f t="shared" si="6"/>
        <v>0</v>
      </c>
      <c r="AE41" s="157">
        <f t="shared" si="5"/>
        <v>0</v>
      </c>
    </row>
    <row r="42" spans="1:31" outlineLevel="2">
      <c r="A42" s="135" t="str">
        <f t="shared" si="2"/>
        <v>MurreysRESIDENTIALOBSR</v>
      </c>
      <c r="B42" s="116" t="s">
        <v>368</v>
      </c>
      <c r="C42" s="116" t="s">
        <v>369</v>
      </c>
      <c r="D42" s="155">
        <v>0.77999999999999992</v>
      </c>
      <c r="E42" s="155">
        <v>0.78</v>
      </c>
      <c r="F42" s="156">
        <v>7.02</v>
      </c>
      <c r="G42" s="156">
        <v>7.02</v>
      </c>
      <c r="H42" s="156">
        <v>7.02</v>
      </c>
      <c r="I42" s="156">
        <v>-11.7</v>
      </c>
      <c r="J42" s="156">
        <v>4.68</v>
      </c>
      <c r="K42" s="156">
        <v>4.68</v>
      </c>
      <c r="L42" s="156">
        <v>4.68</v>
      </c>
      <c r="M42" s="156">
        <v>4.68</v>
      </c>
      <c r="N42" s="156">
        <v>4.68</v>
      </c>
      <c r="O42" s="156">
        <v>4.68</v>
      </c>
      <c r="P42" s="156">
        <v>4.68</v>
      </c>
      <c r="Q42" s="156">
        <v>4.68</v>
      </c>
      <c r="R42" s="157">
        <f t="shared" si="3"/>
        <v>46.8</v>
      </c>
      <c r="S42" s="158">
        <f t="shared" si="4"/>
        <v>9</v>
      </c>
      <c r="T42" s="158">
        <f t="shared" si="4"/>
        <v>9</v>
      </c>
      <c r="U42" s="158">
        <f t="shared" si="4"/>
        <v>9</v>
      </c>
      <c r="V42" s="158">
        <f t="shared" si="4"/>
        <v>-15</v>
      </c>
      <c r="W42" s="158">
        <f t="shared" si="4"/>
        <v>6</v>
      </c>
      <c r="X42" s="158">
        <f t="shared" si="6"/>
        <v>5.9999999999999991</v>
      </c>
      <c r="Y42" s="158">
        <f t="shared" si="6"/>
        <v>5.9999999999999991</v>
      </c>
      <c r="Z42" s="158">
        <f t="shared" si="6"/>
        <v>5.9999999999999991</v>
      </c>
      <c r="AA42" s="158">
        <f t="shared" si="6"/>
        <v>5.9999999999999991</v>
      </c>
      <c r="AB42" s="158">
        <f t="shared" si="6"/>
        <v>5.9999999999999991</v>
      </c>
      <c r="AC42" s="158">
        <f t="shared" si="6"/>
        <v>5.9999999999999991</v>
      </c>
      <c r="AD42" s="158">
        <f t="shared" si="6"/>
        <v>5.9999999999999991</v>
      </c>
      <c r="AE42" s="157">
        <f t="shared" si="5"/>
        <v>60</v>
      </c>
    </row>
    <row r="43" spans="1:31" outlineLevel="2">
      <c r="A43" s="135" t="str">
        <f t="shared" si="2"/>
        <v>MurreysRESIDENTIALOS</v>
      </c>
      <c r="B43" s="116" t="s">
        <v>370</v>
      </c>
      <c r="C43" s="116" t="s">
        <v>198</v>
      </c>
      <c r="D43" s="155">
        <v>7.75</v>
      </c>
      <c r="E43" s="155">
        <v>7.8</v>
      </c>
      <c r="F43" s="156">
        <v>0</v>
      </c>
      <c r="G43" s="156">
        <v>0</v>
      </c>
      <c r="H43" s="156">
        <v>0</v>
      </c>
      <c r="I43" s="156">
        <v>0</v>
      </c>
      <c r="J43" s="156">
        <v>15.5</v>
      </c>
      <c r="K43" s="156">
        <v>39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7">
        <f t="shared" si="3"/>
        <v>54.5</v>
      </c>
      <c r="S43" s="158">
        <f t="shared" si="4"/>
        <v>0</v>
      </c>
      <c r="T43" s="158">
        <f t="shared" si="4"/>
        <v>0</v>
      </c>
      <c r="U43" s="158">
        <f t="shared" si="4"/>
        <v>0</v>
      </c>
      <c r="V43" s="158">
        <f t="shared" si="4"/>
        <v>0</v>
      </c>
      <c r="W43" s="158">
        <f t="shared" si="4"/>
        <v>2</v>
      </c>
      <c r="X43" s="158">
        <f t="shared" si="6"/>
        <v>5</v>
      </c>
      <c r="Y43" s="158">
        <f t="shared" si="6"/>
        <v>0</v>
      </c>
      <c r="Z43" s="158">
        <f t="shared" si="6"/>
        <v>0</v>
      </c>
      <c r="AA43" s="158">
        <f t="shared" si="6"/>
        <v>0</v>
      </c>
      <c r="AB43" s="158">
        <f t="shared" si="6"/>
        <v>0</v>
      </c>
      <c r="AC43" s="158">
        <f t="shared" si="6"/>
        <v>0</v>
      </c>
      <c r="AD43" s="158">
        <f t="shared" si="6"/>
        <v>0</v>
      </c>
      <c r="AE43" s="157">
        <f t="shared" si="5"/>
        <v>7</v>
      </c>
    </row>
    <row r="44" spans="1:31" outlineLevel="2">
      <c r="A44" s="135" t="str">
        <f t="shared" si="2"/>
        <v>MurreysRESIDENTIALOSOW</v>
      </c>
      <c r="B44" s="116" t="s">
        <v>371</v>
      </c>
      <c r="C44" s="116" t="s">
        <v>372</v>
      </c>
      <c r="D44" s="155">
        <v>7.75</v>
      </c>
      <c r="E44" s="155">
        <v>7.8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7">
        <f t="shared" si="3"/>
        <v>0</v>
      </c>
      <c r="S44" s="158">
        <f t="shared" si="4"/>
        <v>0</v>
      </c>
      <c r="T44" s="158">
        <f t="shared" si="4"/>
        <v>0</v>
      </c>
      <c r="U44" s="158">
        <f t="shared" si="4"/>
        <v>0</v>
      </c>
      <c r="V44" s="158">
        <f t="shared" si="4"/>
        <v>0</v>
      </c>
      <c r="W44" s="158">
        <f t="shared" si="4"/>
        <v>0</v>
      </c>
      <c r="X44" s="158">
        <f t="shared" si="6"/>
        <v>0</v>
      </c>
      <c r="Y44" s="158">
        <f t="shared" si="6"/>
        <v>0</v>
      </c>
      <c r="Z44" s="158">
        <f t="shared" si="6"/>
        <v>0</v>
      </c>
      <c r="AA44" s="158">
        <f t="shared" si="6"/>
        <v>0</v>
      </c>
      <c r="AB44" s="158">
        <f t="shared" si="6"/>
        <v>0</v>
      </c>
      <c r="AC44" s="158">
        <f t="shared" si="6"/>
        <v>0</v>
      </c>
      <c r="AD44" s="158">
        <f t="shared" si="6"/>
        <v>0</v>
      </c>
      <c r="AE44" s="157">
        <f t="shared" si="5"/>
        <v>0</v>
      </c>
    </row>
    <row r="45" spans="1:31" outlineLevel="2">
      <c r="A45" s="135" t="str">
        <f t="shared" si="2"/>
        <v>MurreysRESIDENTIALOW</v>
      </c>
      <c r="B45" s="116" t="s">
        <v>373</v>
      </c>
      <c r="C45" s="116" t="s">
        <v>374</v>
      </c>
      <c r="D45" s="155">
        <v>7.75</v>
      </c>
      <c r="E45" s="155">
        <v>7.8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7">
        <f t="shared" si="3"/>
        <v>0</v>
      </c>
      <c r="S45" s="158">
        <f t="shared" si="4"/>
        <v>0</v>
      </c>
      <c r="T45" s="158">
        <f t="shared" si="4"/>
        <v>0</v>
      </c>
      <c r="U45" s="158">
        <f t="shared" si="4"/>
        <v>0</v>
      </c>
      <c r="V45" s="158">
        <f t="shared" si="4"/>
        <v>0</v>
      </c>
      <c r="W45" s="158">
        <f t="shared" si="4"/>
        <v>0</v>
      </c>
      <c r="X45" s="158">
        <f t="shared" si="6"/>
        <v>0</v>
      </c>
      <c r="Y45" s="158">
        <f t="shared" si="6"/>
        <v>0</v>
      </c>
      <c r="Z45" s="158">
        <f t="shared" si="6"/>
        <v>0</v>
      </c>
      <c r="AA45" s="158">
        <f t="shared" si="6"/>
        <v>0</v>
      </c>
      <c r="AB45" s="158">
        <f t="shared" si="6"/>
        <v>0</v>
      </c>
      <c r="AC45" s="158">
        <f t="shared" si="6"/>
        <v>0</v>
      </c>
      <c r="AD45" s="158">
        <f t="shared" si="6"/>
        <v>0</v>
      </c>
      <c r="AE45" s="157">
        <f t="shared" si="5"/>
        <v>0</v>
      </c>
    </row>
    <row r="46" spans="1:31" outlineLevel="2">
      <c r="A46" s="135" t="str">
        <f t="shared" si="2"/>
        <v>MurreysRESIDENTIALPACKLC</v>
      </c>
      <c r="B46" s="116" t="s">
        <v>375</v>
      </c>
      <c r="C46" s="116" t="s">
        <v>376</v>
      </c>
      <c r="D46" s="155">
        <v>0</v>
      </c>
      <c r="E46" s="155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7">
        <f t="shared" si="3"/>
        <v>0</v>
      </c>
      <c r="S46" s="158">
        <f t="shared" si="4"/>
        <v>0</v>
      </c>
      <c r="T46" s="158">
        <f t="shared" si="4"/>
        <v>0</v>
      </c>
      <c r="U46" s="158">
        <f t="shared" si="4"/>
        <v>0</v>
      </c>
      <c r="V46" s="158">
        <f t="shared" si="4"/>
        <v>0</v>
      </c>
      <c r="W46" s="158">
        <f t="shared" si="4"/>
        <v>0</v>
      </c>
      <c r="X46" s="158">
        <f t="shared" si="6"/>
        <v>0</v>
      </c>
      <c r="Y46" s="158">
        <f t="shared" si="6"/>
        <v>0</v>
      </c>
      <c r="Z46" s="158">
        <f t="shared" si="6"/>
        <v>0</v>
      </c>
      <c r="AA46" s="158">
        <f t="shared" si="6"/>
        <v>0</v>
      </c>
      <c r="AB46" s="158">
        <f t="shared" si="6"/>
        <v>0</v>
      </c>
      <c r="AC46" s="158">
        <f t="shared" si="6"/>
        <v>0</v>
      </c>
      <c r="AD46" s="158">
        <f t="shared" si="6"/>
        <v>0</v>
      </c>
      <c r="AE46" s="157">
        <f t="shared" si="5"/>
        <v>0</v>
      </c>
    </row>
    <row r="47" spans="1:31" outlineLevel="2">
      <c r="A47" s="135" t="str">
        <f t="shared" si="2"/>
        <v>MurreysRESIDENTIALPACKR</v>
      </c>
      <c r="B47" s="116" t="s">
        <v>377</v>
      </c>
      <c r="C47" s="116" t="s">
        <v>378</v>
      </c>
      <c r="D47" s="155">
        <v>2.08</v>
      </c>
      <c r="E47" s="155">
        <v>2.08</v>
      </c>
      <c r="F47" s="156">
        <v>110.05</v>
      </c>
      <c r="G47" s="156">
        <v>113.05</v>
      </c>
      <c r="H47" s="156">
        <v>109.34</v>
      </c>
      <c r="I47" s="156">
        <v>104.92999999999999</v>
      </c>
      <c r="J47" s="156">
        <v>108.75999999999999</v>
      </c>
      <c r="K47" s="156">
        <v>108.75999999999999</v>
      </c>
      <c r="L47" s="156">
        <v>114.15</v>
      </c>
      <c r="M47" s="156">
        <v>115.19</v>
      </c>
      <c r="N47" s="156">
        <v>116.22999999999999</v>
      </c>
      <c r="O47" s="156">
        <v>111.99000000000001</v>
      </c>
      <c r="P47" s="156">
        <v>118.31</v>
      </c>
      <c r="Q47" s="156">
        <v>112.77</v>
      </c>
      <c r="R47" s="157">
        <f t="shared" si="3"/>
        <v>1343.53</v>
      </c>
      <c r="S47" s="158">
        <f t="shared" si="4"/>
        <v>52.90865384615384</v>
      </c>
      <c r="T47" s="158">
        <f t="shared" si="4"/>
        <v>54.350961538461533</v>
      </c>
      <c r="U47" s="158">
        <f t="shared" si="4"/>
        <v>52.567307692307693</v>
      </c>
      <c r="V47" s="158">
        <f t="shared" si="4"/>
        <v>50.44711538461538</v>
      </c>
      <c r="W47" s="158">
        <f t="shared" si="4"/>
        <v>52.288461538461533</v>
      </c>
      <c r="X47" s="158">
        <f t="shared" si="6"/>
        <v>52.288461538461533</v>
      </c>
      <c r="Y47" s="158">
        <f t="shared" si="6"/>
        <v>54.879807692307693</v>
      </c>
      <c r="Z47" s="158">
        <f t="shared" si="6"/>
        <v>55.379807692307686</v>
      </c>
      <c r="AA47" s="158">
        <f t="shared" si="6"/>
        <v>55.879807692307686</v>
      </c>
      <c r="AB47" s="158">
        <f t="shared" si="6"/>
        <v>53.841346153846153</v>
      </c>
      <c r="AC47" s="158">
        <f t="shared" si="6"/>
        <v>56.879807692307693</v>
      </c>
      <c r="AD47" s="158">
        <f t="shared" si="6"/>
        <v>54.216346153846153</v>
      </c>
      <c r="AE47" s="157">
        <f t="shared" si="5"/>
        <v>645.92788461538464</v>
      </c>
    </row>
    <row r="48" spans="1:31" outlineLevel="2">
      <c r="A48" s="135" t="str">
        <f t="shared" si="2"/>
        <v>MurreysRESIDENTIALPACKSNR</v>
      </c>
      <c r="B48" s="116" t="s">
        <v>379</v>
      </c>
      <c r="C48" s="116" t="s">
        <v>380</v>
      </c>
      <c r="D48" s="155">
        <v>0</v>
      </c>
      <c r="E48" s="155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7">
        <f t="shared" si="3"/>
        <v>0</v>
      </c>
      <c r="S48" s="158">
        <f t="shared" si="4"/>
        <v>0</v>
      </c>
      <c r="T48" s="158">
        <f t="shared" si="4"/>
        <v>0</v>
      </c>
      <c r="U48" s="158">
        <f t="shared" si="4"/>
        <v>0</v>
      </c>
      <c r="V48" s="158">
        <f t="shared" si="4"/>
        <v>0</v>
      </c>
      <c r="W48" s="158">
        <f t="shared" si="4"/>
        <v>0</v>
      </c>
      <c r="X48" s="158">
        <f t="shared" si="6"/>
        <v>0</v>
      </c>
      <c r="Y48" s="158">
        <f t="shared" si="6"/>
        <v>0</v>
      </c>
      <c r="Z48" s="158">
        <f t="shared" si="6"/>
        <v>0</v>
      </c>
      <c r="AA48" s="158">
        <f t="shared" si="6"/>
        <v>0</v>
      </c>
      <c r="AB48" s="158">
        <f t="shared" si="6"/>
        <v>0</v>
      </c>
      <c r="AC48" s="158">
        <f t="shared" si="6"/>
        <v>0</v>
      </c>
      <c r="AD48" s="158">
        <f t="shared" si="6"/>
        <v>0</v>
      </c>
      <c r="AE48" s="157">
        <f t="shared" si="5"/>
        <v>0</v>
      </c>
    </row>
    <row r="49" spans="1:31" outlineLevel="2">
      <c r="A49" s="135" t="str">
        <f t="shared" si="2"/>
        <v>MurreysRESIDENTIALRESTART FEE</v>
      </c>
      <c r="B49" s="116" t="s">
        <v>381</v>
      </c>
      <c r="C49" s="116" t="s">
        <v>381</v>
      </c>
      <c r="D49" s="155">
        <v>10.38</v>
      </c>
      <c r="E49" s="155">
        <v>10.38</v>
      </c>
      <c r="F49" s="156">
        <v>1676.03</v>
      </c>
      <c r="G49" s="156">
        <v>2313.8300000000004</v>
      </c>
      <c r="H49" s="156">
        <v>1711.6200000000001</v>
      </c>
      <c r="I49" s="156">
        <v>2125.81</v>
      </c>
      <c r="J49" s="156">
        <v>2148.66</v>
      </c>
      <c r="K49" s="156">
        <v>2101.14</v>
      </c>
      <c r="L49" s="156">
        <v>1764.6</v>
      </c>
      <c r="M49" s="156">
        <v>1780.32</v>
      </c>
      <c r="N49" s="156">
        <v>1805.44</v>
      </c>
      <c r="O49" s="156">
        <v>1889.16</v>
      </c>
      <c r="P49" s="156">
        <v>4478.0199999999995</v>
      </c>
      <c r="Q49" s="156">
        <v>4146.47</v>
      </c>
      <c r="R49" s="157">
        <f t="shared" si="3"/>
        <v>27941.100000000002</v>
      </c>
      <c r="S49" s="158">
        <f t="shared" si="4"/>
        <v>161.46724470134873</v>
      </c>
      <c r="T49" s="158">
        <f t="shared" si="4"/>
        <v>222.91233140655109</v>
      </c>
      <c r="U49" s="158">
        <f t="shared" si="4"/>
        <v>164.89595375722544</v>
      </c>
      <c r="V49" s="158">
        <f t="shared" si="4"/>
        <v>204.79865125240846</v>
      </c>
      <c r="W49" s="158">
        <f t="shared" si="4"/>
        <v>206.99999999999997</v>
      </c>
      <c r="X49" s="158">
        <f t="shared" si="6"/>
        <v>202.42196531791905</v>
      </c>
      <c r="Y49" s="158">
        <f t="shared" si="6"/>
        <v>169.99999999999997</v>
      </c>
      <c r="Z49" s="158">
        <f t="shared" si="6"/>
        <v>171.51445086705201</v>
      </c>
      <c r="AA49" s="158">
        <f t="shared" si="6"/>
        <v>173.93448940269749</v>
      </c>
      <c r="AB49" s="158">
        <f t="shared" si="6"/>
        <v>182</v>
      </c>
      <c r="AC49" s="158">
        <f t="shared" si="6"/>
        <v>431.40847784200378</v>
      </c>
      <c r="AD49" s="158">
        <f t="shared" si="6"/>
        <v>399.46724470134876</v>
      </c>
      <c r="AE49" s="157">
        <f t="shared" si="5"/>
        <v>2691.8208092485543</v>
      </c>
    </row>
    <row r="50" spans="1:31" outlineLevel="2">
      <c r="A50" s="135" t="str">
        <f t="shared" si="2"/>
        <v>MurreysRESIDENTIALREXTRA</v>
      </c>
      <c r="B50" s="116" t="s">
        <v>382</v>
      </c>
      <c r="C50" s="116" t="s">
        <v>106</v>
      </c>
      <c r="D50" s="155">
        <v>4.29</v>
      </c>
      <c r="E50" s="155">
        <v>4.34</v>
      </c>
      <c r="F50" s="156">
        <v>9017.58</v>
      </c>
      <c r="G50" s="156">
        <v>14049.870000000003</v>
      </c>
      <c r="H50" s="156">
        <v>15422.82</v>
      </c>
      <c r="I50" s="156">
        <v>18515.629999999997</v>
      </c>
      <c r="J50" s="156">
        <v>13131.29</v>
      </c>
      <c r="K50" s="156">
        <v>17578.419999999998</v>
      </c>
      <c r="L50" s="156">
        <v>14542.179999999998</v>
      </c>
      <c r="M50" s="156">
        <v>16045.880000000001</v>
      </c>
      <c r="N50" s="156">
        <v>14005.08</v>
      </c>
      <c r="O50" s="156">
        <v>16153.480000000001</v>
      </c>
      <c r="P50" s="156">
        <v>15493.8</v>
      </c>
      <c r="Q50" s="156">
        <v>12884.630000000001</v>
      </c>
      <c r="R50" s="157">
        <f t="shared" si="3"/>
        <v>176840.66</v>
      </c>
      <c r="S50" s="158">
        <f t="shared" si="4"/>
        <v>2102</v>
      </c>
      <c r="T50" s="158">
        <f t="shared" si="4"/>
        <v>3275.0279720279727</v>
      </c>
      <c r="U50" s="158">
        <f t="shared" si="4"/>
        <v>3595.0629370629372</v>
      </c>
      <c r="V50" s="158">
        <f t="shared" si="4"/>
        <v>4315.9976689976684</v>
      </c>
      <c r="W50" s="158">
        <f t="shared" si="4"/>
        <v>3060.9067599067603</v>
      </c>
      <c r="X50" s="158">
        <f t="shared" si="6"/>
        <v>4050.3271889400917</v>
      </c>
      <c r="Y50" s="158">
        <f t="shared" si="6"/>
        <v>3350.7327188940089</v>
      </c>
      <c r="Z50" s="158">
        <f t="shared" si="6"/>
        <v>3697.2073732718895</v>
      </c>
      <c r="AA50" s="158">
        <f t="shared" si="6"/>
        <v>3226.9769585253457</v>
      </c>
      <c r="AB50" s="158">
        <f t="shared" si="6"/>
        <v>3722.0000000000005</v>
      </c>
      <c r="AC50" s="158">
        <f t="shared" si="6"/>
        <v>3570</v>
      </c>
      <c r="AD50" s="158">
        <f t="shared" si="6"/>
        <v>2968.808755760369</v>
      </c>
      <c r="AE50" s="157">
        <f t="shared" si="5"/>
        <v>40935.048333387051</v>
      </c>
    </row>
    <row r="51" spans="1:31" outlineLevel="2">
      <c r="A51" s="135" t="str">
        <f t="shared" si="2"/>
        <v>MurreysRESIDENTIALSUNKENR</v>
      </c>
      <c r="B51" s="116" t="s">
        <v>383</v>
      </c>
      <c r="C51" s="116" t="s">
        <v>384</v>
      </c>
      <c r="D51" s="155">
        <v>0.77999999999999992</v>
      </c>
      <c r="E51" s="155">
        <v>0.78</v>
      </c>
      <c r="F51" s="156">
        <v>1.56</v>
      </c>
      <c r="G51" s="156">
        <v>1.56</v>
      </c>
      <c r="H51" s="156">
        <v>1.56</v>
      </c>
      <c r="I51" s="156">
        <v>1.56</v>
      </c>
      <c r="J51" s="156">
        <v>1.56</v>
      </c>
      <c r="K51" s="156">
        <v>1.56</v>
      </c>
      <c r="L51" s="156">
        <v>1.56</v>
      </c>
      <c r="M51" s="156">
        <v>1.56</v>
      </c>
      <c r="N51" s="156">
        <v>1.56</v>
      </c>
      <c r="O51" s="156">
        <v>1.56</v>
      </c>
      <c r="P51" s="156">
        <v>1.56</v>
      </c>
      <c r="Q51" s="156">
        <v>1.56</v>
      </c>
      <c r="R51" s="157">
        <f t="shared" si="3"/>
        <v>18.720000000000002</v>
      </c>
      <c r="S51" s="158">
        <f t="shared" si="4"/>
        <v>2.0000000000000004</v>
      </c>
      <c r="T51" s="158">
        <f t="shared" si="4"/>
        <v>2.0000000000000004</v>
      </c>
      <c r="U51" s="158">
        <f t="shared" si="4"/>
        <v>2.0000000000000004</v>
      </c>
      <c r="V51" s="158">
        <f t="shared" si="4"/>
        <v>2.0000000000000004</v>
      </c>
      <c r="W51" s="158">
        <f t="shared" si="4"/>
        <v>2.0000000000000004</v>
      </c>
      <c r="X51" s="158">
        <f t="shared" si="6"/>
        <v>2</v>
      </c>
      <c r="Y51" s="158">
        <f t="shared" si="6"/>
        <v>2</v>
      </c>
      <c r="Z51" s="158">
        <f t="shared" si="6"/>
        <v>2</v>
      </c>
      <c r="AA51" s="158">
        <f t="shared" si="6"/>
        <v>2</v>
      </c>
      <c r="AB51" s="158">
        <f t="shared" si="6"/>
        <v>2</v>
      </c>
      <c r="AC51" s="158">
        <f t="shared" si="6"/>
        <v>2</v>
      </c>
      <c r="AD51" s="158">
        <f t="shared" si="6"/>
        <v>2</v>
      </c>
      <c r="AE51" s="157">
        <f t="shared" si="5"/>
        <v>24</v>
      </c>
    </row>
    <row r="52" spans="1:31" outlineLevel="2">
      <c r="A52" s="135" t="str">
        <f t="shared" si="2"/>
        <v>MurreysRESIDENTIALTRIPRCANS</v>
      </c>
      <c r="B52" s="116" t="s">
        <v>385</v>
      </c>
      <c r="C52" s="116" t="s">
        <v>386</v>
      </c>
      <c r="D52" s="155">
        <v>8.32</v>
      </c>
      <c r="E52" s="155">
        <v>8.32</v>
      </c>
      <c r="F52" s="156">
        <v>266.24</v>
      </c>
      <c r="G52" s="156">
        <v>341.12</v>
      </c>
      <c r="H52" s="156">
        <v>232.96000000000004</v>
      </c>
      <c r="I52" s="156">
        <v>291.2</v>
      </c>
      <c r="J52" s="156">
        <v>249.72</v>
      </c>
      <c r="K52" s="156">
        <v>232.96</v>
      </c>
      <c r="L52" s="156">
        <v>274.56</v>
      </c>
      <c r="M52" s="156">
        <v>232.06</v>
      </c>
      <c r="N52" s="156">
        <v>274.56</v>
      </c>
      <c r="O52" s="156">
        <v>332.8</v>
      </c>
      <c r="P52" s="156">
        <v>545.80999999999995</v>
      </c>
      <c r="Q52" s="156">
        <v>316.15999999999997</v>
      </c>
      <c r="R52" s="157">
        <f t="shared" si="3"/>
        <v>3590.15</v>
      </c>
      <c r="S52" s="158">
        <f t="shared" si="4"/>
        <v>32</v>
      </c>
      <c r="T52" s="158">
        <f t="shared" si="4"/>
        <v>41</v>
      </c>
      <c r="U52" s="158">
        <f t="shared" si="4"/>
        <v>28.000000000000004</v>
      </c>
      <c r="V52" s="158">
        <f t="shared" si="4"/>
        <v>35</v>
      </c>
      <c r="W52" s="158">
        <f t="shared" si="4"/>
        <v>30.014423076923077</v>
      </c>
      <c r="X52" s="158">
        <f t="shared" si="6"/>
        <v>28</v>
      </c>
      <c r="Y52" s="158">
        <f t="shared" si="6"/>
        <v>33</v>
      </c>
      <c r="Z52" s="158">
        <f t="shared" si="6"/>
        <v>27.891826923076923</v>
      </c>
      <c r="AA52" s="158">
        <f t="shared" si="6"/>
        <v>33</v>
      </c>
      <c r="AB52" s="158">
        <f t="shared" si="6"/>
        <v>40</v>
      </c>
      <c r="AC52" s="158">
        <f t="shared" si="6"/>
        <v>65.602163461538453</v>
      </c>
      <c r="AD52" s="158">
        <f t="shared" si="6"/>
        <v>37.999999999999993</v>
      </c>
      <c r="AE52" s="157">
        <f t="shared" si="5"/>
        <v>431.50841346153845</v>
      </c>
    </row>
    <row r="53" spans="1:31" outlineLevel="2">
      <c r="A53" s="135" t="str">
        <f t="shared" si="2"/>
        <v>MurreysRESIDENTIALTRIPRCARTS</v>
      </c>
      <c r="B53" s="116" t="s">
        <v>387</v>
      </c>
      <c r="C53" s="116" t="s">
        <v>388</v>
      </c>
      <c r="D53" s="155">
        <v>12.5</v>
      </c>
      <c r="E53" s="155">
        <v>10.74</v>
      </c>
      <c r="F53" s="156">
        <v>62.5</v>
      </c>
      <c r="G53" s="156">
        <v>125</v>
      </c>
      <c r="H53" s="156">
        <v>62.5</v>
      </c>
      <c r="I53" s="156">
        <v>62.5</v>
      </c>
      <c r="J53" s="156">
        <v>87.5</v>
      </c>
      <c r="K53" s="156">
        <v>73.42</v>
      </c>
      <c r="L53" s="156">
        <v>53.7</v>
      </c>
      <c r="M53" s="156">
        <v>85.92</v>
      </c>
      <c r="N53" s="156">
        <v>107.39999999999999</v>
      </c>
      <c r="O53" s="156">
        <v>150.36000000000001</v>
      </c>
      <c r="P53" s="156">
        <v>128.88</v>
      </c>
      <c r="Q53" s="156">
        <v>64.44</v>
      </c>
      <c r="R53" s="157">
        <f t="shared" si="3"/>
        <v>1064.1199999999999</v>
      </c>
      <c r="S53" s="158">
        <f t="shared" si="4"/>
        <v>5</v>
      </c>
      <c r="T53" s="158">
        <f t="shared" si="4"/>
        <v>10</v>
      </c>
      <c r="U53" s="158">
        <f t="shared" si="4"/>
        <v>5</v>
      </c>
      <c r="V53" s="158">
        <f t="shared" si="4"/>
        <v>5</v>
      </c>
      <c r="W53" s="158">
        <f t="shared" si="4"/>
        <v>7</v>
      </c>
      <c r="X53" s="158">
        <f t="shared" si="6"/>
        <v>6.8361266294227185</v>
      </c>
      <c r="Y53" s="158">
        <f t="shared" si="6"/>
        <v>5</v>
      </c>
      <c r="Z53" s="158">
        <f t="shared" si="6"/>
        <v>8</v>
      </c>
      <c r="AA53" s="158">
        <f t="shared" si="6"/>
        <v>9.9999999999999982</v>
      </c>
      <c r="AB53" s="158">
        <f t="shared" si="6"/>
        <v>14.000000000000002</v>
      </c>
      <c r="AC53" s="158">
        <f t="shared" si="6"/>
        <v>12</v>
      </c>
      <c r="AD53" s="158">
        <f t="shared" si="6"/>
        <v>6</v>
      </c>
      <c r="AE53" s="157">
        <f t="shared" si="5"/>
        <v>93.836126629422722</v>
      </c>
    </row>
    <row r="54" spans="1:31" outlineLevel="2">
      <c r="B54" s="116"/>
      <c r="C54" s="116"/>
      <c r="D54" s="155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7">
        <f t="shared" si="3"/>
        <v>0</v>
      </c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7"/>
    </row>
    <row r="55" spans="1:31" outlineLevel="1">
      <c r="B55" s="116"/>
      <c r="C55" s="159" t="s">
        <v>389</v>
      </c>
      <c r="D55" s="155"/>
      <c r="E55" s="155"/>
      <c r="F55" s="162">
        <f t="shared" ref="F55:Q55" si="7">SUM(F11:F54)</f>
        <v>767032.64000000013</v>
      </c>
      <c r="G55" s="162">
        <f t="shared" si="7"/>
        <v>785742.35000000021</v>
      </c>
      <c r="H55" s="162">
        <f t="shared" si="7"/>
        <v>793815.60999999975</v>
      </c>
      <c r="I55" s="162">
        <f t="shared" si="7"/>
        <v>802341.38000000012</v>
      </c>
      <c r="J55" s="162">
        <f t="shared" si="7"/>
        <v>800648.73000000021</v>
      </c>
      <c r="K55" s="162">
        <f t="shared" si="7"/>
        <v>816508.14000000025</v>
      </c>
      <c r="L55" s="162">
        <f t="shared" si="7"/>
        <v>821171.69000000041</v>
      </c>
      <c r="M55" s="162">
        <f t="shared" si="7"/>
        <v>831946.16000000027</v>
      </c>
      <c r="N55" s="162">
        <f t="shared" si="7"/>
        <v>833371.82000000007</v>
      </c>
      <c r="O55" s="162">
        <f t="shared" si="7"/>
        <v>837886.11000000022</v>
      </c>
      <c r="P55" s="162">
        <f t="shared" si="7"/>
        <v>849488.11000000022</v>
      </c>
      <c r="Q55" s="162">
        <f t="shared" si="7"/>
        <v>847753.14</v>
      </c>
      <c r="R55" s="163">
        <f t="shared" si="3"/>
        <v>9787705.8800000027</v>
      </c>
      <c r="S55" s="162">
        <f t="shared" ref="S55:AE55" si="8">SUM(S11:S33)</f>
        <v>35028.404437702622</v>
      </c>
      <c r="T55" s="162">
        <f t="shared" si="8"/>
        <v>35561.45357458893</v>
      </c>
      <c r="U55" s="162">
        <f t="shared" si="8"/>
        <v>35830.71626259615</v>
      </c>
      <c r="V55" s="162">
        <f t="shared" si="8"/>
        <v>35977.864457430594</v>
      </c>
      <c r="W55" s="162">
        <f t="shared" si="8"/>
        <v>36079.656102195899</v>
      </c>
      <c r="X55" s="162">
        <f t="shared" si="8"/>
        <v>36074.938321044145</v>
      </c>
      <c r="Y55" s="162">
        <f t="shared" si="8"/>
        <v>36369.289797456586</v>
      </c>
      <c r="Z55" s="162">
        <f t="shared" si="8"/>
        <v>36720.65913402188</v>
      </c>
      <c r="AA55" s="162">
        <f t="shared" si="8"/>
        <v>36802.097522479555</v>
      </c>
      <c r="AB55" s="162">
        <f t="shared" si="8"/>
        <v>36828.721614708469</v>
      </c>
      <c r="AC55" s="162">
        <f t="shared" si="8"/>
        <v>37134.369833127726</v>
      </c>
      <c r="AD55" s="162">
        <f t="shared" si="8"/>
        <v>37138.279965119262</v>
      </c>
      <c r="AE55" s="163">
        <f t="shared" si="8"/>
        <v>435546.45102247171</v>
      </c>
    </row>
    <row r="56" spans="1:31" outlineLevel="1">
      <c r="B56" s="116"/>
      <c r="C56" s="116"/>
      <c r="D56" s="155"/>
      <c r="E56" s="155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7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7"/>
    </row>
    <row r="57" spans="1:31" outlineLevel="2">
      <c r="B57" s="164" t="s">
        <v>390</v>
      </c>
      <c r="C57" s="116"/>
      <c r="D57" s="155"/>
      <c r="E57" s="155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7"/>
    </row>
    <row r="58" spans="1:31" outlineLevel="2">
      <c r="A58" s="135" t="str">
        <f t="shared" ref="A58:A64" si="9">+$A$5&amp;$A$10&amp;B58</f>
        <v>MurreysRESIDENTIALRECYONLY</v>
      </c>
      <c r="B58" s="116" t="s">
        <v>391</v>
      </c>
      <c r="C58" s="116" t="s">
        <v>392</v>
      </c>
      <c r="D58" s="155">
        <v>10.72</v>
      </c>
      <c r="E58" s="155">
        <v>9.2100000000000009</v>
      </c>
      <c r="F58" s="156">
        <v>1959.08</v>
      </c>
      <c r="G58" s="156">
        <v>1975.3799999999999</v>
      </c>
      <c r="H58" s="156">
        <v>1961.7599999999998</v>
      </c>
      <c r="I58" s="156">
        <v>1876</v>
      </c>
      <c r="J58" s="156">
        <v>1845.92</v>
      </c>
      <c r="K58" s="156">
        <v>1740.4199999999998</v>
      </c>
      <c r="L58" s="156">
        <v>1685.44</v>
      </c>
      <c r="M58" s="156">
        <v>1690.04</v>
      </c>
      <c r="N58" s="156">
        <v>1657.73</v>
      </c>
      <c r="O58" s="156">
        <v>1640.04</v>
      </c>
      <c r="P58" s="156">
        <v>1620.97</v>
      </c>
      <c r="Q58" s="156">
        <v>1579.52</v>
      </c>
      <c r="R58" s="157">
        <f t="shared" ref="R58:R66" si="10">SUM(F58:Q58)</f>
        <v>21232.300000000003</v>
      </c>
      <c r="S58" s="158">
        <f t="shared" ref="S58:W64" si="11">+IFERROR(F58/$D58,0)</f>
        <v>182.74999999999997</v>
      </c>
      <c r="T58" s="158">
        <f t="shared" si="11"/>
        <v>184.27052238805967</v>
      </c>
      <c r="U58" s="158">
        <f t="shared" si="11"/>
        <v>182.99999999999997</v>
      </c>
      <c r="V58" s="158">
        <f t="shared" si="11"/>
        <v>175</v>
      </c>
      <c r="W58" s="158">
        <f t="shared" si="11"/>
        <v>172.19402985074626</v>
      </c>
      <c r="X58" s="158">
        <f t="shared" ref="X58:AD64" si="12">+IFERROR(K58/$E58,0)</f>
        <v>188.9706840390879</v>
      </c>
      <c r="Y58" s="158">
        <f t="shared" si="12"/>
        <v>183.00108577633006</v>
      </c>
      <c r="Z58" s="158">
        <f t="shared" si="12"/>
        <v>183.50054288816503</v>
      </c>
      <c r="AA58" s="158">
        <f t="shared" si="12"/>
        <v>179.99239956568945</v>
      </c>
      <c r="AB58" s="158">
        <f t="shared" si="12"/>
        <v>178.07166123778501</v>
      </c>
      <c r="AC58" s="158">
        <f t="shared" si="12"/>
        <v>176.00108577633006</v>
      </c>
      <c r="AD58" s="158">
        <f t="shared" si="12"/>
        <v>171.50054288816503</v>
      </c>
      <c r="AE58" s="157">
        <f t="shared" ref="AE58:AE64" si="13">+SUM(S58:AD58)/$AB$3</f>
        <v>2158.2525544103582</v>
      </c>
    </row>
    <row r="59" spans="1:31" outlineLevel="2">
      <c r="A59" s="135" t="str">
        <f t="shared" si="9"/>
        <v>MurreysRESIDENTIALRECYR</v>
      </c>
      <c r="B59" s="116" t="s">
        <v>393</v>
      </c>
      <c r="C59" s="116" t="s">
        <v>394</v>
      </c>
      <c r="D59" s="155">
        <v>7.14</v>
      </c>
      <c r="E59" s="155">
        <v>6.14</v>
      </c>
      <c r="F59" s="156">
        <v>251389.82</v>
      </c>
      <c r="G59" s="156">
        <v>252354.31999999995</v>
      </c>
      <c r="H59" s="156">
        <v>252722.63999999998</v>
      </c>
      <c r="I59" s="156">
        <v>253797.19</v>
      </c>
      <c r="J59" s="156">
        <v>244933.57</v>
      </c>
      <c r="K59" s="156">
        <v>228762.82999999996</v>
      </c>
      <c r="L59" s="156">
        <v>220784.63000000003</v>
      </c>
      <c r="M59" s="156">
        <v>222943.26</v>
      </c>
      <c r="N59" s="156">
        <v>223770.02</v>
      </c>
      <c r="O59" s="156">
        <v>223852.95999999996</v>
      </c>
      <c r="P59" s="156">
        <v>225806.85</v>
      </c>
      <c r="Q59" s="156">
        <v>225713.36999999994</v>
      </c>
      <c r="R59" s="157">
        <f t="shared" si="10"/>
        <v>2826831.4600000004</v>
      </c>
      <c r="S59" s="158">
        <f t="shared" si="11"/>
        <v>35208.658263305326</v>
      </c>
      <c r="T59" s="158">
        <f t="shared" si="11"/>
        <v>35343.742296918761</v>
      </c>
      <c r="U59" s="158">
        <f t="shared" si="11"/>
        <v>35395.327731092439</v>
      </c>
      <c r="V59" s="158">
        <f t="shared" si="11"/>
        <v>35545.82492997199</v>
      </c>
      <c r="W59" s="158">
        <f t="shared" si="11"/>
        <v>34304.421568627455</v>
      </c>
      <c r="X59" s="158">
        <f t="shared" si="12"/>
        <v>37257.789902280128</v>
      </c>
      <c r="Y59" s="158">
        <f t="shared" si="12"/>
        <v>35958.40879478828</v>
      </c>
      <c r="Z59" s="158">
        <f t="shared" si="12"/>
        <v>36309.977198697074</v>
      </c>
      <c r="AA59" s="158">
        <f t="shared" si="12"/>
        <v>36444.628664495111</v>
      </c>
      <c r="AB59" s="158">
        <f t="shared" si="12"/>
        <v>36458.136807817587</v>
      </c>
      <c r="AC59" s="158">
        <f t="shared" si="12"/>
        <v>36776.359934853426</v>
      </c>
      <c r="AD59" s="158">
        <f t="shared" si="12"/>
        <v>36761.135179153083</v>
      </c>
      <c r="AE59" s="157">
        <f t="shared" si="13"/>
        <v>431764.4112720007</v>
      </c>
    </row>
    <row r="60" spans="1:31" outlineLevel="2">
      <c r="A60" s="135" t="str">
        <f t="shared" si="9"/>
        <v>MurreysRESIDENTIALRECYRNB</v>
      </c>
      <c r="B60" s="116" t="s">
        <v>395</v>
      </c>
      <c r="C60" s="116" t="s">
        <v>396</v>
      </c>
      <c r="D60" s="155">
        <v>7.14</v>
      </c>
      <c r="E60" s="155">
        <v>6.14</v>
      </c>
      <c r="F60" s="156">
        <v>3827.05</v>
      </c>
      <c r="G60" s="156">
        <v>3757.43</v>
      </c>
      <c r="H60" s="156">
        <v>3743.15</v>
      </c>
      <c r="I60" s="156">
        <v>3659.2600000000007</v>
      </c>
      <c r="J60" s="156">
        <v>3542.82</v>
      </c>
      <c r="K60" s="156">
        <v>3279.82</v>
      </c>
      <c r="L60" s="156">
        <v>3162.1000000000004</v>
      </c>
      <c r="M60" s="156">
        <v>3174.3799999999997</v>
      </c>
      <c r="N60" s="156">
        <v>3112.75</v>
      </c>
      <c r="O60" s="156">
        <v>3132.9500000000003</v>
      </c>
      <c r="P60" s="156">
        <v>3128.34</v>
      </c>
      <c r="Q60" s="156">
        <v>3105.31</v>
      </c>
      <c r="R60" s="157">
        <f t="shared" si="10"/>
        <v>40625.360000000001</v>
      </c>
      <c r="S60" s="158">
        <f t="shared" si="11"/>
        <v>536.00140056022417</v>
      </c>
      <c r="T60" s="158">
        <f t="shared" si="11"/>
        <v>526.25070028011203</v>
      </c>
      <c r="U60" s="158">
        <f t="shared" si="11"/>
        <v>524.25070028011203</v>
      </c>
      <c r="V60" s="158">
        <f t="shared" si="11"/>
        <v>512.50140056022417</v>
      </c>
      <c r="W60" s="158">
        <f t="shared" si="11"/>
        <v>496.19327731092443</v>
      </c>
      <c r="X60" s="158">
        <f t="shared" si="12"/>
        <v>534.17263843648209</v>
      </c>
      <c r="Y60" s="158">
        <f t="shared" si="12"/>
        <v>515.00000000000011</v>
      </c>
      <c r="Z60" s="158">
        <f t="shared" si="12"/>
        <v>517</v>
      </c>
      <c r="AA60" s="158">
        <f t="shared" si="12"/>
        <v>506.96254071661241</v>
      </c>
      <c r="AB60" s="158">
        <f t="shared" si="12"/>
        <v>510.25244299674273</v>
      </c>
      <c r="AC60" s="158">
        <f t="shared" si="12"/>
        <v>509.50162866449517</v>
      </c>
      <c r="AD60" s="158">
        <f t="shared" si="12"/>
        <v>505.75081433224756</v>
      </c>
      <c r="AE60" s="157">
        <f t="shared" si="13"/>
        <v>6193.8375441381759</v>
      </c>
    </row>
    <row r="61" spans="1:31" outlineLevel="2">
      <c r="A61" s="135" t="str">
        <f t="shared" si="9"/>
        <v>MurreysRESIDENTIALDRVNR-RECYCLE</v>
      </c>
      <c r="B61" s="116" t="s">
        <v>397</v>
      </c>
      <c r="C61" s="116" t="s">
        <v>398</v>
      </c>
      <c r="D61" s="155">
        <v>4.46</v>
      </c>
      <c r="E61" s="155">
        <v>3.84</v>
      </c>
      <c r="F61" s="156">
        <v>297.71000000000004</v>
      </c>
      <c r="G61" s="156">
        <v>277.64000000000004</v>
      </c>
      <c r="H61" s="156">
        <v>288.97000000000003</v>
      </c>
      <c r="I61" s="156">
        <v>285.44000000000005</v>
      </c>
      <c r="J61" s="156">
        <v>277.69</v>
      </c>
      <c r="K61" s="156">
        <v>247.75</v>
      </c>
      <c r="L61" s="156">
        <v>240</v>
      </c>
      <c r="M61" s="156">
        <v>230.4</v>
      </c>
      <c r="N61" s="156">
        <v>234.24</v>
      </c>
      <c r="O61" s="156">
        <v>236.16</v>
      </c>
      <c r="P61" s="156">
        <v>58.84</v>
      </c>
      <c r="Q61" s="156">
        <v>237.11999999999998</v>
      </c>
      <c r="R61" s="157">
        <f t="shared" si="10"/>
        <v>2911.96</v>
      </c>
      <c r="S61" s="158">
        <f t="shared" si="11"/>
        <v>66.75112107623319</v>
      </c>
      <c r="T61" s="158">
        <f t="shared" si="11"/>
        <v>62.251121076233197</v>
      </c>
      <c r="U61" s="158">
        <f t="shared" si="11"/>
        <v>64.791479820627814</v>
      </c>
      <c r="V61" s="158">
        <f t="shared" si="11"/>
        <v>64.000000000000014</v>
      </c>
      <c r="W61" s="158">
        <f t="shared" si="11"/>
        <v>62.262331838565025</v>
      </c>
      <c r="X61" s="158">
        <f t="shared" si="12"/>
        <v>64.518229166666671</v>
      </c>
      <c r="Y61" s="158">
        <f t="shared" si="12"/>
        <v>62.5</v>
      </c>
      <c r="Z61" s="158">
        <f t="shared" si="12"/>
        <v>60.000000000000007</v>
      </c>
      <c r="AA61" s="158">
        <f t="shared" si="12"/>
        <v>61.000000000000007</v>
      </c>
      <c r="AB61" s="158">
        <f t="shared" si="12"/>
        <v>61.5</v>
      </c>
      <c r="AC61" s="158">
        <f t="shared" si="12"/>
        <v>15.322916666666668</v>
      </c>
      <c r="AD61" s="158">
        <f t="shared" si="12"/>
        <v>61.749999999999993</v>
      </c>
      <c r="AE61" s="157">
        <f t="shared" si="13"/>
        <v>706.64719964499261</v>
      </c>
    </row>
    <row r="62" spans="1:31" outlineLevel="2">
      <c r="A62" s="135" t="str">
        <f t="shared" si="9"/>
        <v>MurreysRESIDENTIALPACKR-RECYCLE</v>
      </c>
      <c r="B62" s="116" t="s">
        <v>399</v>
      </c>
      <c r="C62" s="116" t="s">
        <v>400</v>
      </c>
      <c r="D62" s="155">
        <v>7.875</v>
      </c>
      <c r="E62" s="155">
        <v>7.875</v>
      </c>
      <c r="F62" s="156">
        <v>98.22</v>
      </c>
      <c r="G62" s="156">
        <v>104.13</v>
      </c>
      <c r="H62" s="156">
        <v>92.32</v>
      </c>
      <c r="I62" s="156">
        <v>110.03999999999999</v>
      </c>
      <c r="J62" s="156">
        <v>106.1</v>
      </c>
      <c r="K62" s="156">
        <v>106.1</v>
      </c>
      <c r="L62" s="156">
        <v>106.1</v>
      </c>
      <c r="M62" s="156">
        <v>106.1</v>
      </c>
      <c r="N62" s="156">
        <v>98.23</v>
      </c>
      <c r="O62" s="156">
        <v>98.23</v>
      </c>
      <c r="P62" s="156">
        <v>94.600000000000009</v>
      </c>
      <c r="Q62" s="156">
        <v>98.23</v>
      </c>
      <c r="R62" s="157">
        <f t="shared" si="10"/>
        <v>1218.3999999999999</v>
      </c>
      <c r="S62" s="158">
        <f t="shared" si="11"/>
        <v>12.472380952380952</v>
      </c>
      <c r="T62" s="158">
        <f t="shared" si="11"/>
        <v>13.222857142857142</v>
      </c>
      <c r="U62" s="158">
        <f t="shared" si="11"/>
        <v>11.723174603174602</v>
      </c>
      <c r="V62" s="158">
        <f t="shared" si="11"/>
        <v>13.973333333333333</v>
      </c>
      <c r="W62" s="158">
        <f t="shared" si="11"/>
        <v>13.473015873015873</v>
      </c>
      <c r="X62" s="158">
        <f t="shared" si="12"/>
        <v>13.473015873015873</v>
      </c>
      <c r="Y62" s="158">
        <f t="shared" si="12"/>
        <v>13.473015873015873</v>
      </c>
      <c r="Z62" s="158">
        <f t="shared" si="12"/>
        <v>13.473015873015873</v>
      </c>
      <c r="AA62" s="158">
        <f t="shared" si="12"/>
        <v>12.473650793650794</v>
      </c>
      <c r="AB62" s="158">
        <f t="shared" si="12"/>
        <v>12.473650793650794</v>
      </c>
      <c r="AC62" s="158">
        <f t="shared" si="12"/>
        <v>12.012698412698414</v>
      </c>
      <c r="AD62" s="158">
        <f t="shared" si="12"/>
        <v>12.473650793650794</v>
      </c>
      <c r="AE62" s="157">
        <f t="shared" si="13"/>
        <v>154.71746031746031</v>
      </c>
    </row>
    <row r="63" spans="1:31" outlineLevel="2">
      <c r="A63" s="135" t="str">
        <f t="shared" si="9"/>
        <v>MurreysRESIDENTIALTOTERDEL</v>
      </c>
      <c r="B63" s="116" t="s">
        <v>401</v>
      </c>
      <c r="C63" s="116" t="s">
        <v>402</v>
      </c>
      <c r="D63" s="155">
        <v>0</v>
      </c>
      <c r="E63" s="155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7">
        <f t="shared" si="10"/>
        <v>0</v>
      </c>
      <c r="S63" s="158">
        <f t="shared" si="11"/>
        <v>0</v>
      </c>
      <c r="T63" s="158">
        <f t="shared" si="11"/>
        <v>0</v>
      </c>
      <c r="U63" s="158">
        <f t="shared" si="11"/>
        <v>0</v>
      </c>
      <c r="V63" s="158">
        <f t="shared" si="11"/>
        <v>0</v>
      </c>
      <c r="W63" s="158">
        <f t="shared" si="11"/>
        <v>0</v>
      </c>
      <c r="X63" s="158">
        <f t="shared" si="12"/>
        <v>0</v>
      </c>
      <c r="Y63" s="158">
        <f t="shared" si="12"/>
        <v>0</v>
      </c>
      <c r="Z63" s="158">
        <f t="shared" si="12"/>
        <v>0</v>
      </c>
      <c r="AA63" s="158">
        <f t="shared" si="12"/>
        <v>0</v>
      </c>
      <c r="AB63" s="158">
        <f t="shared" si="12"/>
        <v>0</v>
      </c>
      <c r="AC63" s="158">
        <f t="shared" si="12"/>
        <v>0</v>
      </c>
      <c r="AD63" s="158">
        <f t="shared" si="12"/>
        <v>0</v>
      </c>
      <c r="AE63" s="157">
        <f t="shared" si="13"/>
        <v>0</v>
      </c>
    </row>
    <row r="64" spans="1:31" outlineLevel="2">
      <c r="A64" s="135" t="str">
        <f t="shared" si="9"/>
        <v>MurreysRESIDENTIALRECYDEL</v>
      </c>
      <c r="B64" s="116" t="s">
        <v>403</v>
      </c>
      <c r="C64" s="116" t="s">
        <v>402</v>
      </c>
      <c r="D64" s="155">
        <v>20.84</v>
      </c>
      <c r="E64" s="155">
        <v>17.91</v>
      </c>
      <c r="F64" s="156">
        <v>41.68</v>
      </c>
      <c r="G64" s="156">
        <v>0</v>
      </c>
      <c r="H64" s="156">
        <v>208.4</v>
      </c>
      <c r="I64" s="156">
        <v>145.88</v>
      </c>
      <c r="J64" s="156">
        <v>229.24</v>
      </c>
      <c r="K64" s="156">
        <v>161.19</v>
      </c>
      <c r="L64" s="156">
        <v>35.82</v>
      </c>
      <c r="M64" s="156">
        <v>0</v>
      </c>
      <c r="N64" s="156">
        <v>17.91</v>
      </c>
      <c r="O64" s="156">
        <v>89.55</v>
      </c>
      <c r="P64" s="156">
        <v>35.82</v>
      </c>
      <c r="Q64" s="156">
        <v>17.91</v>
      </c>
      <c r="R64" s="157">
        <f t="shared" si="10"/>
        <v>983.40000000000009</v>
      </c>
      <c r="S64" s="158">
        <f t="shared" si="11"/>
        <v>2</v>
      </c>
      <c r="T64" s="158">
        <f t="shared" si="11"/>
        <v>0</v>
      </c>
      <c r="U64" s="158">
        <f t="shared" si="11"/>
        <v>10</v>
      </c>
      <c r="V64" s="158">
        <f t="shared" si="11"/>
        <v>7</v>
      </c>
      <c r="W64" s="158">
        <f t="shared" si="11"/>
        <v>11</v>
      </c>
      <c r="X64" s="158">
        <f t="shared" si="12"/>
        <v>9</v>
      </c>
      <c r="Y64" s="158">
        <f t="shared" si="12"/>
        <v>2</v>
      </c>
      <c r="Z64" s="158">
        <f t="shared" si="12"/>
        <v>0</v>
      </c>
      <c r="AA64" s="158">
        <f t="shared" si="12"/>
        <v>1</v>
      </c>
      <c r="AB64" s="158">
        <f t="shared" si="12"/>
        <v>5</v>
      </c>
      <c r="AC64" s="158">
        <f t="shared" si="12"/>
        <v>2</v>
      </c>
      <c r="AD64" s="158">
        <f t="shared" si="12"/>
        <v>1</v>
      </c>
      <c r="AE64" s="157">
        <f t="shared" si="13"/>
        <v>50</v>
      </c>
    </row>
    <row r="65" spans="1:31" outlineLevel="2">
      <c r="B65" s="116"/>
      <c r="C65" s="116"/>
      <c r="D65" s="155"/>
      <c r="E65" s="155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7">
        <f t="shared" si="10"/>
        <v>0</v>
      </c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7"/>
    </row>
    <row r="66" spans="1:31" outlineLevel="1">
      <c r="B66" s="116"/>
      <c r="C66" s="159" t="s">
        <v>404</v>
      </c>
      <c r="D66" s="155"/>
      <c r="E66" s="155"/>
      <c r="F66" s="162">
        <f t="shared" ref="F66:Q66" si="14">SUM(F58:F65)</f>
        <v>257613.55999999997</v>
      </c>
      <c r="G66" s="162">
        <f t="shared" si="14"/>
        <v>258468.89999999997</v>
      </c>
      <c r="H66" s="162">
        <f t="shared" si="14"/>
        <v>259017.24</v>
      </c>
      <c r="I66" s="162">
        <f t="shared" si="14"/>
        <v>259873.81000000003</v>
      </c>
      <c r="J66" s="162">
        <f t="shared" si="14"/>
        <v>250935.34000000003</v>
      </c>
      <c r="K66" s="162">
        <f t="shared" si="14"/>
        <v>234298.11</v>
      </c>
      <c r="L66" s="162">
        <f t="shared" si="14"/>
        <v>226014.09000000005</v>
      </c>
      <c r="M66" s="162">
        <f t="shared" si="14"/>
        <v>228144.18000000002</v>
      </c>
      <c r="N66" s="162">
        <f t="shared" si="14"/>
        <v>228890.88</v>
      </c>
      <c r="O66" s="162">
        <f t="shared" si="14"/>
        <v>229049.88999999998</v>
      </c>
      <c r="P66" s="162">
        <f t="shared" si="14"/>
        <v>230745.42</v>
      </c>
      <c r="Q66" s="162">
        <f t="shared" si="14"/>
        <v>230751.45999999993</v>
      </c>
      <c r="R66" s="163">
        <f t="shared" si="10"/>
        <v>2893802.88</v>
      </c>
      <c r="S66" s="162">
        <f>SUM(S58:S60)</f>
        <v>35927.409663865546</v>
      </c>
      <c r="T66" s="162">
        <f t="shared" ref="T66:AE66" si="15">SUM(T58:T60)</f>
        <v>36054.263519586937</v>
      </c>
      <c r="U66" s="162">
        <f t="shared" si="15"/>
        <v>36102.578431372553</v>
      </c>
      <c r="V66" s="162">
        <f t="shared" si="15"/>
        <v>36233.326330532211</v>
      </c>
      <c r="W66" s="162">
        <f t="shared" si="15"/>
        <v>34972.808875789124</v>
      </c>
      <c r="X66" s="162">
        <f t="shared" si="15"/>
        <v>37980.933224755696</v>
      </c>
      <c r="Y66" s="162">
        <f t="shared" si="15"/>
        <v>36656.409880564614</v>
      </c>
      <c r="Z66" s="162">
        <f t="shared" si="15"/>
        <v>37010.477741585237</v>
      </c>
      <c r="AA66" s="162">
        <f t="shared" si="15"/>
        <v>37131.583604777406</v>
      </c>
      <c r="AB66" s="162">
        <f t="shared" si="15"/>
        <v>37146.46091205212</v>
      </c>
      <c r="AC66" s="162">
        <f t="shared" si="15"/>
        <v>37461.862649294257</v>
      </c>
      <c r="AD66" s="162">
        <f t="shared" si="15"/>
        <v>37438.386536373495</v>
      </c>
      <c r="AE66" s="163">
        <f t="shared" si="15"/>
        <v>440116.50137054926</v>
      </c>
    </row>
    <row r="67" spans="1:31" outlineLevel="1">
      <c r="B67" s="116"/>
      <c r="C67" s="159"/>
      <c r="D67" s="155"/>
      <c r="E67" s="15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7"/>
    </row>
    <row r="68" spans="1:31" outlineLevel="2">
      <c r="B68" s="164" t="s">
        <v>405</v>
      </c>
      <c r="C68" s="116"/>
      <c r="D68" s="155"/>
      <c r="E68" s="155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7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7"/>
    </row>
    <row r="69" spans="1:31" outlineLevel="2">
      <c r="A69" s="135" t="str">
        <f t="shared" ref="A69:A75" si="16">+$A$5&amp;$A$10&amp;B69</f>
        <v>MurreysRESIDENTIALYDW90</v>
      </c>
      <c r="B69" s="116" t="s">
        <v>406</v>
      </c>
      <c r="C69" s="116" t="s">
        <v>407</v>
      </c>
      <c r="D69" s="155">
        <v>6.18</v>
      </c>
      <c r="E69" s="155">
        <v>6.18</v>
      </c>
      <c r="F69" s="156">
        <v>134784.37000000002</v>
      </c>
      <c r="G69" s="156">
        <v>134709.07</v>
      </c>
      <c r="H69" s="156">
        <v>133738.96</v>
      </c>
      <c r="I69" s="156">
        <v>134059.72000000003</v>
      </c>
      <c r="J69" s="156">
        <v>133631.71</v>
      </c>
      <c r="K69" s="156">
        <v>134580.46000000002</v>
      </c>
      <c r="L69" s="156">
        <v>135677.47999999998</v>
      </c>
      <c r="M69" s="156">
        <v>138618.19000000003</v>
      </c>
      <c r="N69" s="156">
        <v>140004.51</v>
      </c>
      <c r="O69" s="156">
        <v>140744.04999999999</v>
      </c>
      <c r="P69" s="156">
        <v>141864.16</v>
      </c>
      <c r="Q69" s="156">
        <v>141612.14999999997</v>
      </c>
      <c r="R69" s="157">
        <f t="shared" ref="R69:R78" si="17">SUM(F69:Q69)</f>
        <v>1644024.8299999998</v>
      </c>
      <c r="S69" s="158">
        <f t="shared" ref="S69:W75" si="18">+IFERROR(F69/$D69,0)</f>
        <v>21809.768608414244</v>
      </c>
      <c r="T69" s="158">
        <f t="shared" si="18"/>
        <v>21797.584142394826</v>
      </c>
      <c r="U69" s="158">
        <f t="shared" si="18"/>
        <v>21640.608414239483</v>
      </c>
      <c r="V69" s="158">
        <f t="shared" si="18"/>
        <v>21692.511326860847</v>
      </c>
      <c r="W69" s="158">
        <f t="shared" si="18"/>
        <v>21623.254045307443</v>
      </c>
      <c r="X69" s="158">
        <f t="shared" ref="X69:AD76" si="19">+IFERROR(K69/$E69,0)</f>
        <v>21776.773462783174</v>
      </c>
      <c r="Y69" s="158">
        <f t="shared" si="19"/>
        <v>21954.284789644011</v>
      </c>
      <c r="Z69" s="158">
        <f t="shared" si="19"/>
        <v>22430.127831715217</v>
      </c>
      <c r="AA69" s="158">
        <f t="shared" si="19"/>
        <v>22654.451456310682</v>
      </c>
      <c r="AB69" s="158">
        <f t="shared" si="19"/>
        <v>22774.118122977347</v>
      </c>
      <c r="AC69" s="158">
        <f t="shared" si="19"/>
        <v>22955.365695792883</v>
      </c>
      <c r="AD69" s="158">
        <f t="shared" si="19"/>
        <v>22914.587378640772</v>
      </c>
      <c r="AE69" s="157">
        <f>+SUM(S69:AD69)/$AB$3</f>
        <v>266023.43527508096</v>
      </c>
    </row>
    <row r="70" spans="1:31" outlineLevel="2">
      <c r="A70" s="135" t="str">
        <f t="shared" si="16"/>
        <v>MurreysRESIDENTIALYDW90SNR</v>
      </c>
      <c r="B70" s="116" t="s">
        <v>408</v>
      </c>
      <c r="C70" s="116" t="s">
        <v>409</v>
      </c>
      <c r="D70" s="155">
        <v>0</v>
      </c>
      <c r="E70" s="155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56">
        <v>0</v>
      </c>
      <c r="R70" s="157">
        <f t="shared" si="17"/>
        <v>0</v>
      </c>
      <c r="S70" s="158">
        <f t="shared" si="18"/>
        <v>0</v>
      </c>
      <c r="T70" s="158">
        <f t="shared" si="18"/>
        <v>0</v>
      </c>
      <c r="U70" s="158">
        <f t="shared" si="18"/>
        <v>0</v>
      </c>
      <c r="V70" s="158">
        <f t="shared" si="18"/>
        <v>0</v>
      </c>
      <c r="W70" s="158">
        <f t="shared" si="18"/>
        <v>0</v>
      </c>
      <c r="X70" s="158">
        <f t="shared" si="19"/>
        <v>0</v>
      </c>
      <c r="Y70" s="158">
        <f t="shared" si="19"/>
        <v>0</v>
      </c>
      <c r="Z70" s="158">
        <f t="shared" si="19"/>
        <v>0</v>
      </c>
      <c r="AA70" s="158">
        <f t="shared" si="19"/>
        <v>0</v>
      </c>
      <c r="AB70" s="158">
        <f t="shared" si="19"/>
        <v>0</v>
      </c>
      <c r="AC70" s="158">
        <f t="shared" si="19"/>
        <v>0</v>
      </c>
      <c r="AD70" s="158">
        <f t="shared" si="19"/>
        <v>0</v>
      </c>
      <c r="AE70" s="157">
        <f t="shared" ref="AE70:AE75" si="20">+SUM(S70:AD70)/$AB$3</f>
        <v>0</v>
      </c>
    </row>
    <row r="71" spans="1:31" outlineLevel="2">
      <c r="A71" s="135" t="str">
        <f t="shared" si="16"/>
        <v>MurreysRESIDENTIALYDWDEL</v>
      </c>
      <c r="B71" s="116" t="s">
        <v>410</v>
      </c>
      <c r="C71" s="116" t="s">
        <v>411</v>
      </c>
      <c r="D71" s="155">
        <v>18.3</v>
      </c>
      <c r="E71" s="155">
        <v>18.3</v>
      </c>
      <c r="F71" s="156">
        <v>36.6</v>
      </c>
      <c r="G71" s="156">
        <v>0</v>
      </c>
      <c r="H71" s="156">
        <v>18.3</v>
      </c>
      <c r="I71" s="156">
        <v>18.3</v>
      </c>
      <c r="J71" s="156">
        <v>54.9</v>
      </c>
      <c r="K71" s="156">
        <v>201.3</v>
      </c>
      <c r="L71" s="156">
        <v>109.80000000000001</v>
      </c>
      <c r="M71" s="156">
        <v>237.90000000000003</v>
      </c>
      <c r="N71" s="156">
        <v>73.2</v>
      </c>
      <c r="O71" s="156">
        <v>0</v>
      </c>
      <c r="P71" s="156">
        <v>54.900000000000006</v>
      </c>
      <c r="Q71" s="156">
        <v>38.909999999999997</v>
      </c>
      <c r="R71" s="157">
        <f t="shared" si="17"/>
        <v>844.11</v>
      </c>
      <c r="S71" s="158">
        <f t="shared" si="18"/>
        <v>2</v>
      </c>
      <c r="T71" s="158">
        <f t="shared" si="18"/>
        <v>0</v>
      </c>
      <c r="U71" s="158">
        <f t="shared" si="18"/>
        <v>1</v>
      </c>
      <c r="V71" s="158">
        <f t="shared" si="18"/>
        <v>1</v>
      </c>
      <c r="W71" s="158">
        <f t="shared" si="18"/>
        <v>3</v>
      </c>
      <c r="X71" s="158">
        <f t="shared" si="19"/>
        <v>11</v>
      </c>
      <c r="Y71" s="158">
        <f t="shared" si="19"/>
        <v>6</v>
      </c>
      <c r="Z71" s="158">
        <f t="shared" si="19"/>
        <v>13.000000000000002</v>
      </c>
      <c r="AA71" s="158">
        <f t="shared" si="19"/>
        <v>4</v>
      </c>
      <c r="AB71" s="158">
        <f t="shared" si="19"/>
        <v>0</v>
      </c>
      <c r="AC71" s="158">
        <f t="shared" si="19"/>
        <v>3</v>
      </c>
      <c r="AD71" s="158">
        <f t="shared" si="19"/>
        <v>2.1262295081967211</v>
      </c>
      <c r="AE71" s="157">
        <f t="shared" si="20"/>
        <v>46.126229508196722</v>
      </c>
    </row>
    <row r="72" spans="1:31" outlineLevel="2">
      <c r="A72" s="135" t="str">
        <f t="shared" si="16"/>
        <v>MurreysRESIDENTIALYDWEX</v>
      </c>
      <c r="B72" s="116" t="s">
        <v>412</v>
      </c>
      <c r="C72" s="116" t="s">
        <v>413</v>
      </c>
      <c r="D72" s="155">
        <v>1.99</v>
      </c>
      <c r="E72" s="155">
        <v>1.99</v>
      </c>
      <c r="F72" s="156">
        <v>95.52000000000001</v>
      </c>
      <c r="G72" s="156">
        <v>157.21</v>
      </c>
      <c r="H72" s="156">
        <v>21.89</v>
      </c>
      <c r="I72" s="156">
        <v>-9.9499999999999993</v>
      </c>
      <c r="J72" s="156">
        <v>23.88</v>
      </c>
      <c r="K72" s="156">
        <v>240.79000000000002</v>
      </c>
      <c r="L72" s="156">
        <v>254.71999999999997</v>
      </c>
      <c r="M72" s="156">
        <v>470.5</v>
      </c>
      <c r="N72" s="156">
        <v>405.96</v>
      </c>
      <c r="O72" s="156">
        <v>278.60000000000002</v>
      </c>
      <c r="P72" s="156">
        <v>280.59000000000003</v>
      </c>
      <c r="Q72" s="156">
        <v>125.37</v>
      </c>
      <c r="R72" s="157">
        <f t="shared" si="17"/>
        <v>2345.08</v>
      </c>
      <c r="S72" s="158">
        <f t="shared" si="18"/>
        <v>48.000000000000007</v>
      </c>
      <c r="T72" s="158">
        <f t="shared" si="18"/>
        <v>79</v>
      </c>
      <c r="U72" s="158">
        <f t="shared" si="18"/>
        <v>11</v>
      </c>
      <c r="V72" s="158">
        <f t="shared" si="18"/>
        <v>-5</v>
      </c>
      <c r="W72" s="158">
        <f t="shared" si="18"/>
        <v>12</v>
      </c>
      <c r="X72" s="158">
        <f t="shared" si="19"/>
        <v>121.00000000000001</v>
      </c>
      <c r="Y72" s="158">
        <f t="shared" si="19"/>
        <v>127.99999999999999</v>
      </c>
      <c r="Z72" s="158">
        <f t="shared" si="19"/>
        <v>236.4321608040201</v>
      </c>
      <c r="AA72" s="158">
        <f t="shared" si="19"/>
        <v>204</v>
      </c>
      <c r="AB72" s="158">
        <f t="shared" si="19"/>
        <v>140</v>
      </c>
      <c r="AC72" s="158">
        <f t="shared" si="19"/>
        <v>141.00000000000003</v>
      </c>
      <c r="AD72" s="158">
        <f t="shared" si="19"/>
        <v>63</v>
      </c>
      <c r="AE72" s="157">
        <f t="shared" si="20"/>
        <v>1178.4321608040202</v>
      </c>
    </row>
    <row r="73" spans="1:31" outlineLevel="2">
      <c r="A73" s="135" t="str">
        <f t="shared" si="16"/>
        <v>MurreysRESIDENTIALDRVNR-YARDWASTE</v>
      </c>
      <c r="B73" s="116" t="s">
        <v>414</v>
      </c>
      <c r="C73" s="116" t="s">
        <v>415</v>
      </c>
      <c r="D73" s="155">
        <v>4.3</v>
      </c>
      <c r="E73" s="155">
        <v>4.3</v>
      </c>
      <c r="F73" s="156">
        <v>47.300000000000004</v>
      </c>
      <c r="G73" s="156">
        <v>47.300000000000004</v>
      </c>
      <c r="H73" s="156">
        <v>47.300000000000004</v>
      </c>
      <c r="I73" s="156">
        <v>47.300000000000004</v>
      </c>
      <c r="J73" s="156">
        <v>47.300000000000004</v>
      </c>
      <c r="K73" s="156">
        <v>47.300000000000004</v>
      </c>
      <c r="L73" s="156">
        <v>47.300000000000004</v>
      </c>
      <c r="M73" s="156">
        <v>47.300000000000004</v>
      </c>
      <c r="N73" s="156">
        <v>47.300000000000004</v>
      </c>
      <c r="O73" s="156">
        <v>47.300000000000004</v>
      </c>
      <c r="P73" s="156">
        <v>51.6</v>
      </c>
      <c r="Q73" s="156">
        <v>51.6</v>
      </c>
      <c r="R73" s="157">
        <f t="shared" si="17"/>
        <v>576.20000000000005</v>
      </c>
      <c r="S73" s="158">
        <f t="shared" si="18"/>
        <v>11.000000000000002</v>
      </c>
      <c r="T73" s="158">
        <f t="shared" si="18"/>
        <v>11.000000000000002</v>
      </c>
      <c r="U73" s="158">
        <f t="shared" si="18"/>
        <v>11.000000000000002</v>
      </c>
      <c r="V73" s="158">
        <f t="shared" si="18"/>
        <v>11.000000000000002</v>
      </c>
      <c r="W73" s="158">
        <f t="shared" si="18"/>
        <v>11.000000000000002</v>
      </c>
      <c r="X73" s="158">
        <f t="shared" si="19"/>
        <v>11.000000000000002</v>
      </c>
      <c r="Y73" s="158">
        <f t="shared" si="19"/>
        <v>11.000000000000002</v>
      </c>
      <c r="Z73" s="158">
        <f t="shared" si="19"/>
        <v>11.000000000000002</v>
      </c>
      <c r="AA73" s="158">
        <f t="shared" si="19"/>
        <v>11.000000000000002</v>
      </c>
      <c r="AB73" s="158">
        <f t="shared" si="19"/>
        <v>11.000000000000002</v>
      </c>
      <c r="AC73" s="158">
        <f t="shared" si="19"/>
        <v>12</v>
      </c>
      <c r="AD73" s="158">
        <f t="shared" si="19"/>
        <v>12</v>
      </c>
      <c r="AE73" s="157">
        <f t="shared" si="20"/>
        <v>134</v>
      </c>
    </row>
    <row r="74" spans="1:31" outlineLevel="2">
      <c r="A74" s="135" t="str">
        <f t="shared" si="16"/>
        <v>MurreysRESIDENTIALPACKR-YARDWASTE</v>
      </c>
      <c r="B74" s="116" t="s">
        <v>416</v>
      </c>
      <c r="C74" s="116" t="s">
        <v>417</v>
      </c>
      <c r="D74" s="155">
        <v>7.875</v>
      </c>
      <c r="E74" s="155">
        <v>7.875</v>
      </c>
      <c r="F74" s="156">
        <v>23.63</v>
      </c>
      <c r="G74" s="156">
        <v>23.63</v>
      </c>
      <c r="H74" s="156">
        <v>23.63</v>
      </c>
      <c r="I74" s="156">
        <v>23.63</v>
      </c>
      <c r="J74" s="156">
        <v>23.63</v>
      </c>
      <c r="K74" s="156">
        <v>23.63</v>
      </c>
      <c r="L74" s="156">
        <v>23.63</v>
      </c>
      <c r="M74" s="156">
        <v>23.63</v>
      </c>
      <c r="N74" s="156">
        <v>23.63</v>
      </c>
      <c r="O74" s="156">
        <v>23.63</v>
      </c>
      <c r="P74" s="156">
        <v>23.63</v>
      </c>
      <c r="Q74" s="156">
        <v>23.63</v>
      </c>
      <c r="R74" s="157">
        <f t="shared" si="17"/>
        <v>283.56</v>
      </c>
      <c r="S74" s="158">
        <f t="shared" si="18"/>
        <v>3.0006349206349205</v>
      </c>
      <c r="T74" s="158">
        <f t="shared" si="18"/>
        <v>3.0006349206349205</v>
      </c>
      <c r="U74" s="158">
        <f t="shared" si="18"/>
        <v>3.0006349206349205</v>
      </c>
      <c r="V74" s="158">
        <f t="shared" si="18"/>
        <v>3.0006349206349205</v>
      </c>
      <c r="W74" s="158">
        <f t="shared" si="18"/>
        <v>3.0006349206349205</v>
      </c>
      <c r="X74" s="158">
        <f t="shared" si="19"/>
        <v>3.0006349206349205</v>
      </c>
      <c r="Y74" s="158">
        <f t="shared" si="19"/>
        <v>3.0006349206349205</v>
      </c>
      <c r="Z74" s="158">
        <f t="shared" si="19"/>
        <v>3.0006349206349205</v>
      </c>
      <c r="AA74" s="158">
        <f t="shared" si="19"/>
        <v>3.0006349206349205</v>
      </c>
      <c r="AB74" s="158">
        <f t="shared" si="19"/>
        <v>3.0006349206349205</v>
      </c>
      <c r="AC74" s="158">
        <f t="shared" si="19"/>
        <v>3.0006349206349205</v>
      </c>
      <c r="AD74" s="158">
        <f t="shared" si="19"/>
        <v>3.0006349206349205</v>
      </c>
      <c r="AE74" s="157">
        <f t="shared" si="20"/>
        <v>36.007619047619045</v>
      </c>
    </row>
    <row r="75" spans="1:31" outlineLevel="2">
      <c r="A75" s="135" t="str">
        <f t="shared" si="16"/>
        <v>MurreysRESIDENTIALTRIPYCARTS</v>
      </c>
      <c r="B75" s="116" t="s">
        <v>418</v>
      </c>
      <c r="C75" s="116" t="s">
        <v>419</v>
      </c>
      <c r="D75" s="155">
        <v>10.97</v>
      </c>
      <c r="E75" s="155">
        <v>10.97</v>
      </c>
      <c r="F75" s="156">
        <v>21.94</v>
      </c>
      <c r="G75" s="156">
        <v>10.97</v>
      </c>
      <c r="H75" s="156">
        <v>21.94</v>
      </c>
      <c r="I75" s="156">
        <v>21.94</v>
      </c>
      <c r="J75" s="156">
        <v>0</v>
      </c>
      <c r="K75" s="156">
        <v>10.97</v>
      </c>
      <c r="L75" s="156">
        <v>43.879999999999995</v>
      </c>
      <c r="M75" s="156">
        <v>21.94</v>
      </c>
      <c r="N75" s="156">
        <v>10.97</v>
      </c>
      <c r="O75" s="156">
        <v>54.849999999999994</v>
      </c>
      <c r="P75" s="156">
        <v>43.879999999999995</v>
      </c>
      <c r="Q75" s="156">
        <v>10.97</v>
      </c>
      <c r="R75" s="157">
        <f t="shared" si="17"/>
        <v>274.25</v>
      </c>
      <c r="S75" s="158">
        <f t="shared" si="18"/>
        <v>2</v>
      </c>
      <c r="T75" s="158">
        <f t="shared" si="18"/>
        <v>1</v>
      </c>
      <c r="U75" s="158">
        <f t="shared" si="18"/>
        <v>2</v>
      </c>
      <c r="V75" s="158">
        <f t="shared" si="18"/>
        <v>2</v>
      </c>
      <c r="W75" s="158">
        <f t="shared" si="18"/>
        <v>0</v>
      </c>
      <c r="X75" s="158">
        <f t="shared" si="19"/>
        <v>1</v>
      </c>
      <c r="Y75" s="158">
        <f t="shared" si="19"/>
        <v>3.9999999999999996</v>
      </c>
      <c r="Z75" s="158">
        <f t="shared" si="19"/>
        <v>2</v>
      </c>
      <c r="AA75" s="158">
        <f t="shared" si="19"/>
        <v>1</v>
      </c>
      <c r="AB75" s="158">
        <f t="shared" si="19"/>
        <v>4.9999999999999991</v>
      </c>
      <c r="AC75" s="158">
        <f t="shared" si="19"/>
        <v>3.9999999999999996</v>
      </c>
      <c r="AD75" s="158">
        <f t="shared" si="19"/>
        <v>1</v>
      </c>
      <c r="AE75" s="157">
        <f t="shared" si="20"/>
        <v>25</v>
      </c>
    </row>
    <row r="76" spans="1:31" outlineLevel="2">
      <c r="A76" s="135" t="str">
        <f>+$A$5&amp;$A$161&amp;B76</f>
        <v>MurreysMULTI-FAMILYMYDW90</v>
      </c>
      <c r="B76" s="116" t="s">
        <v>420</v>
      </c>
      <c r="C76" s="116" t="s">
        <v>421</v>
      </c>
      <c r="D76" s="155">
        <v>3.09</v>
      </c>
      <c r="E76" s="155">
        <v>6.18</v>
      </c>
      <c r="F76" s="156">
        <v>3843.96</v>
      </c>
      <c r="G76" s="156">
        <v>3817.7</v>
      </c>
      <c r="H76" s="156">
        <v>3825.42</v>
      </c>
      <c r="I76" s="156">
        <v>3836.24</v>
      </c>
      <c r="J76" s="156">
        <v>3845.51</v>
      </c>
      <c r="K76" s="156">
        <v>3868.69</v>
      </c>
      <c r="L76" s="156">
        <v>3868.69</v>
      </c>
      <c r="M76" s="156">
        <v>3932.0299999999997</v>
      </c>
      <c r="N76" s="156">
        <v>3967.5699999999997</v>
      </c>
      <c r="O76" s="156">
        <v>3987.64</v>
      </c>
      <c r="P76" s="156">
        <v>3973.75</v>
      </c>
      <c r="Q76" s="156">
        <v>4024.73</v>
      </c>
      <c r="R76" s="157">
        <f t="shared" si="17"/>
        <v>46791.93</v>
      </c>
      <c r="S76" s="158">
        <f>+IFERROR(F76/$D76,0)</f>
        <v>1244</v>
      </c>
      <c r="T76" s="158">
        <f>+IFERROR(G76/$D76,0)</f>
        <v>1235.5016181229773</v>
      </c>
      <c r="U76" s="158">
        <f>+IFERROR(H76/$D76,0)</f>
        <v>1238</v>
      </c>
      <c r="V76" s="158">
        <f>+IFERROR(I76/$D76,0)</f>
        <v>1241.5016181229773</v>
      </c>
      <c r="W76" s="158">
        <f>+IFERROR(J76/$D76,0)</f>
        <v>1244.5016181229776</v>
      </c>
      <c r="X76" s="158">
        <f t="shared" si="19"/>
        <v>626.00161812297733</v>
      </c>
      <c r="Y76" s="158">
        <f t="shared" si="19"/>
        <v>626.00161812297733</v>
      </c>
      <c r="Z76" s="158">
        <f t="shared" si="19"/>
        <v>636.25080906148867</v>
      </c>
      <c r="AA76" s="158">
        <f t="shared" si="19"/>
        <v>642.00161812297733</v>
      </c>
      <c r="AB76" s="158">
        <f t="shared" si="19"/>
        <v>645.24919093851133</v>
      </c>
      <c r="AC76" s="158">
        <f t="shared" si="19"/>
        <v>643.00161812297733</v>
      </c>
      <c r="AD76" s="158">
        <f t="shared" si="19"/>
        <v>651.25080906148867</v>
      </c>
      <c r="AE76" s="157">
        <f>+SUM(S76:AD76)/$AB$3</f>
        <v>10673.26213592233</v>
      </c>
    </row>
    <row r="77" spans="1:31" outlineLevel="2">
      <c r="B77" s="116"/>
      <c r="C77" s="116"/>
      <c r="D77" s="155"/>
      <c r="E77" s="155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7">
        <f t="shared" si="17"/>
        <v>0</v>
      </c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7"/>
    </row>
    <row r="78" spans="1:31" outlineLevel="1">
      <c r="B78" s="116"/>
      <c r="C78" s="159" t="s">
        <v>422</v>
      </c>
      <c r="D78" s="155"/>
      <c r="E78" s="155"/>
      <c r="F78" s="162">
        <f t="shared" ref="F78:Q78" si="21">SUM(F69:F77)</f>
        <v>138853.32</v>
      </c>
      <c r="G78" s="162">
        <f t="shared" si="21"/>
        <v>138765.88</v>
      </c>
      <c r="H78" s="162">
        <f t="shared" si="21"/>
        <v>137697.44</v>
      </c>
      <c r="I78" s="162">
        <f t="shared" si="21"/>
        <v>137997.18</v>
      </c>
      <c r="J78" s="162">
        <f t="shared" si="21"/>
        <v>137626.93</v>
      </c>
      <c r="K78" s="162">
        <f t="shared" si="21"/>
        <v>138973.14000000001</v>
      </c>
      <c r="L78" s="162">
        <f t="shared" si="21"/>
        <v>140025.49999999997</v>
      </c>
      <c r="M78" s="162">
        <f t="shared" si="21"/>
        <v>143351.49000000002</v>
      </c>
      <c r="N78" s="162">
        <f t="shared" si="21"/>
        <v>144533.14000000001</v>
      </c>
      <c r="O78" s="162">
        <f t="shared" si="21"/>
        <v>145136.07</v>
      </c>
      <c r="P78" s="162">
        <f t="shared" si="21"/>
        <v>146292.51</v>
      </c>
      <c r="Q78" s="162">
        <f t="shared" si="21"/>
        <v>145887.35999999999</v>
      </c>
      <c r="R78" s="163">
        <f t="shared" si="17"/>
        <v>1695139.96</v>
      </c>
      <c r="S78" s="162">
        <f>SUM(S69:S70,S76)</f>
        <v>23053.768608414244</v>
      </c>
      <c r="T78" s="162">
        <f t="shared" ref="T78:AE78" si="22">SUM(T69:T70,T76)</f>
        <v>23033.085760517803</v>
      </c>
      <c r="U78" s="162">
        <f t="shared" si="22"/>
        <v>22878.608414239483</v>
      </c>
      <c r="V78" s="162">
        <f t="shared" si="22"/>
        <v>22934.012944983824</v>
      </c>
      <c r="W78" s="162">
        <f t="shared" si="22"/>
        <v>22867.75566343042</v>
      </c>
      <c r="X78" s="162">
        <f t="shared" si="22"/>
        <v>22402.775080906151</v>
      </c>
      <c r="Y78" s="162">
        <f t="shared" si="22"/>
        <v>22580.286407766987</v>
      </c>
      <c r="Z78" s="162">
        <f t="shared" si="22"/>
        <v>23066.378640776707</v>
      </c>
      <c r="AA78" s="162">
        <f t="shared" si="22"/>
        <v>23296.453074433659</v>
      </c>
      <c r="AB78" s="162">
        <f t="shared" si="22"/>
        <v>23419.367313915856</v>
      </c>
      <c r="AC78" s="162">
        <f t="shared" si="22"/>
        <v>23598.36731391586</v>
      </c>
      <c r="AD78" s="162">
        <f t="shared" si="22"/>
        <v>23565.838187702262</v>
      </c>
      <c r="AE78" s="163">
        <f t="shared" si="22"/>
        <v>276696.69741100329</v>
      </c>
    </row>
    <row r="79" spans="1:31" outlineLevel="1">
      <c r="B79" s="116"/>
      <c r="C79" s="159"/>
      <c r="D79" s="155"/>
      <c r="E79" s="155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7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7"/>
    </row>
    <row r="80" spans="1:31" outlineLevel="1">
      <c r="D80" s="155"/>
      <c r="E80" s="155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7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7"/>
    </row>
    <row r="81" spans="1:31" s="136" customFormat="1">
      <c r="B81" s="136" t="s">
        <v>423</v>
      </c>
      <c r="D81" s="155"/>
      <c r="E81" s="155"/>
      <c r="F81" s="167">
        <f t="shared" ref="F81:Q81" si="23">+F55+F66+F78</f>
        <v>1163499.52</v>
      </c>
      <c r="G81" s="167">
        <f t="shared" si="23"/>
        <v>1182977.1300000004</v>
      </c>
      <c r="H81" s="167">
        <f t="shared" si="23"/>
        <v>1190530.2899999996</v>
      </c>
      <c r="I81" s="167">
        <f t="shared" si="23"/>
        <v>1200212.3700000001</v>
      </c>
      <c r="J81" s="167">
        <f t="shared" si="23"/>
        <v>1189211.0000000002</v>
      </c>
      <c r="K81" s="167">
        <f t="shared" si="23"/>
        <v>1189779.3900000001</v>
      </c>
      <c r="L81" s="167">
        <f t="shared" si="23"/>
        <v>1187211.2800000005</v>
      </c>
      <c r="M81" s="167">
        <f t="shared" si="23"/>
        <v>1203441.8300000003</v>
      </c>
      <c r="N81" s="167">
        <f t="shared" si="23"/>
        <v>1206795.8400000003</v>
      </c>
      <c r="O81" s="167">
        <f t="shared" si="23"/>
        <v>1212072.0700000003</v>
      </c>
      <c r="P81" s="167">
        <f t="shared" si="23"/>
        <v>1226526.0400000003</v>
      </c>
      <c r="Q81" s="167">
        <f t="shared" si="23"/>
        <v>1224391.96</v>
      </c>
      <c r="R81" s="168">
        <f>SUM(F81:Q81)</f>
        <v>14376648.720000003</v>
      </c>
      <c r="S81" s="167">
        <f t="shared" ref="S81:AD81" si="24">+S55+S66+S78</f>
        <v>94009.582709982409</v>
      </c>
      <c r="T81" s="167">
        <f t="shared" si="24"/>
        <v>94648.802854693669</v>
      </c>
      <c r="U81" s="167">
        <f t="shared" si="24"/>
        <v>94811.903108208178</v>
      </c>
      <c r="V81" s="167">
        <f t="shared" si="24"/>
        <v>95145.20373294664</v>
      </c>
      <c r="W81" s="167">
        <f t="shared" si="24"/>
        <v>93920.220641415435</v>
      </c>
      <c r="X81" s="167">
        <f t="shared" si="24"/>
        <v>96458.646626705988</v>
      </c>
      <c r="Y81" s="167">
        <f t="shared" si="24"/>
        <v>95605.986085788172</v>
      </c>
      <c r="Z81" s="167">
        <f t="shared" si="24"/>
        <v>96797.515516383821</v>
      </c>
      <c r="AA81" s="167">
        <f t="shared" si="24"/>
        <v>97230.134201690613</v>
      </c>
      <c r="AB81" s="167">
        <f t="shared" si="24"/>
        <v>97394.549840676453</v>
      </c>
      <c r="AC81" s="167">
        <f t="shared" si="24"/>
        <v>98194.599796337847</v>
      </c>
      <c r="AD81" s="167">
        <f t="shared" si="24"/>
        <v>98142.504689195019</v>
      </c>
      <c r="AE81" s="168">
        <f>+AE55+AE66+AE78</f>
        <v>1152359.6498040243</v>
      </c>
    </row>
    <row r="82" spans="1:31" s="136" customFormat="1">
      <c r="D82" s="155"/>
      <c r="E82" s="155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8"/>
    </row>
    <row r="83" spans="1:31" s="136" customFormat="1">
      <c r="D83" s="155"/>
      <c r="E83" s="155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8"/>
    </row>
    <row r="84" spans="1:31" outlineLevel="1">
      <c r="B84" s="150" t="s">
        <v>424</v>
      </c>
      <c r="C84" s="151"/>
      <c r="D84" s="155"/>
      <c r="E84" s="155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7"/>
    </row>
    <row r="85" spans="1:31" outlineLevel="1">
      <c r="B85" s="150"/>
      <c r="C85" s="151"/>
      <c r="D85" s="155"/>
      <c r="E85" s="155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7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7"/>
    </row>
    <row r="86" spans="1:31" outlineLevel="2">
      <c r="A86" s="135" t="s">
        <v>147</v>
      </c>
      <c r="B86" s="154" t="s">
        <v>425</v>
      </c>
      <c r="C86" s="151"/>
      <c r="D86" s="155"/>
      <c r="E86" s="155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7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7"/>
    </row>
    <row r="87" spans="1:31" outlineLevel="2">
      <c r="A87" s="135" t="str">
        <f t="shared" ref="A87:A150" si="25">+$A$5&amp;$A$86&amp;B87</f>
        <v>MurreysCOMMERCIAL20CW1</v>
      </c>
      <c r="B87" s="116" t="s">
        <v>426</v>
      </c>
      <c r="C87" s="116" t="s">
        <v>199</v>
      </c>
      <c r="D87" s="155">
        <v>14.93</v>
      </c>
      <c r="E87" s="155">
        <v>15.45</v>
      </c>
      <c r="F87" s="156">
        <v>0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156">
        <v>0</v>
      </c>
      <c r="R87" s="157">
        <f t="shared" ref="R87:R150" si="26">SUM(F87:Q87)</f>
        <v>0</v>
      </c>
      <c r="S87" s="158">
        <f t="shared" ref="S87:W102" si="27">+IFERROR(F87/$D87,0)</f>
        <v>0</v>
      </c>
      <c r="T87" s="158">
        <f t="shared" si="27"/>
        <v>0</v>
      </c>
      <c r="U87" s="158">
        <f t="shared" si="27"/>
        <v>0</v>
      </c>
      <c r="V87" s="158">
        <f t="shared" si="27"/>
        <v>0</v>
      </c>
      <c r="W87" s="158">
        <f t="shared" si="27"/>
        <v>0</v>
      </c>
      <c r="X87" s="158">
        <f t="shared" ref="X87:AD102" si="28">+IFERROR(K87/$E87,0)</f>
        <v>0</v>
      </c>
      <c r="Y87" s="158">
        <f t="shared" si="28"/>
        <v>0</v>
      </c>
      <c r="Z87" s="158">
        <f t="shared" si="28"/>
        <v>0</v>
      </c>
      <c r="AA87" s="158">
        <f t="shared" si="28"/>
        <v>0</v>
      </c>
      <c r="AB87" s="158">
        <f t="shared" si="28"/>
        <v>0</v>
      </c>
      <c r="AC87" s="158">
        <f t="shared" si="28"/>
        <v>0</v>
      </c>
      <c r="AD87" s="158">
        <f t="shared" si="28"/>
        <v>0</v>
      </c>
      <c r="AE87" s="157">
        <f t="shared" ref="AE87:AE143" si="29">+SUM(S87:AD87)/$AB$3</f>
        <v>0</v>
      </c>
    </row>
    <row r="88" spans="1:31" outlineLevel="2">
      <c r="A88" s="135" t="str">
        <f t="shared" si="25"/>
        <v>MurreysCOMMERCIAL35CW1</v>
      </c>
      <c r="B88" s="116" t="s">
        <v>427</v>
      </c>
      <c r="C88" s="116" t="s">
        <v>200</v>
      </c>
      <c r="D88" s="155">
        <v>18.55</v>
      </c>
      <c r="E88" s="155">
        <v>19.260000000000002</v>
      </c>
      <c r="F88" s="156">
        <v>920.92</v>
      </c>
      <c r="G88" s="156">
        <v>965.65000000000009</v>
      </c>
      <c r="H88" s="156">
        <v>946.74</v>
      </c>
      <c r="I88" s="156">
        <v>946.74</v>
      </c>
      <c r="J88" s="156">
        <v>913.44</v>
      </c>
      <c r="K88" s="156">
        <v>924.48</v>
      </c>
      <c r="L88" s="156">
        <v>924.48</v>
      </c>
      <c r="M88" s="156">
        <v>919.67</v>
      </c>
      <c r="N88" s="156">
        <v>924.48</v>
      </c>
      <c r="O88" s="156">
        <v>885.97</v>
      </c>
      <c r="P88" s="156">
        <v>890.78</v>
      </c>
      <c r="Q88" s="156">
        <v>900.41000000000008</v>
      </c>
      <c r="R88" s="157">
        <f t="shared" si="26"/>
        <v>11063.759999999998</v>
      </c>
      <c r="S88" s="158">
        <f t="shared" si="27"/>
        <v>49.645283018867921</v>
      </c>
      <c r="T88" s="158">
        <f t="shared" si="27"/>
        <v>52.056603773584911</v>
      </c>
      <c r="U88" s="158">
        <f t="shared" si="27"/>
        <v>51.037196765498649</v>
      </c>
      <c r="V88" s="158">
        <f t="shared" si="27"/>
        <v>51.037196765498649</v>
      </c>
      <c r="W88" s="158">
        <f t="shared" si="27"/>
        <v>49.242048517520217</v>
      </c>
      <c r="X88" s="158">
        <f t="shared" si="28"/>
        <v>48</v>
      </c>
      <c r="Y88" s="158">
        <f t="shared" si="28"/>
        <v>48</v>
      </c>
      <c r="Z88" s="158">
        <f t="shared" si="28"/>
        <v>47.750259605399783</v>
      </c>
      <c r="AA88" s="158">
        <f t="shared" si="28"/>
        <v>48</v>
      </c>
      <c r="AB88" s="158">
        <f t="shared" si="28"/>
        <v>46.000519210799581</v>
      </c>
      <c r="AC88" s="158">
        <f t="shared" si="28"/>
        <v>46.250259605399791</v>
      </c>
      <c r="AD88" s="158">
        <f t="shared" si="28"/>
        <v>46.750259605399791</v>
      </c>
      <c r="AE88" s="157">
        <f t="shared" si="29"/>
        <v>583.76962686796935</v>
      </c>
    </row>
    <row r="89" spans="1:31" outlineLevel="2">
      <c r="A89" s="135" t="str">
        <f t="shared" si="25"/>
        <v>MurreysCOMMERCIAL65CW1</v>
      </c>
      <c r="B89" s="116" t="s">
        <v>428</v>
      </c>
      <c r="C89" s="116" t="s">
        <v>201</v>
      </c>
      <c r="D89" s="155">
        <v>27.8</v>
      </c>
      <c r="E89" s="155">
        <v>28.83</v>
      </c>
      <c r="F89" s="156">
        <v>834</v>
      </c>
      <c r="G89" s="156">
        <v>875.97</v>
      </c>
      <c r="H89" s="156">
        <v>883.1</v>
      </c>
      <c r="I89" s="156">
        <v>892.72</v>
      </c>
      <c r="J89" s="156">
        <v>885.59</v>
      </c>
      <c r="K89" s="156">
        <v>864.9</v>
      </c>
      <c r="L89" s="156">
        <v>908.1400000000001</v>
      </c>
      <c r="M89" s="156">
        <v>944.18</v>
      </c>
      <c r="N89" s="156">
        <v>864.9</v>
      </c>
      <c r="O89" s="156">
        <v>843.27</v>
      </c>
      <c r="P89" s="156">
        <v>864.90000000000009</v>
      </c>
      <c r="Q89" s="156">
        <v>897.56999999999994</v>
      </c>
      <c r="R89" s="157">
        <f t="shared" si="26"/>
        <v>10559.24</v>
      </c>
      <c r="S89" s="158">
        <f t="shared" si="27"/>
        <v>30</v>
      </c>
      <c r="T89" s="158">
        <f t="shared" si="27"/>
        <v>31.509712230215829</v>
      </c>
      <c r="U89" s="158">
        <f t="shared" si="27"/>
        <v>31.766187050359711</v>
      </c>
      <c r="V89" s="158">
        <f t="shared" si="27"/>
        <v>32.112230215827338</v>
      </c>
      <c r="W89" s="158">
        <f t="shared" si="27"/>
        <v>31.855755395683452</v>
      </c>
      <c r="X89" s="158">
        <f t="shared" si="28"/>
        <v>30</v>
      </c>
      <c r="Y89" s="158">
        <f t="shared" si="28"/>
        <v>31.499826569545618</v>
      </c>
      <c r="Z89" s="158">
        <f t="shared" si="28"/>
        <v>32.749913284772809</v>
      </c>
      <c r="AA89" s="158">
        <f t="shared" si="28"/>
        <v>30</v>
      </c>
      <c r="AB89" s="158">
        <f t="shared" si="28"/>
        <v>29.24973985431842</v>
      </c>
      <c r="AC89" s="158">
        <f t="shared" si="28"/>
        <v>30.000000000000004</v>
      </c>
      <c r="AD89" s="158">
        <f t="shared" si="28"/>
        <v>31.133194588969822</v>
      </c>
      <c r="AE89" s="157">
        <f t="shared" si="29"/>
        <v>371.87655918969301</v>
      </c>
    </row>
    <row r="90" spans="1:31" outlineLevel="2">
      <c r="A90" s="135" t="str">
        <f t="shared" si="25"/>
        <v>MurreysCOMMERCIAL95CW1</v>
      </c>
      <c r="B90" s="116" t="s">
        <v>429</v>
      </c>
      <c r="C90" s="116" t="s">
        <v>202</v>
      </c>
      <c r="D90" s="155">
        <v>38.89</v>
      </c>
      <c r="E90" s="155">
        <v>40.35</v>
      </c>
      <c r="F90" s="156">
        <v>505.57</v>
      </c>
      <c r="G90" s="156">
        <v>728.59</v>
      </c>
      <c r="H90" s="156">
        <v>697.9</v>
      </c>
      <c r="I90" s="156">
        <v>757.72</v>
      </c>
      <c r="J90" s="156">
        <v>797.6</v>
      </c>
      <c r="K90" s="156">
        <v>807</v>
      </c>
      <c r="L90" s="156">
        <v>776.74</v>
      </c>
      <c r="M90" s="156">
        <v>847.34999999999991</v>
      </c>
      <c r="N90" s="156">
        <v>1071.5900000000001</v>
      </c>
      <c r="O90" s="156">
        <v>1044.06</v>
      </c>
      <c r="P90" s="156">
        <v>1109.6299999999999</v>
      </c>
      <c r="Q90" s="156">
        <v>1250.8500000000001</v>
      </c>
      <c r="R90" s="157">
        <f t="shared" si="26"/>
        <v>10394.599999999999</v>
      </c>
      <c r="S90" s="158">
        <f t="shared" si="27"/>
        <v>13</v>
      </c>
      <c r="T90" s="158">
        <f t="shared" si="27"/>
        <v>18.734636153252765</v>
      </c>
      <c r="U90" s="158">
        <f t="shared" si="27"/>
        <v>17.945487271792235</v>
      </c>
      <c r="V90" s="158">
        <f t="shared" si="27"/>
        <v>19.483671895088712</v>
      </c>
      <c r="W90" s="158">
        <f t="shared" si="27"/>
        <v>20.509128310619698</v>
      </c>
      <c r="X90" s="158">
        <f t="shared" si="28"/>
        <v>20</v>
      </c>
      <c r="Y90" s="158">
        <f t="shared" si="28"/>
        <v>19.250061957868649</v>
      </c>
      <c r="Z90" s="158">
        <f t="shared" si="28"/>
        <v>20.999999999999996</v>
      </c>
      <c r="AA90" s="158">
        <f t="shared" si="28"/>
        <v>26.55737298636927</v>
      </c>
      <c r="AB90" s="158">
        <f t="shared" si="28"/>
        <v>25.875092936802972</v>
      </c>
      <c r="AC90" s="158">
        <f t="shared" si="28"/>
        <v>27.500123915737294</v>
      </c>
      <c r="AD90" s="158">
        <f t="shared" si="28"/>
        <v>31.000000000000004</v>
      </c>
      <c r="AE90" s="157">
        <f t="shared" si="29"/>
        <v>260.85557542753162</v>
      </c>
    </row>
    <row r="91" spans="1:31" outlineLevel="2">
      <c r="A91" s="135" t="str">
        <f t="shared" si="25"/>
        <v>MurreysCOMMERCIALF1.5YD1W</v>
      </c>
      <c r="B91" s="116" t="s">
        <v>430</v>
      </c>
      <c r="C91" s="116" t="s">
        <v>84</v>
      </c>
      <c r="D91" s="155">
        <v>126</v>
      </c>
      <c r="E91" s="155">
        <v>127.74</v>
      </c>
      <c r="F91" s="156">
        <v>126</v>
      </c>
      <c r="G91" s="156">
        <v>126</v>
      </c>
      <c r="H91" s="156">
        <v>126</v>
      </c>
      <c r="I91" s="156">
        <v>126</v>
      </c>
      <c r="J91" s="156">
        <v>126</v>
      </c>
      <c r="K91" s="156">
        <v>127.74</v>
      </c>
      <c r="L91" s="156">
        <v>127.74</v>
      </c>
      <c r="M91" s="156">
        <v>127.74</v>
      </c>
      <c r="N91" s="156">
        <v>127.74</v>
      </c>
      <c r="O91" s="156">
        <v>127.74</v>
      </c>
      <c r="P91" s="156">
        <v>127.74</v>
      </c>
      <c r="Q91" s="156">
        <v>127.74</v>
      </c>
      <c r="R91" s="157">
        <f t="shared" si="26"/>
        <v>1524.18</v>
      </c>
      <c r="S91" s="158">
        <f t="shared" si="27"/>
        <v>1</v>
      </c>
      <c r="T91" s="158">
        <f t="shared" si="27"/>
        <v>1</v>
      </c>
      <c r="U91" s="158">
        <f t="shared" si="27"/>
        <v>1</v>
      </c>
      <c r="V91" s="158">
        <f t="shared" si="27"/>
        <v>1</v>
      </c>
      <c r="W91" s="158">
        <f t="shared" si="27"/>
        <v>1</v>
      </c>
      <c r="X91" s="158">
        <f t="shared" si="28"/>
        <v>1</v>
      </c>
      <c r="Y91" s="158">
        <f t="shared" si="28"/>
        <v>1</v>
      </c>
      <c r="Z91" s="158">
        <f t="shared" si="28"/>
        <v>1</v>
      </c>
      <c r="AA91" s="158">
        <f t="shared" si="28"/>
        <v>1</v>
      </c>
      <c r="AB91" s="158">
        <f t="shared" si="28"/>
        <v>1</v>
      </c>
      <c r="AC91" s="158">
        <f t="shared" si="28"/>
        <v>1</v>
      </c>
      <c r="AD91" s="158">
        <f t="shared" si="28"/>
        <v>1</v>
      </c>
      <c r="AE91" s="157">
        <f t="shared" si="29"/>
        <v>12</v>
      </c>
    </row>
    <row r="92" spans="1:31" outlineLevel="2">
      <c r="A92" s="135" t="str">
        <f t="shared" si="25"/>
        <v>MurreysCOMMERCIALF1YD1W</v>
      </c>
      <c r="B92" s="116" t="s">
        <v>431</v>
      </c>
      <c r="C92" s="116" t="s">
        <v>83</v>
      </c>
      <c r="D92" s="155">
        <v>91.15000000000002</v>
      </c>
      <c r="E92" s="155">
        <v>92.36</v>
      </c>
      <c r="F92" s="156">
        <v>615.27</v>
      </c>
      <c r="G92" s="156">
        <v>638.04999999999995</v>
      </c>
      <c r="H92" s="156">
        <v>638.04999999999995</v>
      </c>
      <c r="I92" s="156">
        <v>683.63</v>
      </c>
      <c r="J92" s="156">
        <v>729.2</v>
      </c>
      <c r="K92" s="156">
        <v>738.88</v>
      </c>
      <c r="L92" s="156">
        <v>646.52</v>
      </c>
      <c r="M92" s="156">
        <v>738.88</v>
      </c>
      <c r="N92" s="156">
        <v>554.16</v>
      </c>
      <c r="O92" s="156">
        <v>484.89</v>
      </c>
      <c r="P92" s="156">
        <v>461.8</v>
      </c>
      <c r="Q92" s="156">
        <v>461.8</v>
      </c>
      <c r="R92" s="157">
        <f t="shared" si="26"/>
        <v>7391.130000000001</v>
      </c>
      <c r="S92" s="158">
        <f t="shared" si="27"/>
        <v>6.7500822819528237</v>
      </c>
      <c r="T92" s="158">
        <f t="shared" si="27"/>
        <v>6.9999999999999982</v>
      </c>
      <c r="U92" s="158">
        <f t="shared" si="27"/>
        <v>6.9999999999999982</v>
      </c>
      <c r="V92" s="158">
        <f t="shared" si="27"/>
        <v>7.5000548546352146</v>
      </c>
      <c r="W92" s="158">
        <f t="shared" si="27"/>
        <v>7.9999999999999991</v>
      </c>
      <c r="X92" s="158">
        <f t="shared" si="28"/>
        <v>8</v>
      </c>
      <c r="Y92" s="158">
        <f t="shared" si="28"/>
        <v>7</v>
      </c>
      <c r="Z92" s="158">
        <f t="shared" si="28"/>
        <v>8</v>
      </c>
      <c r="AA92" s="158">
        <f t="shared" si="28"/>
        <v>6</v>
      </c>
      <c r="AB92" s="158">
        <f t="shared" si="28"/>
        <v>5.25</v>
      </c>
      <c r="AC92" s="158">
        <f t="shared" si="28"/>
        <v>5</v>
      </c>
      <c r="AD92" s="158">
        <f t="shared" si="28"/>
        <v>5</v>
      </c>
      <c r="AE92" s="157">
        <f t="shared" si="29"/>
        <v>80.500137136588037</v>
      </c>
    </row>
    <row r="93" spans="1:31" outlineLevel="2">
      <c r="A93" s="135" t="str">
        <f t="shared" si="25"/>
        <v>MurreysCOMMERCIALF1YD2W</v>
      </c>
      <c r="B93" s="116" t="s">
        <v>432</v>
      </c>
      <c r="C93" s="116" t="s">
        <v>203</v>
      </c>
      <c r="D93" s="155">
        <v>182.29</v>
      </c>
      <c r="E93" s="155">
        <v>184.72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7">
        <f t="shared" si="26"/>
        <v>0</v>
      </c>
      <c r="S93" s="158">
        <f t="shared" si="27"/>
        <v>0</v>
      </c>
      <c r="T93" s="158">
        <f t="shared" si="27"/>
        <v>0</v>
      </c>
      <c r="U93" s="158">
        <f t="shared" si="27"/>
        <v>0</v>
      </c>
      <c r="V93" s="158">
        <f t="shared" si="27"/>
        <v>0</v>
      </c>
      <c r="W93" s="158">
        <f t="shared" si="27"/>
        <v>0</v>
      </c>
      <c r="X93" s="158">
        <f t="shared" si="28"/>
        <v>0</v>
      </c>
      <c r="Y93" s="158">
        <f t="shared" si="28"/>
        <v>0</v>
      </c>
      <c r="Z93" s="158">
        <f t="shared" si="28"/>
        <v>0</v>
      </c>
      <c r="AA93" s="158">
        <f t="shared" si="28"/>
        <v>0</v>
      </c>
      <c r="AB93" s="158">
        <f t="shared" si="28"/>
        <v>0</v>
      </c>
      <c r="AC93" s="158">
        <f t="shared" si="28"/>
        <v>0</v>
      </c>
      <c r="AD93" s="158">
        <f t="shared" si="28"/>
        <v>0</v>
      </c>
      <c r="AE93" s="157">
        <f t="shared" si="29"/>
        <v>0</v>
      </c>
    </row>
    <row r="94" spans="1:31" outlineLevel="2">
      <c r="A94" s="135" t="str">
        <f t="shared" si="25"/>
        <v>MurreysCOMMERCIALF1YDEX</v>
      </c>
      <c r="B94" s="116" t="s">
        <v>433</v>
      </c>
      <c r="C94" s="116" t="s">
        <v>204</v>
      </c>
      <c r="D94" s="155">
        <v>23.06</v>
      </c>
      <c r="E94" s="155">
        <v>23.34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7">
        <f t="shared" si="26"/>
        <v>0</v>
      </c>
      <c r="S94" s="158">
        <f t="shared" si="27"/>
        <v>0</v>
      </c>
      <c r="T94" s="158">
        <f t="shared" si="27"/>
        <v>0</v>
      </c>
      <c r="U94" s="158">
        <f t="shared" si="27"/>
        <v>0</v>
      </c>
      <c r="V94" s="158">
        <f t="shared" si="27"/>
        <v>0</v>
      </c>
      <c r="W94" s="158">
        <f t="shared" si="27"/>
        <v>0</v>
      </c>
      <c r="X94" s="158">
        <f t="shared" si="28"/>
        <v>0</v>
      </c>
      <c r="Y94" s="158">
        <f t="shared" si="28"/>
        <v>0</v>
      </c>
      <c r="Z94" s="158">
        <f t="shared" si="28"/>
        <v>0</v>
      </c>
      <c r="AA94" s="158">
        <f t="shared" si="28"/>
        <v>0</v>
      </c>
      <c r="AB94" s="158">
        <f t="shared" si="28"/>
        <v>0</v>
      </c>
      <c r="AC94" s="158">
        <f t="shared" si="28"/>
        <v>0</v>
      </c>
      <c r="AD94" s="158">
        <f t="shared" si="28"/>
        <v>0</v>
      </c>
      <c r="AE94" s="157">
        <f t="shared" si="29"/>
        <v>0</v>
      </c>
    </row>
    <row r="95" spans="1:31" outlineLevel="2">
      <c r="A95" s="135" t="str">
        <f t="shared" si="25"/>
        <v>MurreysCOMMERCIALF2YD1W</v>
      </c>
      <c r="B95" s="116" t="s">
        <v>434</v>
      </c>
      <c r="C95" s="116" t="s">
        <v>85</v>
      </c>
      <c r="D95" s="155">
        <v>156.96</v>
      </c>
      <c r="E95" s="155">
        <v>159.16999999999999</v>
      </c>
      <c r="F95" s="156">
        <v>4237.92</v>
      </c>
      <c r="G95" s="156">
        <v>4237.92</v>
      </c>
      <c r="H95" s="156">
        <v>4237.92</v>
      </c>
      <c r="I95" s="156">
        <v>4237.92</v>
      </c>
      <c r="J95" s="156">
        <v>4041.72</v>
      </c>
      <c r="K95" s="156">
        <v>3979.25</v>
      </c>
      <c r="L95" s="156">
        <v>3820.08</v>
      </c>
      <c r="M95" s="156">
        <v>3820.08</v>
      </c>
      <c r="N95" s="156">
        <v>3820.08</v>
      </c>
      <c r="O95" s="156">
        <v>3820.08</v>
      </c>
      <c r="P95" s="156">
        <v>3820.08</v>
      </c>
      <c r="Q95" s="156">
        <v>3820.08</v>
      </c>
      <c r="R95" s="157">
        <f t="shared" si="26"/>
        <v>47893.130000000012</v>
      </c>
      <c r="S95" s="158">
        <f t="shared" si="27"/>
        <v>27</v>
      </c>
      <c r="T95" s="158">
        <f t="shared" si="27"/>
        <v>27</v>
      </c>
      <c r="U95" s="158">
        <f t="shared" si="27"/>
        <v>27</v>
      </c>
      <c r="V95" s="158">
        <f t="shared" si="27"/>
        <v>27</v>
      </c>
      <c r="W95" s="158">
        <f t="shared" si="27"/>
        <v>25.749999999999996</v>
      </c>
      <c r="X95" s="158">
        <f t="shared" si="28"/>
        <v>25.000000000000004</v>
      </c>
      <c r="Y95" s="158">
        <f t="shared" si="28"/>
        <v>24</v>
      </c>
      <c r="Z95" s="158">
        <f t="shared" si="28"/>
        <v>24</v>
      </c>
      <c r="AA95" s="158">
        <f t="shared" si="28"/>
        <v>24</v>
      </c>
      <c r="AB95" s="158">
        <f t="shared" si="28"/>
        <v>24</v>
      </c>
      <c r="AC95" s="158">
        <f t="shared" si="28"/>
        <v>24</v>
      </c>
      <c r="AD95" s="158">
        <f t="shared" si="28"/>
        <v>24</v>
      </c>
      <c r="AE95" s="157">
        <f t="shared" si="29"/>
        <v>302.75</v>
      </c>
    </row>
    <row r="96" spans="1:31" outlineLevel="2">
      <c r="A96" s="135" t="str">
        <f t="shared" si="25"/>
        <v>MurreysCOMMERCIALF2YD2W</v>
      </c>
      <c r="B96" s="116" t="s">
        <v>435</v>
      </c>
      <c r="C96" s="116" t="s">
        <v>86</v>
      </c>
      <c r="D96" s="155">
        <v>313.93</v>
      </c>
      <c r="E96" s="155">
        <v>318.33999999999997</v>
      </c>
      <c r="F96" s="156">
        <v>627.86</v>
      </c>
      <c r="G96" s="156">
        <v>824.06999999999994</v>
      </c>
      <c r="H96" s="156">
        <v>941.79</v>
      </c>
      <c r="I96" s="156">
        <v>941.79</v>
      </c>
      <c r="J96" s="156">
        <v>941.79</v>
      </c>
      <c r="K96" s="156">
        <v>1074.4000000000001</v>
      </c>
      <c r="L96" s="156">
        <v>1273.3599999999999</v>
      </c>
      <c r="M96" s="156">
        <v>1273.3599999999999</v>
      </c>
      <c r="N96" s="156">
        <v>1273.3599999999999</v>
      </c>
      <c r="O96" s="156">
        <v>1273.3599999999999</v>
      </c>
      <c r="P96" s="156">
        <v>1273.3599999999999</v>
      </c>
      <c r="Q96" s="156">
        <v>1273.3599999999999</v>
      </c>
      <c r="R96" s="157">
        <f t="shared" si="26"/>
        <v>12991.86</v>
      </c>
      <c r="S96" s="158">
        <f t="shared" si="27"/>
        <v>2</v>
      </c>
      <c r="T96" s="158">
        <f t="shared" si="27"/>
        <v>2.6250119453381324</v>
      </c>
      <c r="U96" s="158">
        <f t="shared" si="27"/>
        <v>3</v>
      </c>
      <c r="V96" s="158">
        <f t="shared" si="27"/>
        <v>3</v>
      </c>
      <c r="W96" s="158">
        <f t="shared" si="27"/>
        <v>3</v>
      </c>
      <c r="X96" s="158">
        <f t="shared" si="28"/>
        <v>3.3750078532386762</v>
      </c>
      <c r="Y96" s="158">
        <f t="shared" si="28"/>
        <v>4</v>
      </c>
      <c r="Z96" s="158">
        <f t="shared" si="28"/>
        <v>4</v>
      </c>
      <c r="AA96" s="158">
        <f t="shared" si="28"/>
        <v>4</v>
      </c>
      <c r="AB96" s="158">
        <f t="shared" si="28"/>
        <v>4</v>
      </c>
      <c r="AC96" s="158">
        <f t="shared" si="28"/>
        <v>4</v>
      </c>
      <c r="AD96" s="158">
        <f t="shared" si="28"/>
        <v>4</v>
      </c>
      <c r="AE96" s="157">
        <f t="shared" si="29"/>
        <v>41.000019798576808</v>
      </c>
    </row>
    <row r="97" spans="1:31" outlineLevel="2">
      <c r="A97" s="135" t="str">
        <f t="shared" si="25"/>
        <v>MurreysCOMMERCIALF2YD3W</v>
      </c>
      <c r="B97" s="116" t="s">
        <v>436</v>
      </c>
      <c r="C97" s="116" t="s">
        <v>122</v>
      </c>
      <c r="D97" s="155">
        <v>470.89000000000004</v>
      </c>
      <c r="E97" s="155">
        <v>477.51</v>
      </c>
      <c r="F97" s="156">
        <v>941.78</v>
      </c>
      <c r="G97" s="156">
        <v>941.78</v>
      </c>
      <c r="H97" s="156">
        <v>941.78</v>
      </c>
      <c r="I97" s="156">
        <v>941.78</v>
      </c>
      <c r="J97" s="156">
        <v>941.78</v>
      </c>
      <c r="K97" s="156">
        <v>955.02</v>
      </c>
      <c r="L97" s="156">
        <v>955.02</v>
      </c>
      <c r="M97" s="156">
        <v>955.02</v>
      </c>
      <c r="N97" s="156">
        <v>955.02</v>
      </c>
      <c r="O97" s="156">
        <v>955.02</v>
      </c>
      <c r="P97" s="156">
        <v>955.02</v>
      </c>
      <c r="Q97" s="156">
        <v>955.02</v>
      </c>
      <c r="R97" s="157">
        <f t="shared" si="26"/>
        <v>11394.040000000003</v>
      </c>
      <c r="S97" s="158">
        <f t="shared" si="27"/>
        <v>1.9999999999999998</v>
      </c>
      <c r="T97" s="158">
        <f t="shared" si="27"/>
        <v>1.9999999999999998</v>
      </c>
      <c r="U97" s="158">
        <f t="shared" si="27"/>
        <v>1.9999999999999998</v>
      </c>
      <c r="V97" s="158">
        <f t="shared" si="27"/>
        <v>1.9999999999999998</v>
      </c>
      <c r="W97" s="158">
        <f t="shared" si="27"/>
        <v>1.9999999999999998</v>
      </c>
      <c r="X97" s="158">
        <f t="shared" si="28"/>
        <v>2</v>
      </c>
      <c r="Y97" s="158">
        <f t="shared" si="28"/>
        <v>2</v>
      </c>
      <c r="Z97" s="158">
        <f t="shared" si="28"/>
        <v>2</v>
      </c>
      <c r="AA97" s="158">
        <f t="shared" si="28"/>
        <v>2</v>
      </c>
      <c r="AB97" s="158">
        <f t="shared" si="28"/>
        <v>2</v>
      </c>
      <c r="AC97" s="158">
        <f t="shared" si="28"/>
        <v>2</v>
      </c>
      <c r="AD97" s="158">
        <f t="shared" si="28"/>
        <v>2</v>
      </c>
      <c r="AE97" s="157">
        <f t="shared" si="29"/>
        <v>24</v>
      </c>
    </row>
    <row r="98" spans="1:31" outlineLevel="2">
      <c r="A98" s="135" t="str">
        <f t="shared" si="25"/>
        <v>MurreysCOMMERCIALF2YDEX</v>
      </c>
      <c r="B98" s="116" t="s">
        <v>437</v>
      </c>
      <c r="C98" s="116" t="s">
        <v>205</v>
      </c>
      <c r="D98" s="155">
        <v>38.26</v>
      </c>
      <c r="E98" s="155">
        <v>38.770000000000003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7">
        <f t="shared" si="26"/>
        <v>0</v>
      </c>
      <c r="S98" s="158">
        <f t="shared" si="27"/>
        <v>0</v>
      </c>
      <c r="T98" s="158">
        <f t="shared" si="27"/>
        <v>0</v>
      </c>
      <c r="U98" s="158">
        <f t="shared" si="27"/>
        <v>0</v>
      </c>
      <c r="V98" s="158">
        <f t="shared" si="27"/>
        <v>0</v>
      </c>
      <c r="W98" s="158">
        <f t="shared" si="27"/>
        <v>0</v>
      </c>
      <c r="X98" s="158">
        <f t="shared" si="28"/>
        <v>0</v>
      </c>
      <c r="Y98" s="158">
        <f t="shared" si="28"/>
        <v>0</v>
      </c>
      <c r="Z98" s="158">
        <f t="shared" si="28"/>
        <v>0</v>
      </c>
      <c r="AA98" s="158">
        <f t="shared" si="28"/>
        <v>0</v>
      </c>
      <c r="AB98" s="158">
        <f t="shared" si="28"/>
        <v>0</v>
      </c>
      <c r="AC98" s="158">
        <f t="shared" si="28"/>
        <v>0</v>
      </c>
      <c r="AD98" s="158">
        <f t="shared" si="28"/>
        <v>0</v>
      </c>
      <c r="AE98" s="157">
        <f t="shared" si="29"/>
        <v>0</v>
      </c>
    </row>
    <row r="99" spans="1:31" outlineLevel="2">
      <c r="A99" s="135" t="str">
        <f t="shared" si="25"/>
        <v>MurreysCOMMERCIALF4YD1W</v>
      </c>
      <c r="B99" s="116" t="s">
        <v>438</v>
      </c>
      <c r="C99" s="116" t="s">
        <v>123</v>
      </c>
      <c r="D99" s="155">
        <v>294.79000000000002</v>
      </c>
      <c r="E99" s="155">
        <v>298.99</v>
      </c>
      <c r="F99" s="156">
        <v>40828.43</v>
      </c>
      <c r="G99" s="156">
        <v>40717.880000000005</v>
      </c>
      <c r="H99" s="156">
        <v>40386.239999999998</v>
      </c>
      <c r="I99" s="156">
        <v>41860.18</v>
      </c>
      <c r="J99" s="156">
        <v>40533.620000000003</v>
      </c>
      <c r="K99" s="156">
        <v>42974.58</v>
      </c>
      <c r="L99" s="156">
        <v>42905.07</v>
      </c>
      <c r="M99" s="156">
        <v>42830.32</v>
      </c>
      <c r="N99" s="156">
        <v>42008.109999999993</v>
      </c>
      <c r="O99" s="156">
        <v>43577.82</v>
      </c>
      <c r="P99" s="156">
        <v>43054.57</v>
      </c>
      <c r="Q99" s="156">
        <v>43689.909999999996</v>
      </c>
      <c r="R99" s="157">
        <f t="shared" si="26"/>
        <v>505366.73</v>
      </c>
      <c r="S99" s="158">
        <f t="shared" si="27"/>
        <v>138.5000508836799</v>
      </c>
      <c r="T99" s="158">
        <f t="shared" si="27"/>
        <v>138.12503816275995</v>
      </c>
      <c r="U99" s="158">
        <f t="shared" si="27"/>
        <v>137.00003392245327</v>
      </c>
      <c r="V99" s="158">
        <f t="shared" si="27"/>
        <v>142</v>
      </c>
      <c r="W99" s="158">
        <f t="shared" si="27"/>
        <v>137.49998303877337</v>
      </c>
      <c r="X99" s="158">
        <f t="shared" si="28"/>
        <v>143.73249941469615</v>
      </c>
      <c r="Y99" s="158">
        <f t="shared" si="28"/>
        <v>143.50001672296733</v>
      </c>
      <c r="Z99" s="158">
        <f t="shared" si="28"/>
        <v>143.25000836148365</v>
      </c>
      <c r="AA99" s="158">
        <f t="shared" si="28"/>
        <v>140.50005016890194</v>
      </c>
      <c r="AB99" s="158">
        <f t="shared" si="28"/>
        <v>145.75009197632028</v>
      </c>
      <c r="AC99" s="158">
        <f t="shared" si="28"/>
        <v>144.00003344593463</v>
      </c>
      <c r="AD99" s="158">
        <f t="shared" si="28"/>
        <v>146.12498745777449</v>
      </c>
      <c r="AE99" s="157">
        <f t="shared" si="29"/>
        <v>1699.9827935557448</v>
      </c>
    </row>
    <row r="100" spans="1:31" outlineLevel="2">
      <c r="A100" s="135" t="str">
        <f t="shared" si="25"/>
        <v>MurreysCOMMERCIALF4YD2W</v>
      </c>
      <c r="B100" s="116" t="s">
        <v>439</v>
      </c>
      <c r="C100" s="116" t="s">
        <v>124</v>
      </c>
      <c r="D100" s="155">
        <v>589.57000000000005</v>
      </c>
      <c r="E100" s="155">
        <v>597.97</v>
      </c>
      <c r="F100" s="156">
        <v>12970.54</v>
      </c>
      <c r="G100" s="156">
        <v>12528.36</v>
      </c>
      <c r="H100" s="156">
        <v>12380.970000000001</v>
      </c>
      <c r="I100" s="156">
        <v>12970.54</v>
      </c>
      <c r="J100" s="156">
        <v>12970.54</v>
      </c>
      <c r="K100" s="156">
        <v>13753.31</v>
      </c>
      <c r="L100" s="156">
        <v>13678.56</v>
      </c>
      <c r="M100" s="156">
        <v>13753.31</v>
      </c>
      <c r="N100" s="156">
        <v>14276.54</v>
      </c>
      <c r="O100" s="156">
        <v>12756.69</v>
      </c>
      <c r="P100" s="156">
        <v>14151.96</v>
      </c>
      <c r="Q100" s="156">
        <v>13753.310000000001</v>
      </c>
      <c r="R100" s="157">
        <f t="shared" si="26"/>
        <v>159944.63</v>
      </c>
      <c r="S100" s="158">
        <f t="shared" si="27"/>
        <v>22</v>
      </c>
      <c r="T100" s="158">
        <f t="shared" si="27"/>
        <v>21.249995759621417</v>
      </c>
      <c r="U100" s="158">
        <f t="shared" si="27"/>
        <v>21</v>
      </c>
      <c r="V100" s="158">
        <f t="shared" si="27"/>
        <v>22</v>
      </c>
      <c r="W100" s="158">
        <f t="shared" si="27"/>
        <v>22</v>
      </c>
      <c r="X100" s="158">
        <f t="shared" si="28"/>
        <v>22.999999999999996</v>
      </c>
      <c r="Y100" s="158">
        <f t="shared" si="28"/>
        <v>22.874993728782378</v>
      </c>
      <c r="Z100" s="158">
        <f t="shared" si="28"/>
        <v>22.999999999999996</v>
      </c>
      <c r="AA100" s="158">
        <f t="shared" si="28"/>
        <v>23.875010452029365</v>
      </c>
      <c r="AB100" s="158">
        <f t="shared" si="28"/>
        <v>21.333327758917672</v>
      </c>
      <c r="AC100" s="158">
        <f t="shared" si="28"/>
        <v>23.666672241082328</v>
      </c>
      <c r="AD100" s="158">
        <f t="shared" si="28"/>
        <v>23</v>
      </c>
      <c r="AE100" s="157">
        <f t="shared" si="29"/>
        <v>268.99999994043316</v>
      </c>
    </row>
    <row r="101" spans="1:31" outlineLevel="2">
      <c r="A101" s="135" t="str">
        <f t="shared" si="25"/>
        <v>MurreysCOMMERCIALF4YD3W</v>
      </c>
      <c r="B101" s="116" t="s">
        <v>440</v>
      </c>
      <c r="C101" s="116" t="s">
        <v>125</v>
      </c>
      <c r="D101" s="155">
        <v>884.36</v>
      </c>
      <c r="E101" s="155">
        <v>896.96</v>
      </c>
      <c r="F101" s="156">
        <v>4421.8</v>
      </c>
      <c r="G101" s="156">
        <v>2653.08</v>
      </c>
      <c r="H101" s="156">
        <v>3537.44</v>
      </c>
      <c r="I101" s="156">
        <v>3537.44</v>
      </c>
      <c r="J101" s="156">
        <v>3537.44</v>
      </c>
      <c r="K101" s="156">
        <v>3587.84</v>
      </c>
      <c r="L101" s="156">
        <v>3587.84</v>
      </c>
      <c r="M101" s="156">
        <v>3587.84</v>
      </c>
      <c r="N101" s="156">
        <v>4260.5600000000004</v>
      </c>
      <c r="O101" s="156">
        <v>4484.8</v>
      </c>
      <c r="P101" s="156">
        <v>4484.8</v>
      </c>
      <c r="Q101" s="156">
        <v>4484.8</v>
      </c>
      <c r="R101" s="157">
        <f t="shared" si="26"/>
        <v>46165.680000000008</v>
      </c>
      <c r="S101" s="158">
        <f t="shared" si="27"/>
        <v>5</v>
      </c>
      <c r="T101" s="158">
        <f t="shared" si="27"/>
        <v>3</v>
      </c>
      <c r="U101" s="158">
        <f t="shared" si="27"/>
        <v>4</v>
      </c>
      <c r="V101" s="158">
        <f t="shared" si="27"/>
        <v>4</v>
      </c>
      <c r="W101" s="158">
        <f t="shared" si="27"/>
        <v>4</v>
      </c>
      <c r="X101" s="158">
        <f t="shared" si="28"/>
        <v>4</v>
      </c>
      <c r="Y101" s="158">
        <f t="shared" si="28"/>
        <v>4</v>
      </c>
      <c r="Z101" s="158">
        <f t="shared" si="28"/>
        <v>4</v>
      </c>
      <c r="AA101" s="158">
        <f t="shared" si="28"/>
        <v>4.75</v>
      </c>
      <c r="AB101" s="158">
        <f t="shared" si="28"/>
        <v>5</v>
      </c>
      <c r="AC101" s="158">
        <f t="shared" si="28"/>
        <v>5</v>
      </c>
      <c r="AD101" s="158">
        <f t="shared" si="28"/>
        <v>5</v>
      </c>
      <c r="AE101" s="157">
        <f t="shared" si="29"/>
        <v>51.75</v>
      </c>
    </row>
    <row r="102" spans="1:31" outlineLevel="2">
      <c r="A102" s="135" t="str">
        <f t="shared" si="25"/>
        <v>MurreysCOMMERCIALF4YD4W</v>
      </c>
      <c r="B102" s="116" t="s">
        <v>441</v>
      </c>
      <c r="C102" s="116" t="s">
        <v>206</v>
      </c>
      <c r="D102" s="155">
        <v>1179.1500000000001</v>
      </c>
      <c r="E102" s="155">
        <v>1195.95</v>
      </c>
      <c r="F102" s="156">
        <v>1179.1500000000001</v>
      </c>
      <c r="G102" s="156">
        <v>1179.1500000000001</v>
      </c>
      <c r="H102" s="156">
        <v>1179.1500000000001</v>
      </c>
      <c r="I102" s="156">
        <v>1179.1500000000001</v>
      </c>
      <c r="J102" s="156">
        <v>1179.1500000000001</v>
      </c>
      <c r="K102" s="156">
        <v>1195.95</v>
      </c>
      <c r="L102" s="156">
        <v>1195.95</v>
      </c>
      <c r="M102" s="156">
        <v>1195.95</v>
      </c>
      <c r="N102" s="156">
        <v>1195.95</v>
      </c>
      <c r="O102" s="156">
        <v>1195.95</v>
      </c>
      <c r="P102" s="156">
        <v>1195.95</v>
      </c>
      <c r="Q102" s="156">
        <v>1195.95</v>
      </c>
      <c r="R102" s="157">
        <f t="shared" si="26"/>
        <v>14267.400000000003</v>
      </c>
      <c r="S102" s="158">
        <f t="shared" si="27"/>
        <v>1</v>
      </c>
      <c r="T102" s="158">
        <f t="shared" si="27"/>
        <v>1</v>
      </c>
      <c r="U102" s="158">
        <f t="shared" si="27"/>
        <v>1</v>
      </c>
      <c r="V102" s="158">
        <f t="shared" si="27"/>
        <v>1</v>
      </c>
      <c r="W102" s="158">
        <f t="shared" si="27"/>
        <v>1</v>
      </c>
      <c r="X102" s="158">
        <f t="shared" si="28"/>
        <v>1</v>
      </c>
      <c r="Y102" s="158">
        <f t="shared" si="28"/>
        <v>1</v>
      </c>
      <c r="Z102" s="158">
        <f t="shared" si="28"/>
        <v>1</v>
      </c>
      <c r="AA102" s="158">
        <f t="shared" si="28"/>
        <v>1</v>
      </c>
      <c r="AB102" s="158">
        <f t="shared" si="28"/>
        <v>1</v>
      </c>
      <c r="AC102" s="158">
        <f t="shared" si="28"/>
        <v>1</v>
      </c>
      <c r="AD102" s="158">
        <f t="shared" si="28"/>
        <v>1</v>
      </c>
      <c r="AE102" s="157">
        <f t="shared" si="29"/>
        <v>12</v>
      </c>
    </row>
    <row r="103" spans="1:31" outlineLevel="2">
      <c r="A103" s="135" t="str">
        <f t="shared" si="25"/>
        <v>MurreysCOMMERCIALF4YDEX</v>
      </c>
      <c r="B103" s="116" t="s">
        <v>442</v>
      </c>
      <c r="C103" s="116" t="s">
        <v>207</v>
      </c>
      <c r="D103" s="155">
        <v>70.09</v>
      </c>
      <c r="E103" s="155">
        <v>71.06</v>
      </c>
      <c r="F103" s="156">
        <v>420.54</v>
      </c>
      <c r="G103" s="156">
        <v>70.09</v>
      </c>
      <c r="H103" s="156">
        <v>140.18</v>
      </c>
      <c r="I103" s="156">
        <v>490.63</v>
      </c>
      <c r="J103" s="156">
        <v>490.63</v>
      </c>
      <c r="K103" s="156">
        <v>426.36</v>
      </c>
      <c r="L103" s="156">
        <v>426.36</v>
      </c>
      <c r="M103" s="156">
        <v>512.57999999999993</v>
      </c>
      <c r="N103" s="156">
        <v>507.42</v>
      </c>
      <c r="O103" s="156">
        <v>781.66000000000008</v>
      </c>
      <c r="P103" s="156">
        <v>142.12</v>
      </c>
      <c r="Q103" s="156">
        <v>284.24</v>
      </c>
      <c r="R103" s="157">
        <f t="shared" si="26"/>
        <v>4692.8100000000004</v>
      </c>
      <c r="S103" s="158">
        <f t="shared" ref="S103:W153" si="30">+IFERROR(F103/$D103,0)</f>
        <v>6</v>
      </c>
      <c r="T103" s="158">
        <f t="shared" si="30"/>
        <v>1</v>
      </c>
      <c r="U103" s="158">
        <f t="shared" si="30"/>
        <v>2</v>
      </c>
      <c r="V103" s="158">
        <f t="shared" si="30"/>
        <v>7</v>
      </c>
      <c r="W103" s="158">
        <f t="shared" si="30"/>
        <v>7</v>
      </c>
      <c r="X103" s="158">
        <f t="shared" ref="X103:AD139" si="31">+IFERROR(K103/$E103,0)</f>
        <v>6</v>
      </c>
      <c r="Y103" s="158">
        <f t="shared" si="31"/>
        <v>6</v>
      </c>
      <c r="Z103" s="158">
        <f t="shared" si="31"/>
        <v>7.2133408387278344</v>
      </c>
      <c r="AA103" s="158">
        <f t="shared" si="31"/>
        <v>7.1407261469180972</v>
      </c>
      <c r="AB103" s="158">
        <f t="shared" si="31"/>
        <v>11</v>
      </c>
      <c r="AC103" s="158">
        <f t="shared" si="31"/>
        <v>2</v>
      </c>
      <c r="AD103" s="158">
        <f t="shared" si="31"/>
        <v>4</v>
      </c>
      <c r="AE103" s="157">
        <f t="shared" si="29"/>
        <v>66.354066985645929</v>
      </c>
    </row>
    <row r="104" spans="1:31" outlineLevel="2">
      <c r="A104" s="135" t="str">
        <f t="shared" si="25"/>
        <v>MurreysCOMMERCIALF6YD1W</v>
      </c>
      <c r="B104" s="116" t="s">
        <v>443</v>
      </c>
      <c r="C104" s="116" t="s">
        <v>126</v>
      </c>
      <c r="D104" s="155">
        <v>407.5</v>
      </c>
      <c r="E104" s="155">
        <v>413.26</v>
      </c>
      <c r="F104" s="156">
        <v>41870.639999999999</v>
      </c>
      <c r="G104" s="156">
        <v>43398.75</v>
      </c>
      <c r="H104" s="156">
        <v>43296.890000000007</v>
      </c>
      <c r="I104" s="156">
        <v>43806.25</v>
      </c>
      <c r="J104" s="156">
        <v>44060.94</v>
      </c>
      <c r="K104" s="156">
        <v>44838.720000000001</v>
      </c>
      <c r="L104" s="156">
        <v>43702.25</v>
      </c>
      <c r="M104" s="156">
        <v>43598.95</v>
      </c>
      <c r="N104" s="156">
        <v>42669.100000000006</v>
      </c>
      <c r="O104" s="156">
        <v>43185.68</v>
      </c>
      <c r="P104" s="156">
        <v>44012.229999999996</v>
      </c>
      <c r="Q104" s="156">
        <v>44115.509999999995</v>
      </c>
      <c r="R104" s="157">
        <f t="shared" si="26"/>
        <v>522555.91</v>
      </c>
      <c r="S104" s="158">
        <f t="shared" si="30"/>
        <v>102.75003680981595</v>
      </c>
      <c r="T104" s="158">
        <f t="shared" si="30"/>
        <v>106.5</v>
      </c>
      <c r="U104" s="158">
        <f t="shared" si="30"/>
        <v>106.25003680981597</v>
      </c>
      <c r="V104" s="158">
        <f t="shared" si="30"/>
        <v>107.5</v>
      </c>
      <c r="W104" s="158">
        <f t="shared" si="30"/>
        <v>108.12500613496933</v>
      </c>
      <c r="X104" s="158">
        <f t="shared" si="31"/>
        <v>108.50002419784155</v>
      </c>
      <c r="Y104" s="158">
        <f t="shared" si="31"/>
        <v>105.75001209892078</v>
      </c>
      <c r="Z104" s="158">
        <f t="shared" si="31"/>
        <v>105.50004839568309</v>
      </c>
      <c r="AA104" s="158">
        <f t="shared" si="31"/>
        <v>103.25001209892079</v>
      </c>
      <c r="AB104" s="158">
        <f t="shared" si="31"/>
        <v>104.50002419784155</v>
      </c>
      <c r="AC104" s="158">
        <f t="shared" si="31"/>
        <v>106.5000967913662</v>
      </c>
      <c r="AD104" s="158">
        <f t="shared" si="31"/>
        <v>106.75001209892076</v>
      </c>
      <c r="AE104" s="157">
        <f t="shared" si="29"/>
        <v>1271.8753096340959</v>
      </c>
    </row>
    <row r="105" spans="1:31" outlineLevel="2">
      <c r="A105" s="135" t="str">
        <f t="shared" si="25"/>
        <v>MurreysCOMMERCIALF6YD2W</v>
      </c>
      <c r="B105" s="116" t="s">
        <v>444</v>
      </c>
      <c r="C105" s="116" t="s">
        <v>127</v>
      </c>
      <c r="D105" s="155">
        <v>814.99000000000012</v>
      </c>
      <c r="E105" s="155">
        <v>826.51</v>
      </c>
      <c r="F105" s="156">
        <v>50733.130000000005</v>
      </c>
      <c r="G105" s="156">
        <v>49714.39</v>
      </c>
      <c r="H105" s="156">
        <v>49118.68</v>
      </c>
      <c r="I105" s="156">
        <v>49001.279999999999</v>
      </c>
      <c r="J105" s="156">
        <v>48899.4</v>
      </c>
      <c r="K105" s="156">
        <v>47953.33</v>
      </c>
      <c r="L105" s="156">
        <v>49590.6</v>
      </c>
      <c r="M105" s="156">
        <v>50313.799999999996</v>
      </c>
      <c r="N105" s="156">
        <v>50830.369999999995</v>
      </c>
      <c r="O105" s="156">
        <v>45745.06</v>
      </c>
      <c r="P105" s="156">
        <v>46594.53</v>
      </c>
      <c r="Q105" s="156">
        <v>50933.68</v>
      </c>
      <c r="R105" s="157">
        <f t="shared" si="26"/>
        <v>589428.25</v>
      </c>
      <c r="S105" s="158">
        <f t="shared" si="30"/>
        <v>62.2500030675223</v>
      </c>
      <c r="T105" s="158">
        <f t="shared" si="30"/>
        <v>60.999999999999993</v>
      </c>
      <c r="U105" s="158">
        <f t="shared" si="30"/>
        <v>60.269058516055402</v>
      </c>
      <c r="V105" s="158">
        <f t="shared" si="30"/>
        <v>60.125007668805743</v>
      </c>
      <c r="W105" s="158">
        <f t="shared" si="30"/>
        <v>59.999999999999993</v>
      </c>
      <c r="X105" s="158">
        <f t="shared" si="31"/>
        <v>58.019056030780028</v>
      </c>
      <c r="Y105" s="158">
        <f t="shared" si="31"/>
        <v>60</v>
      </c>
      <c r="Z105" s="158">
        <f t="shared" si="31"/>
        <v>60.875004537150183</v>
      </c>
      <c r="AA105" s="158">
        <f t="shared" si="31"/>
        <v>61.500006049533575</v>
      </c>
      <c r="AB105" s="158">
        <f t="shared" si="31"/>
        <v>55.347255326614317</v>
      </c>
      <c r="AC105" s="158">
        <f t="shared" si="31"/>
        <v>56.375034784818091</v>
      </c>
      <c r="AD105" s="158">
        <f t="shared" si="31"/>
        <v>61.625001512383399</v>
      </c>
      <c r="AE105" s="157">
        <f t="shared" si="29"/>
        <v>717.38542749366309</v>
      </c>
    </row>
    <row r="106" spans="1:31" outlineLevel="2">
      <c r="A106" s="135" t="str">
        <f t="shared" si="25"/>
        <v>MurreysCOMMERCIALF6YD3W</v>
      </c>
      <c r="B106" s="116" t="s">
        <v>445</v>
      </c>
      <c r="C106" s="116" t="s">
        <v>128</v>
      </c>
      <c r="D106" s="155">
        <v>1222.49</v>
      </c>
      <c r="E106" s="155">
        <v>1239.77</v>
      </c>
      <c r="F106" s="156">
        <v>18337.349999999999</v>
      </c>
      <c r="G106" s="156">
        <v>18337.349999999999</v>
      </c>
      <c r="H106" s="156">
        <v>18031.73</v>
      </c>
      <c r="I106" s="156">
        <v>17114.86</v>
      </c>
      <c r="J106" s="156">
        <v>17114.86</v>
      </c>
      <c r="K106" s="156">
        <v>17356.78</v>
      </c>
      <c r="L106" s="156">
        <v>17356.78</v>
      </c>
      <c r="M106" s="156">
        <v>17356.78</v>
      </c>
      <c r="N106" s="156">
        <v>19733.010000000002</v>
      </c>
      <c r="O106" s="156">
        <v>19931.690000000002</v>
      </c>
      <c r="P106" s="156">
        <v>22005.919999999998</v>
      </c>
      <c r="Q106" s="156">
        <v>22315.86</v>
      </c>
      <c r="R106" s="157">
        <f t="shared" si="26"/>
        <v>224992.96999999997</v>
      </c>
      <c r="S106" s="158">
        <f t="shared" si="30"/>
        <v>14.999999999999998</v>
      </c>
      <c r="T106" s="158">
        <f t="shared" si="30"/>
        <v>14.999999999999998</v>
      </c>
      <c r="U106" s="158">
        <f t="shared" si="30"/>
        <v>14.750002045006502</v>
      </c>
      <c r="V106" s="158">
        <f t="shared" si="30"/>
        <v>14</v>
      </c>
      <c r="W106" s="158">
        <f t="shared" si="30"/>
        <v>14</v>
      </c>
      <c r="X106" s="158">
        <f t="shared" si="31"/>
        <v>14</v>
      </c>
      <c r="Y106" s="158">
        <f t="shared" si="31"/>
        <v>14</v>
      </c>
      <c r="Z106" s="158">
        <f t="shared" si="31"/>
        <v>14</v>
      </c>
      <c r="AA106" s="158">
        <f t="shared" si="31"/>
        <v>15.916670027505104</v>
      </c>
      <c r="AB106" s="158">
        <f t="shared" si="31"/>
        <v>16.076925558772999</v>
      </c>
      <c r="AC106" s="158">
        <f t="shared" si="31"/>
        <v>17.750002016503061</v>
      </c>
      <c r="AD106" s="158">
        <f t="shared" si="31"/>
        <v>18</v>
      </c>
      <c r="AE106" s="157">
        <f t="shared" si="29"/>
        <v>182.49359964778768</v>
      </c>
    </row>
    <row r="107" spans="1:31" outlineLevel="2">
      <c r="A107" s="135" t="str">
        <f t="shared" si="25"/>
        <v>MurreysCOMMERCIALF6YD4W</v>
      </c>
      <c r="B107" s="116" t="s">
        <v>446</v>
      </c>
      <c r="C107" s="116" t="s">
        <v>129</v>
      </c>
      <c r="D107" s="155">
        <v>1629.99</v>
      </c>
      <c r="E107" s="155">
        <v>1653.02</v>
      </c>
      <c r="F107" s="156">
        <v>4889.97</v>
      </c>
      <c r="G107" s="156">
        <v>4889.97</v>
      </c>
      <c r="H107" s="156">
        <v>4889.97</v>
      </c>
      <c r="I107" s="156">
        <v>4889.97</v>
      </c>
      <c r="J107" s="156">
        <v>4889.97</v>
      </c>
      <c r="K107" s="156">
        <v>4959.0600000000004</v>
      </c>
      <c r="L107" s="156">
        <v>4959.0600000000004</v>
      </c>
      <c r="M107" s="156">
        <v>4959.0600000000004</v>
      </c>
      <c r="N107" s="156">
        <v>2479.5300000000002</v>
      </c>
      <c r="O107" s="156">
        <v>3306.04</v>
      </c>
      <c r="P107" s="156">
        <v>3306.04</v>
      </c>
      <c r="Q107" s="156">
        <v>3306.04</v>
      </c>
      <c r="R107" s="157">
        <f t="shared" si="26"/>
        <v>51724.68</v>
      </c>
      <c r="S107" s="158">
        <f t="shared" si="30"/>
        <v>3</v>
      </c>
      <c r="T107" s="158">
        <f t="shared" si="30"/>
        <v>3</v>
      </c>
      <c r="U107" s="158">
        <f t="shared" si="30"/>
        <v>3</v>
      </c>
      <c r="V107" s="158">
        <f t="shared" si="30"/>
        <v>3</v>
      </c>
      <c r="W107" s="158">
        <f t="shared" si="30"/>
        <v>3</v>
      </c>
      <c r="X107" s="158">
        <f t="shared" si="31"/>
        <v>3.0000000000000004</v>
      </c>
      <c r="Y107" s="158">
        <f t="shared" si="31"/>
        <v>3.0000000000000004</v>
      </c>
      <c r="Z107" s="158">
        <f t="shared" si="31"/>
        <v>3.0000000000000004</v>
      </c>
      <c r="AA107" s="158">
        <f t="shared" si="31"/>
        <v>1.5000000000000002</v>
      </c>
      <c r="AB107" s="158">
        <f t="shared" si="31"/>
        <v>2</v>
      </c>
      <c r="AC107" s="158">
        <f t="shared" si="31"/>
        <v>2</v>
      </c>
      <c r="AD107" s="158">
        <f t="shared" si="31"/>
        <v>2</v>
      </c>
      <c r="AE107" s="157">
        <f t="shared" si="29"/>
        <v>31.5</v>
      </c>
    </row>
    <row r="108" spans="1:31" outlineLevel="2">
      <c r="A108" s="135" t="str">
        <f t="shared" si="25"/>
        <v>MurreysCOMMERCIALF6YD5W</v>
      </c>
      <c r="B108" s="116" t="s">
        <v>447</v>
      </c>
      <c r="C108" s="116" t="s">
        <v>130</v>
      </c>
      <c r="D108" s="155">
        <v>2037.4800000000002</v>
      </c>
      <c r="E108" s="155">
        <v>2066.2800000000002</v>
      </c>
      <c r="F108" s="156">
        <v>8149.92</v>
      </c>
      <c r="G108" s="156">
        <v>8149.92</v>
      </c>
      <c r="H108" s="156">
        <v>8149.92</v>
      </c>
      <c r="I108" s="156">
        <v>7844.3</v>
      </c>
      <c r="J108" s="156">
        <v>8149.92</v>
      </c>
      <c r="K108" s="156">
        <v>8265.1200000000008</v>
      </c>
      <c r="L108" s="156">
        <v>8265.1200000000008</v>
      </c>
      <c r="M108" s="156">
        <v>8265.1200000000008</v>
      </c>
      <c r="N108" s="156">
        <v>8265.1200000000008</v>
      </c>
      <c r="O108" s="156">
        <v>8265.1200000000008</v>
      </c>
      <c r="P108" s="156">
        <v>8265.1200000000008</v>
      </c>
      <c r="Q108" s="156">
        <v>8265.1200000000008</v>
      </c>
      <c r="R108" s="157">
        <f t="shared" si="26"/>
        <v>98299.819999999992</v>
      </c>
      <c r="S108" s="158">
        <f t="shared" si="30"/>
        <v>3.9999999999999996</v>
      </c>
      <c r="T108" s="158">
        <f t="shared" si="30"/>
        <v>3.9999999999999996</v>
      </c>
      <c r="U108" s="158">
        <f t="shared" si="30"/>
        <v>3.9999999999999996</v>
      </c>
      <c r="V108" s="158">
        <f t="shared" si="30"/>
        <v>3.8500009816047269</v>
      </c>
      <c r="W108" s="158">
        <f t="shared" si="30"/>
        <v>3.9999999999999996</v>
      </c>
      <c r="X108" s="158">
        <f t="shared" si="31"/>
        <v>4</v>
      </c>
      <c r="Y108" s="158">
        <f t="shared" si="31"/>
        <v>4</v>
      </c>
      <c r="Z108" s="158">
        <f t="shared" si="31"/>
        <v>4</v>
      </c>
      <c r="AA108" s="158">
        <f t="shared" si="31"/>
        <v>4</v>
      </c>
      <c r="AB108" s="158">
        <f t="shared" si="31"/>
        <v>4</v>
      </c>
      <c r="AC108" s="158">
        <f t="shared" si="31"/>
        <v>4</v>
      </c>
      <c r="AD108" s="158">
        <f t="shared" si="31"/>
        <v>4</v>
      </c>
      <c r="AE108" s="157">
        <f t="shared" si="29"/>
        <v>47.850000981604722</v>
      </c>
    </row>
    <row r="109" spans="1:31" outlineLevel="2">
      <c r="A109" s="135" t="str">
        <f t="shared" si="25"/>
        <v>MurreysCOMMERCIALF6YDEX</v>
      </c>
      <c r="B109" s="116" t="s">
        <v>448</v>
      </c>
      <c r="C109" s="116" t="s">
        <v>208</v>
      </c>
      <c r="D109" s="155">
        <v>96.13</v>
      </c>
      <c r="E109" s="155">
        <v>97.46</v>
      </c>
      <c r="F109" s="156">
        <v>1153.56</v>
      </c>
      <c r="G109" s="156">
        <v>576.78</v>
      </c>
      <c r="H109" s="156">
        <v>672.91</v>
      </c>
      <c r="I109" s="156">
        <v>672.91</v>
      </c>
      <c r="J109" s="156">
        <v>288.39</v>
      </c>
      <c r="K109" s="156">
        <v>1266.98</v>
      </c>
      <c r="L109" s="156">
        <v>1364.44</v>
      </c>
      <c r="M109" s="156">
        <v>1409.92</v>
      </c>
      <c r="N109" s="156">
        <v>1725.04</v>
      </c>
      <c r="O109" s="156">
        <v>997.34</v>
      </c>
      <c r="P109" s="156">
        <v>1192.26</v>
      </c>
      <c r="Q109" s="156">
        <v>607.5</v>
      </c>
      <c r="R109" s="157">
        <f t="shared" si="26"/>
        <v>11928.03</v>
      </c>
      <c r="S109" s="158">
        <f t="shared" si="30"/>
        <v>12</v>
      </c>
      <c r="T109" s="158">
        <f t="shared" si="30"/>
        <v>6</v>
      </c>
      <c r="U109" s="158">
        <f t="shared" si="30"/>
        <v>7</v>
      </c>
      <c r="V109" s="158">
        <f t="shared" si="30"/>
        <v>7</v>
      </c>
      <c r="W109" s="158">
        <f t="shared" si="30"/>
        <v>3</v>
      </c>
      <c r="X109" s="158">
        <f t="shared" si="31"/>
        <v>13.000000000000002</v>
      </c>
      <c r="Y109" s="158">
        <f t="shared" si="31"/>
        <v>14.000000000000002</v>
      </c>
      <c r="Z109" s="158">
        <f t="shared" si="31"/>
        <v>14.466652985840346</v>
      </c>
      <c r="AA109" s="158">
        <f t="shared" si="31"/>
        <v>17.699979478760518</v>
      </c>
      <c r="AB109" s="158">
        <f t="shared" si="31"/>
        <v>10.233326492920174</v>
      </c>
      <c r="AC109" s="158">
        <f t="shared" si="31"/>
        <v>12.233326492920174</v>
      </c>
      <c r="AD109" s="158">
        <f t="shared" si="31"/>
        <v>6.233326492920173</v>
      </c>
      <c r="AE109" s="157">
        <f t="shared" si="29"/>
        <v>122.86661194336138</v>
      </c>
    </row>
    <row r="110" spans="1:31" outlineLevel="2">
      <c r="A110" s="135" t="str">
        <f t="shared" si="25"/>
        <v>MurreysCOMMERCIALF8YD2W</v>
      </c>
      <c r="B110" s="116" t="s">
        <v>449</v>
      </c>
      <c r="C110" s="116" t="s">
        <v>209</v>
      </c>
      <c r="D110" s="155">
        <v>0</v>
      </c>
      <c r="E110" s="155">
        <v>0</v>
      </c>
      <c r="F110" s="156">
        <v>0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7">
        <f t="shared" si="26"/>
        <v>0</v>
      </c>
      <c r="S110" s="158">
        <f t="shared" si="30"/>
        <v>0</v>
      </c>
      <c r="T110" s="158">
        <f t="shared" si="30"/>
        <v>0</v>
      </c>
      <c r="U110" s="158">
        <f t="shared" si="30"/>
        <v>0</v>
      </c>
      <c r="V110" s="158">
        <f t="shared" si="30"/>
        <v>0</v>
      </c>
      <c r="W110" s="158">
        <f t="shared" si="30"/>
        <v>0</v>
      </c>
      <c r="X110" s="158">
        <f t="shared" si="31"/>
        <v>0</v>
      </c>
      <c r="Y110" s="158">
        <f t="shared" si="31"/>
        <v>0</v>
      </c>
      <c r="Z110" s="158">
        <f t="shared" si="31"/>
        <v>0</v>
      </c>
      <c r="AA110" s="158">
        <f t="shared" si="31"/>
        <v>0</v>
      </c>
      <c r="AB110" s="158">
        <f t="shared" si="31"/>
        <v>0</v>
      </c>
      <c r="AC110" s="158">
        <f t="shared" si="31"/>
        <v>0</v>
      </c>
      <c r="AD110" s="158">
        <f t="shared" si="31"/>
        <v>0</v>
      </c>
      <c r="AE110" s="157">
        <f t="shared" si="29"/>
        <v>0</v>
      </c>
    </row>
    <row r="111" spans="1:31" outlineLevel="2">
      <c r="A111" s="135" t="str">
        <f t="shared" si="25"/>
        <v>MurreysCOMMERCIALFCP2YD1W2.25-1</v>
      </c>
      <c r="B111" s="116" t="s">
        <v>450</v>
      </c>
      <c r="C111" s="116" t="s">
        <v>210</v>
      </c>
      <c r="D111" s="155">
        <v>334.19</v>
      </c>
      <c r="E111" s="155">
        <v>339.17</v>
      </c>
      <c r="F111" s="156">
        <v>334.19</v>
      </c>
      <c r="G111" s="156">
        <v>334.19</v>
      </c>
      <c r="H111" s="156">
        <v>334.19</v>
      </c>
      <c r="I111" s="156">
        <v>334.19</v>
      </c>
      <c r="J111" s="156">
        <v>334.19</v>
      </c>
      <c r="K111" s="156">
        <v>339.17</v>
      </c>
      <c r="L111" s="156">
        <v>339.17</v>
      </c>
      <c r="M111" s="156">
        <v>339.17</v>
      </c>
      <c r="N111" s="156">
        <v>339.17</v>
      </c>
      <c r="O111" s="156">
        <v>339.17</v>
      </c>
      <c r="P111" s="156">
        <v>339.17</v>
      </c>
      <c r="Q111" s="156">
        <v>339.17</v>
      </c>
      <c r="R111" s="157">
        <f t="shared" si="26"/>
        <v>4045.1400000000003</v>
      </c>
      <c r="S111" s="158">
        <f t="shared" si="30"/>
        <v>1</v>
      </c>
      <c r="T111" s="158">
        <f t="shared" si="30"/>
        <v>1</v>
      </c>
      <c r="U111" s="158">
        <f t="shared" si="30"/>
        <v>1</v>
      </c>
      <c r="V111" s="158">
        <f t="shared" si="30"/>
        <v>1</v>
      </c>
      <c r="W111" s="158">
        <f t="shared" si="30"/>
        <v>1</v>
      </c>
      <c r="X111" s="158">
        <f t="shared" si="31"/>
        <v>1</v>
      </c>
      <c r="Y111" s="158">
        <f t="shared" si="31"/>
        <v>1</v>
      </c>
      <c r="Z111" s="158">
        <f t="shared" si="31"/>
        <v>1</v>
      </c>
      <c r="AA111" s="158">
        <f t="shared" si="31"/>
        <v>1</v>
      </c>
      <c r="AB111" s="158">
        <f t="shared" si="31"/>
        <v>1</v>
      </c>
      <c r="AC111" s="158">
        <f t="shared" si="31"/>
        <v>1</v>
      </c>
      <c r="AD111" s="158">
        <f t="shared" si="31"/>
        <v>1</v>
      </c>
      <c r="AE111" s="157">
        <f t="shared" si="29"/>
        <v>12</v>
      </c>
    </row>
    <row r="112" spans="1:31" outlineLevel="2">
      <c r="A112" s="135" t="str">
        <f t="shared" si="25"/>
        <v>MurreysCOMMERCIALFCP2YD1W4-1</v>
      </c>
      <c r="B112" s="116" t="s">
        <v>451</v>
      </c>
      <c r="C112" s="116" t="s">
        <v>452</v>
      </c>
      <c r="D112" s="155">
        <v>0</v>
      </c>
      <c r="E112" s="155">
        <v>0</v>
      </c>
      <c r="F112" s="156">
        <v>0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7">
        <f t="shared" si="26"/>
        <v>0</v>
      </c>
      <c r="S112" s="158">
        <f t="shared" si="30"/>
        <v>0</v>
      </c>
      <c r="T112" s="158">
        <f t="shared" si="30"/>
        <v>0</v>
      </c>
      <c r="U112" s="158">
        <f t="shared" si="30"/>
        <v>0</v>
      </c>
      <c r="V112" s="158">
        <f t="shared" si="30"/>
        <v>0</v>
      </c>
      <c r="W112" s="158">
        <f t="shared" si="30"/>
        <v>0</v>
      </c>
      <c r="X112" s="158">
        <f t="shared" si="31"/>
        <v>0</v>
      </c>
      <c r="Y112" s="158">
        <f t="shared" si="31"/>
        <v>0</v>
      </c>
      <c r="Z112" s="158">
        <f t="shared" si="31"/>
        <v>0</v>
      </c>
      <c r="AA112" s="158">
        <f t="shared" si="31"/>
        <v>0</v>
      </c>
      <c r="AB112" s="158">
        <f t="shared" si="31"/>
        <v>0</v>
      </c>
      <c r="AC112" s="158">
        <f t="shared" si="31"/>
        <v>0</v>
      </c>
      <c r="AD112" s="158">
        <f t="shared" si="31"/>
        <v>0</v>
      </c>
      <c r="AE112" s="157">
        <f t="shared" si="29"/>
        <v>0</v>
      </c>
    </row>
    <row r="113" spans="1:34" outlineLevel="2">
      <c r="A113" s="135" t="str">
        <f t="shared" si="25"/>
        <v>MurreysCOMMERCIALFCP2YD2W</v>
      </c>
      <c r="B113" s="116" t="s">
        <v>453</v>
      </c>
      <c r="C113" s="116" t="s">
        <v>454</v>
      </c>
      <c r="D113" s="155">
        <v>0</v>
      </c>
      <c r="E113" s="155">
        <v>0</v>
      </c>
      <c r="F113" s="156">
        <v>0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0</v>
      </c>
      <c r="Q113" s="156">
        <v>0</v>
      </c>
      <c r="R113" s="157">
        <f t="shared" si="26"/>
        <v>0</v>
      </c>
      <c r="S113" s="158">
        <f t="shared" si="30"/>
        <v>0</v>
      </c>
      <c r="T113" s="158">
        <f t="shared" si="30"/>
        <v>0</v>
      </c>
      <c r="U113" s="158">
        <f t="shared" si="30"/>
        <v>0</v>
      </c>
      <c r="V113" s="158">
        <f t="shared" si="30"/>
        <v>0</v>
      </c>
      <c r="W113" s="158">
        <f t="shared" si="30"/>
        <v>0</v>
      </c>
      <c r="X113" s="158">
        <f t="shared" si="31"/>
        <v>0</v>
      </c>
      <c r="Y113" s="158">
        <f t="shared" si="31"/>
        <v>0</v>
      </c>
      <c r="Z113" s="158">
        <f t="shared" si="31"/>
        <v>0</v>
      </c>
      <c r="AA113" s="158">
        <f t="shared" si="31"/>
        <v>0</v>
      </c>
      <c r="AB113" s="158">
        <f t="shared" si="31"/>
        <v>0</v>
      </c>
      <c r="AC113" s="158">
        <f t="shared" si="31"/>
        <v>0</v>
      </c>
      <c r="AD113" s="158">
        <f t="shared" si="31"/>
        <v>0</v>
      </c>
      <c r="AE113" s="157">
        <f t="shared" si="29"/>
        <v>0</v>
      </c>
    </row>
    <row r="114" spans="1:34" outlineLevel="2">
      <c r="A114" s="135" t="str">
        <f t="shared" si="25"/>
        <v>MurreysCOMMERCIALFCP4YD1W2.25-1</v>
      </c>
      <c r="B114" s="116" t="s">
        <v>455</v>
      </c>
      <c r="C114" s="116" t="s">
        <v>211</v>
      </c>
      <c r="D114" s="155">
        <v>605.94000000000005</v>
      </c>
      <c r="E114" s="155">
        <v>615.38</v>
      </c>
      <c r="F114" s="156">
        <v>605.94000000000005</v>
      </c>
      <c r="G114" s="156">
        <v>605.94000000000005</v>
      </c>
      <c r="H114" s="156">
        <v>605.94000000000005</v>
      </c>
      <c r="I114" s="156">
        <v>605.94000000000005</v>
      </c>
      <c r="J114" s="156">
        <v>605.94000000000005</v>
      </c>
      <c r="K114" s="156">
        <v>615.38</v>
      </c>
      <c r="L114" s="156">
        <v>615.38</v>
      </c>
      <c r="M114" s="156">
        <v>615.38</v>
      </c>
      <c r="N114" s="156">
        <v>615.38</v>
      </c>
      <c r="O114" s="156">
        <v>615.38</v>
      </c>
      <c r="P114" s="156">
        <v>615.38</v>
      </c>
      <c r="Q114" s="156">
        <v>615.38</v>
      </c>
      <c r="R114" s="157">
        <f t="shared" si="26"/>
        <v>7337.3600000000006</v>
      </c>
      <c r="S114" s="158">
        <f t="shared" si="30"/>
        <v>1</v>
      </c>
      <c r="T114" s="158">
        <f t="shared" si="30"/>
        <v>1</v>
      </c>
      <c r="U114" s="158">
        <f t="shared" si="30"/>
        <v>1</v>
      </c>
      <c r="V114" s="158">
        <f t="shared" si="30"/>
        <v>1</v>
      </c>
      <c r="W114" s="158">
        <f t="shared" si="30"/>
        <v>1</v>
      </c>
      <c r="X114" s="158">
        <f t="shared" si="31"/>
        <v>1</v>
      </c>
      <c r="Y114" s="158">
        <f t="shared" si="31"/>
        <v>1</v>
      </c>
      <c r="Z114" s="158">
        <f t="shared" si="31"/>
        <v>1</v>
      </c>
      <c r="AA114" s="158">
        <f t="shared" si="31"/>
        <v>1</v>
      </c>
      <c r="AB114" s="158">
        <f t="shared" si="31"/>
        <v>1</v>
      </c>
      <c r="AC114" s="158">
        <f t="shared" si="31"/>
        <v>1</v>
      </c>
      <c r="AD114" s="158">
        <f t="shared" si="31"/>
        <v>1</v>
      </c>
      <c r="AE114" s="157">
        <f t="shared" si="29"/>
        <v>12</v>
      </c>
    </row>
    <row r="115" spans="1:34" outlineLevel="2">
      <c r="A115" s="135" t="str">
        <f t="shared" si="25"/>
        <v>MurreysCOMMERCIALFCP4YD1W4-1</v>
      </c>
      <c r="B115" s="116" t="s">
        <v>456</v>
      </c>
      <c r="C115" s="116" t="s">
        <v>212</v>
      </c>
      <c r="D115" s="155">
        <v>966.33</v>
      </c>
      <c r="E115" s="155">
        <v>983.13</v>
      </c>
      <c r="F115" s="156">
        <v>966.33</v>
      </c>
      <c r="G115" s="156">
        <v>966.33</v>
      </c>
      <c r="H115" s="156">
        <v>966.33</v>
      </c>
      <c r="I115" s="156">
        <v>966.33</v>
      </c>
      <c r="J115" s="156">
        <v>966.33</v>
      </c>
      <c r="K115" s="156">
        <v>983.13</v>
      </c>
      <c r="L115" s="156">
        <v>983.13</v>
      </c>
      <c r="M115" s="156">
        <v>983.13</v>
      </c>
      <c r="N115" s="156">
        <v>983.13</v>
      </c>
      <c r="O115" s="156">
        <v>983.13</v>
      </c>
      <c r="P115" s="156">
        <v>983.13</v>
      </c>
      <c r="Q115" s="156">
        <v>983.13</v>
      </c>
      <c r="R115" s="157">
        <f t="shared" si="26"/>
        <v>11713.559999999998</v>
      </c>
      <c r="S115" s="158">
        <f t="shared" si="30"/>
        <v>1</v>
      </c>
      <c r="T115" s="158">
        <f t="shared" si="30"/>
        <v>1</v>
      </c>
      <c r="U115" s="158">
        <f t="shared" si="30"/>
        <v>1</v>
      </c>
      <c r="V115" s="158">
        <f t="shared" si="30"/>
        <v>1</v>
      </c>
      <c r="W115" s="158">
        <f t="shared" si="30"/>
        <v>1</v>
      </c>
      <c r="X115" s="158">
        <f t="shared" si="31"/>
        <v>1</v>
      </c>
      <c r="Y115" s="158">
        <f t="shared" si="31"/>
        <v>1</v>
      </c>
      <c r="Z115" s="158">
        <f t="shared" si="31"/>
        <v>1</v>
      </c>
      <c r="AA115" s="158">
        <f t="shared" si="31"/>
        <v>1</v>
      </c>
      <c r="AB115" s="158">
        <f t="shared" si="31"/>
        <v>1</v>
      </c>
      <c r="AC115" s="158">
        <f t="shared" si="31"/>
        <v>1</v>
      </c>
      <c r="AD115" s="158">
        <f t="shared" si="31"/>
        <v>1</v>
      </c>
      <c r="AE115" s="157">
        <f t="shared" si="29"/>
        <v>12</v>
      </c>
    </row>
    <row r="116" spans="1:34" outlineLevel="2">
      <c r="A116" s="135" t="str">
        <f t="shared" si="25"/>
        <v>MurreysCOMMERCIALFCP4YD1W5-1</v>
      </c>
      <c r="B116" s="116" t="s">
        <v>457</v>
      </c>
      <c r="C116" s="116" t="s">
        <v>213</v>
      </c>
      <c r="D116" s="155">
        <v>1086.8699999999999</v>
      </c>
      <c r="E116" s="155">
        <v>1107.8699999999999</v>
      </c>
      <c r="F116" s="156">
        <v>1086.8699999999999</v>
      </c>
      <c r="G116" s="156">
        <v>1086.8699999999999</v>
      </c>
      <c r="H116" s="156">
        <v>1086.8699999999999</v>
      </c>
      <c r="I116" s="156">
        <v>1086.8699999999999</v>
      </c>
      <c r="J116" s="156">
        <v>1086.8699999999999</v>
      </c>
      <c r="K116" s="156">
        <v>1107.8699999999999</v>
      </c>
      <c r="L116" s="156">
        <v>1107.8699999999999</v>
      </c>
      <c r="M116" s="156">
        <v>1107.8699999999999</v>
      </c>
      <c r="N116" s="156">
        <v>1107.8699999999999</v>
      </c>
      <c r="O116" s="156">
        <v>1107.8800000000001</v>
      </c>
      <c r="P116" s="156">
        <v>1107.8699999999999</v>
      </c>
      <c r="Q116" s="156">
        <v>1107.8699999999999</v>
      </c>
      <c r="R116" s="157">
        <f t="shared" si="26"/>
        <v>13189.449999999997</v>
      </c>
      <c r="S116" s="158">
        <f t="shared" si="30"/>
        <v>1</v>
      </c>
      <c r="T116" s="158">
        <f t="shared" si="30"/>
        <v>1</v>
      </c>
      <c r="U116" s="158">
        <f t="shared" si="30"/>
        <v>1</v>
      </c>
      <c r="V116" s="158">
        <f t="shared" si="30"/>
        <v>1</v>
      </c>
      <c r="W116" s="158">
        <f t="shared" si="30"/>
        <v>1</v>
      </c>
      <c r="X116" s="158">
        <f t="shared" si="31"/>
        <v>1</v>
      </c>
      <c r="Y116" s="158">
        <f t="shared" si="31"/>
        <v>1</v>
      </c>
      <c r="Z116" s="158">
        <f t="shared" si="31"/>
        <v>1</v>
      </c>
      <c r="AA116" s="158">
        <f t="shared" si="31"/>
        <v>1</v>
      </c>
      <c r="AB116" s="158">
        <f t="shared" si="31"/>
        <v>1.0000090263298043</v>
      </c>
      <c r="AC116" s="158">
        <f t="shared" si="31"/>
        <v>1</v>
      </c>
      <c r="AD116" s="158">
        <f t="shared" si="31"/>
        <v>1</v>
      </c>
      <c r="AE116" s="157">
        <f t="shared" si="29"/>
        <v>12.000009026329804</v>
      </c>
    </row>
    <row r="117" spans="1:34" outlineLevel="2">
      <c r="A117" s="135" t="str">
        <f t="shared" si="25"/>
        <v>MurreysCOMMERCIALFCP4YDEOW5-1</v>
      </c>
      <c r="B117" s="116" t="s">
        <v>458</v>
      </c>
      <c r="C117" s="116" t="s">
        <v>214</v>
      </c>
      <c r="D117" s="155">
        <v>544.69000000000005</v>
      </c>
      <c r="E117" s="155">
        <v>555.22</v>
      </c>
      <c r="F117" s="156">
        <v>0</v>
      </c>
      <c r="G117" s="156">
        <v>0</v>
      </c>
      <c r="H117" s="156">
        <v>0</v>
      </c>
      <c r="I117" s="156">
        <v>0</v>
      </c>
      <c r="J117" s="156">
        <v>0</v>
      </c>
      <c r="K117" s="156">
        <v>0</v>
      </c>
      <c r="L117" s="156">
        <v>0</v>
      </c>
      <c r="M117" s="156">
        <v>0</v>
      </c>
      <c r="N117" s="156">
        <v>0</v>
      </c>
      <c r="O117" s="156">
        <v>0</v>
      </c>
      <c r="P117" s="156">
        <v>0</v>
      </c>
      <c r="Q117" s="156">
        <v>0</v>
      </c>
      <c r="R117" s="157">
        <f t="shared" si="26"/>
        <v>0</v>
      </c>
      <c r="S117" s="158">
        <f t="shared" si="30"/>
        <v>0</v>
      </c>
      <c r="T117" s="158">
        <f t="shared" si="30"/>
        <v>0</v>
      </c>
      <c r="U117" s="158">
        <f t="shared" si="30"/>
        <v>0</v>
      </c>
      <c r="V117" s="158">
        <f t="shared" si="30"/>
        <v>0</v>
      </c>
      <c r="W117" s="158">
        <f t="shared" si="30"/>
        <v>0</v>
      </c>
      <c r="X117" s="158">
        <f t="shared" si="31"/>
        <v>0</v>
      </c>
      <c r="Y117" s="158">
        <f t="shared" si="31"/>
        <v>0</v>
      </c>
      <c r="Z117" s="158">
        <f t="shared" si="31"/>
        <v>0</v>
      </c>
      <c r="AA117" s="158">
        <f t="shared" si="31"/>
        <v>0</v>
      </c>
      <c r="AB117" s="158">
        <f t="shared" si="31"/>
        <v>0</v>
      </c>
      <c r="AC117" s="158">
        <f t="shared" si="31"/>
        <v>0</v>
      </c>
      <c r="AD117" s="158">
        <f t="shared" si="31"/>
        <v>0</v>
      </c>
      <c r="AE117" s="157">
        <f t="shared" si="29"/>
        <v>0</v>
      </c>
    </row>
    <row r="118" spans="1:34" outlineLevel="2">
      <c r="A118" s="135" t="str">
        <f t="shared" si="25"/>
        <v>MurreysCOMMERCIALFCP4YDOC5-1</v>
      </c>
      <c r="B118" s="116" t="s">
        <v>459</v>
      </c>
      <c r="C118" s="116" t="s">
        <v>215</v>
      </c>
      <c r="D118" s="155">
        <v>257.06</v>
      </c>
      <c r="E118" s="155">
        <v>261.91000000000003</v>
      </c>
      <c r="F118" s="156">
        <v>257.06</v>
      </c>
      <c r="G118" s="156">
        <v>514.12</v>
      </c>
      <c r="H118" s="156">
        <v>257.06</v>
      </c>
      <c r="I118" s="156">
        <v>514.12</v>
      </c>
      <c r="J118" s="156">
        <v>257.06</v>
      </c>
      <c r="K118" s="156">
        <v>261.91000000000003</v>
      </c>
      <c r="L118" s="156">
        <v>261.91000000000003</v>
      </c>
      <c r="M118" s="156">
        <v>261.91000000000003</v>
      </c>
      <c r="N118" s="156">
        <v>261.91000000000003</v>
      </c>
      <c r="O118" s="156">
        <v>261.91000000000003</v>
      </c>
      <c r="P118" s="156">
        <v>261.91000000000003</v>
      </c>
      <c r="Q118" s="156">
        <v>0</v>
      </c>
      <c r="R118" s="157">
        <f t="shared" si="26"/>
        <v>3370.8799999999992</v>
      </c>
      <c r="S118" s="158">
        <f t="shared" si="30"/>
        <v>1</v>
      </c>
      <c r="T118" s="158">
        <f t="shared" si="30"/>
        <v>2</v>
      </c>
      <c r="U118" s="158">
        <f t="shared" si="30"/>
        <v>1</v>
      </c>
      <c r="V118" s="158">
        <f t="shared" si="30"/>
        <v>2</v>
      </c>
      <c r="W118" s="158">
        <f t="shared" si="30"/>
        <v>1</v>
      </c>
      <c r="X118" s="158">
        <f t="shared" si="31"/>
        <v>1</v>
      </c>
      <c r="Y118" s="158">
        <f t="shared" si="31"/>
        <v>1</v>
      </c>
      <c r="Z118" s="158">
        <f t="shared" si="31"/>
        <v>1</v>
      </c>
      <c r="AA118" s="158">
        <f t="shared" si="31"/>
        <v>1</v>
      </c>
      <c r="AB118" s="158">
        <f t="shared" si="31"/>
        <v>1</v>
      </c>
      <c r="AC118" s="158">
        <f t="shared" si="31"/>
        <v>1</v>
      </c>
      <c r="AD118" s="158">
        <f t="shared" si="31"/>
        <v>0</v>
      </c>
      <c r="AE118" s="157">
        <f t="shared" si="29"/>
        <v>13</v>
      </c>
    </row>
    <row r="119" spans="1:34" outlineLevel="2">
      <c r="A119" s="135" t="str">
        <f t="shared" si="25"/>
        <v>MurreysCOMMERCIALFCP6YD2W</v>
      </c>
      <c r="B119" s="116" t="s">
        <v>460</v>
      </c>
      <c r="C119" s="116" t="s">
        <v>461</v>
      </c>
      <c r="D119" s="155">
        <v>0</v>
      </c>
      <c r="E119" s="155">
        <v>0</v>
      </c>
      <c r="F119" s="156">
        <v>0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  <c r="Q119" s="156">
        <v>0</v>
      </c>
      <c r="R119" s="157">
        <f t="shared" si="26"/>
        <v>0</v>
      </c>
      <c r="S119" s="158">
        <f t="shared" si="30"/>
        <v>0</v>
      </c>
      <c r="T119" s="158">
        <f t="shared" si="30"/>
        <v>0</v>
      </c>
      <c r="U119" s="158">
        <f t="shared" si="30"/>
        <v>0</v>
      </c>
      <c r="V119" s="158">
        <f t="shared" si="30"/>
        <v>0</v>
      </c>
      <c r="W119" s="158">
        <f t="shared" si="30"/>
        <v>0</v>
      </c>
      <c r="X119" s="158">
        <f t="shared" si="31"/>
        <v>0</v>
      </c>
      <c r="Y119" s="158">
        <f t="shared" si="31"/>
        <v>0</v>
      </c>
      <c r="Z119" s="158">
        <f t="shared" si="31"/>
        <v>0</v>
      </c>
      <c r="AA119" s="158">
        <f t="shared" si="31"/>
        <v>0</v>
      </c>
      <c r="AB119" s="158">
        <f t="shared" si="31"/>
        <v>0</v>
      </c>
      <c r="AC119" s="158">
        <f t="shared" si="31"/>
        <v>0</v>
      </c>
      <c r="AD119" s="158">
        <f t="shared" si="31"/>
        <v>0</v>
      </c>
      <c r="AE119" s="157">
        <f t="shared" si="29"/>
        <v>0</v>
      </c>
    </row>
    <row r="120" spans="1:34" outlineLevel="2">
      <c r="A120" s="135" t="str">
        <f t="shared" si="25"/>
        <v>MurreysCOMMERCIALFCP6YD2W3-1</v>
      </c>
      <c r="B120" s="116" t="s">
        <v>462</v>
      </c>
      <c r="C120" s="116" t="s">
        <v>216</v>
      </c>
      <c r="D120" s="155">
        <v>2139.9699999999998</v>
      </c>
      <c r="E120" s="155">
        <v>2174.5300000000002</v>
      </c>
      <c r="F120" s="156">
        <v>0</v>
      </c>
      <c r="G120" s="156">
        <v>0</v>
      </c>
      <c r="H120" s="156">
        <v>0</v>
      </c>
      <c r="I120" s="156">
        <v>0</v>
      </c>
      <c r="J120" s="156">
        <v>0</v>
      </c>
      <c r="K120" s="156">
        <v>0</v>
      </c>
      <c r="L120" s="156">
        <v>0</v>
      </c>
      <c r="M120" s="156">
        <v>0</v>
      </c>
      <c r="N120" s="156">
        <v>0</v>
      </c>
      <c r="O120" s="156">
        <v>0</v>
      </c>
      <c r="P120" s="156">
        <v>0</v>
      </c>
      <c r="Q120" s="156">
        <v>0</v>
      </c>
      <c r="R120" s="157">
        <f t="shared" si="26"/>
        <v>0</v>
      </c>
      <c r="S120" s="158">
        <f t="shared" si="30"/>
        <v>0</v>
      </c>
      <c r="T120" s="158">
        <f t="shared" si="30"/>
        <v>0</v>
      </c>
      <c r="U120" s="158">
        <f t="shared" si="30"/>
        <v>0</v>
      </c>
      <c r="V120" s="158">
        <f t="shared" si="30"/>
        <v>0</v>
      </c>
      <c r="W120" s="158">
        <f t="shared" si="30"/>
        <v>0</v>
      </c>
      <c r="X120" s="158">
        <f t="shared" si="31"/>
        <v>0</v>
      </c>
      <c r="Y120" s="158">
        <f t="shared" si="31"/>
        <v>0</v>
      </c>
      <c r="Z120" s="158">
        <f t="shared" si="31"/>
        <v>0</v>
      </c>
      <c r="AA120" s="158">
        <f t="shared" si="31"/>
        <v>0</v>
      </c>
      <c r="AB120" s="158">
        <f t="shared" si="31"/>
        <v>0</v>
      </c>
      <c r="AC120" s="158">
        <f t="shared" si="31"/>
        <v>0</v>
      </c>
      <c r="AD120" s="158">
        <f t="shared" si="31"/>
        <v>0</v>
      </c>
      <c r="AE120" s="157">
        <f t="shared" si="29"/>
        <v>0</v>
      </c>
    </row>
    <row r="121" spans="1:34" outlineLevel="2">
      <c r="A121" s="135" t="str">
        <f t="shared" si="25"/>
        <v>MurreysCOMMERCIALFCP6YD2W4-1</v>
      </c>
      <c r="B121" s="116" t="s">
        <v>463</v>
      </c>
      <c r="C121" s="116" t="s">
        <v>217</v>
      </c>
      <c r="D121" s="155">
        <v>2755.09</v>
      </c>
      <c r="E121" s="155">
        <v>2801.16</v>
      </c>
      <c r="F121" s="156">
        <v>2755.09</v>
      </c>
      <c r="G121" s="156">
        <v>2755.09</v>
      </c>
      <c r="H121" s="156">
        <v>2755.09</v>
      </c>
      <c r="I121" s="156">
        <v>2755.09</v>
      </c>
      <c r="J121" s="156">
        <v>2755.09</v>
      </c>
      <c r="K121" s="156">
        <v>2801.16</v>
      </c>
      <c r="L121" s="156">
        <v>2801.16</v>
      </c>
      <c r="M121" s="156">
        <v>2801.16</v>
      </c>
      <c r="N121" s="156">
        <v>2801.16</v>
      </c>
      <c r="O121" s="156">
        <v>2801.16</v>
      </c>
      <c r="P121" s="156">
        <v>2801.16</v>
      </c>
      <c r="Q121" s="156">
        <v>2801.16</v>
      </c>
      <c r="R121" s="157">
        <f t="shared" si="26"/>
        <v>33383.57</v>
      </c>
      <c r="S121" s="158">
        <f t="shared" si="30"/>
        <v>1</v>
      </c>
      <c r="T121" s="158">
        <f t="shared" si="30"/>
        <v>1</v>
      </c>
      <c r="U121" s="158">
        <f t="shared" si="30"/>
        <v>1</v>
      </c>
      <c r="V121" s="158">
        <f t="shared" si="30"/>
        <v>1</v>
      </c>
      <c r="W121" s="158">
        <f t="shared" si="30"/>
        <v>1</v>
      </c>
      <c r="X121" s="158">
        <f t="shared" si="31"/>
        <v>1</v>
      </c>
      <c r="Y121" s="158">
        <f t="shared" si="31"/>
        <v>1</v>
      </c>
      <c r="Z121" s="158">
        <f t="shared" si="31"/>
        <v>1</v>
      </c>
      <c r="AA121" s="158">
        <f t="shared" si="31"/>
        <v>1</v>
      </c>
      <c r="AB121" s="158">
        <f t="shared" si="31"/>
        <v>1</v>
      </c>
      <c r="AC121" s="158">
        <f t="shared" si="31"/>
        <v>1</v>
      </c>
      <c r="AD121" s="158">
        <f t="shared" si="31"/>
        <v>1</v>
      </c>
      <c r="AE121" s="157">
        <f t="shared" si="29"/>
        <v>12</v>
      </c>
    </row>
    <row r="122" spans="1:34" outlineLevel="2">
      <c r="A122" s="135" t="str">
        <f t="shared" si="25"/>
        <v>MurreysCOMMERCIALPACKC</v>
      </c>
      <c r="B122" s="116" t="s">
        <v>464</v>
      </c>
      <c r="C122" s="116" t="s">
        <v>465</v>
      </c>
      <c r="D122" s="155">
        <v>2.08</v>
      </c>
      <c r="E122" s="155">
        <v>2.08</v>
      </c>
      <c r="F122" s="156">
        <v>6.24</v>
      </c>
      <c r="G122" s="156">
        <v>12.48</v>
      </c>
      <c r="H122" s="156">
        <v>12.48</v>
      </c>
      <c r="I122" s="156">
        <v>10.4</v>
      </c>
      <c r="J122" s="156">
        <v>10.4</v>
      </c>
      <c r="K122" s="156">
        <v>10.4</v>
      </c>
      <c r="L122" s="156">
        <v>10.4</v>
      </c>
      <c r="M122" s="156">
        <v>10.4</v>
      </c>
      <c r="N122" s="156">
        <v>10.4</v>
      </c>
      <c r="O122" s="156">
        <v>10.4</v>
      </c>
      <c r="P122" s="156">
        <v>10.4</v>
      </c>
      <c r="Q122" s="156">
        <v>10.4</v>
      </c>
      <c r="R122" s="157">
        <f t="shared" si="26"/>
        <v>124.80000000000003</v>
      </c>
      <c r="S122" s="158">
        <f t="shared" si="30"/>
        <v>3</v>
      </c>
      <c r="T122" s="158">
        <f t="shared" si="30"/>
        <v>6</v>
      </c>
      <c r="U122" s="158">
        <f t="shared" si="30"/>
        <v>6</v>
      </c>
      <c r="V122" s="158">
        <f t="shared" si="30"/>
        <v>5</v>
      </c>
      <c r="W122" s="158">
        <f t="shared" si="30"/>
        <v>5</v>
      </c>
      <c r="X122" s="158">
        <f t="shared" si="31"/>
        <v>5</v>
      </c>
      <c r="Y122" s="158">
        <f t="shared" si="31"/>
        <v>5</v>
      </c>
      <c r="Z122" s="158">
        <f t="shared" si="31"/>
        <v>5</v>
      </c>
      <c r="AA122" s="158">
        <f t="shared" si="31"/>
        <v>5</v>
      </c>
      <c r="AB122" s="158">
        <f t="shared" si="31"/>
        <v>5</v>
      </c>
      <c r="AC122" s="158">
        <f t="shared" si="31"/>
        <v>5</v>
      </c>
      <c r="AD122" s="158">
        <f t="shared" si="31"/>
        <v>5</v>
      </c>
      <c r="AE122" s="157">
        <f t="shared" si="29"/>
        <v>60</v>
      </c>
    </row>
    <row r="123" spans="1:34" outlineLevel="2">
      <c r="A123" s="135" t="str">
        <f t="shared" si="25"/>
        <v>MurreysCOMMERCIALR1.5YD1W</v>
      </c>
      <c r="B123" s="116" t="s">
        <v>466</v>
      </c>
      <c r="C123" s="116" t="s">
        <v>467</v>
      </c>
      <c r="D123" s="155">
        <v>126</v>
      </c>
      <c r="E123" s="155">
        <v>127.74</v>
      </c>
      <c r="F123" s="156">
        <v>6048</v>
      </c>
      <c r="G123" s="156">
        <v>6268.5</v>
      </c>
      <c r="H123" s="156">
        <v>6268.5</v>
      </c>
      <c r="I123" s="156">
        <v>6363</v>
      </c>
      <c r="J123" s="156">
        <v>6273.3099999999995</v>
      </c>
      <c r="K123" s="156">
        <v>6355.07</v>
      </c>
      <c r="L123" s="156">
        <v>6323.13</v>
      </c>
      <c r="M123" s="156">
        <v>6450.87</v>
      </c>
      <c r="N123" s="156">
        <v>6578.61</v>
      </c>
      <c r="O123" s="156">
        <v>6514.74</v>
      </c>
      <c r="P123" s="156">
        <v>6418.9400000000005</v>
      </c>
      <c r="Q123" s="156">
        <v>6387.01</v>
      </c>
      <c r="R123" s="157">
        <f t="shared" si="26"/>
        <v>76249.679999999993</v>
      </c>
      <c r="S123" s="158">
        <f t="shared" si="30"/>
        <v>48</v>
      </c>
      <c r="T123" s="158">
        <f t="shared" si="30"/>
        <v>49.75</v>
      </c>
      <c r="U123" s="158">
        <f t="shared" si="30"/>
        <v>49.75</v>
      </c>
      <c r="V123" s="158">
        <f t="shared" si="30"/>
        <v>50.5</v>
      </c>
      <c r="W123" s="158">
        <f t="shared" si="30"/>
        <v>49.788174603174596</v>
      </c>
      <c r="X123" s="158">
        <f t="shared" si="31"/>
        <v>49.750039142007203</v>
      </c>
      <c r="Y123" s="158">
        <f t="shared" si="31"/>
        <v>49.5</v>
      </c>
      <c r="Z123" s="158">
        <f t="shared" si="31"/>
        <v>50.5</v>
      </c>
      <c r="AA123" s="158">
        <f t="shared" si="31"/>
        <v>51.5</v>
      </c>
      <c r="AB123" s="158">
        <f t="shared" si="31"/>
        <v>51</v>
      </c>
      <c r="AC123" s="158">
        <f t="shared" si="31"/>
        <v>50.250039142007211</v>
      </c>
      <c r="AD123" s="158">
        <f t="shared" si="31"/>
        <v>50.000078284014407</v>
      </c>
      <c r="AE123" s="157">
        <f t="shared" si="29"/>
        <v>600.28833117120337</v>
      </c>
    </row>
    <row r="124" spans="1:34" outlineLevel="2">
      <c r="A124" s="135" t="str">
        <f t="shared" si="25"/>
        <v>MurreysCOMMERCIALR1.5YD2W</v>
      </c>
      <c r="B124" s="116" t="s">
        <v>468</v>
      </c>
      <c r="C124" s="116" t="s">
        <v>133</v>
      </c>
      <c r="D124" s="155">
        <v>252.01</v>
      </c>
      <c r="E124" s="155">
        <v>255.47</v>
      </c>
      <c r="F124" s="156">
        <v>504.02</v>
      </c>
      <c r="G124" s="156">
        <v>504.02</v>
      </c>
      <c r="H124" s="156">
        <v>504.02</v>
      </c>
      <c r="I124" s="156">
        <v>504.02</v>
      </c>
      <c r="J124" s="156">
        <v>504.02</v>
      </c>
      <c r="K124" s="156">
        <v>510.94</v>
      </c>
      <c r="L124" s="156">
        <v>510.94</v>
      </c>
      <c r="M124" s="156">
        <v>510.94</v>
      </c>
      <c r="N124" s="156">
        <v>510.94</v>
      </c>
      <c r="O124" s="156">
        <v>510.94</v>
      </c>
      <c r="P124" s="156">
        <v>510.94</v>
      </c>
      <c r="Q124" s="156">
        <v>510.94</v>
      </c>
      <c r="R124" s="157">
        <f t="shared" si="26"/>
        <v>6096.6799999999985</v>
      </c>
      <c r="S124" s="158">
        <f t="shared" si="30"/>
        <v>2</v>
      </c>
      <c r="T124" s="158">
        <f t="shared" si="30"/>
        <v>2</v>
      </c>
      <c r="U124" s="158">
        <f t="shared" si="30"/>
        <v>2</v>
      </c>
      <c r="V124" s="158">
        <f t="shared" si="30"/>
        <v>2</v>
      </c>
      <c r="W124" s="158">
        <f t="shared" si="30"/>
        <v>2</v>
      </c>
      <c r="X124" s="158">
        <f t="shared" si="31"/>
        <v>2</v>
      </c>
      <c r="Y124" s="158">
        <f t="shared" si="31"/>
        <v>2</v>
      </c>
      <c r="Z124" s="158">
        <f t="shared" si="31"/>
        <v>2</v>
      </c>
      <c r="AA124" s="158">
        <f t="shared" si="31"/>
        <v>2</v>
      </c>
      <c r="AB124" s="158">
        <f t="shared" si="31"/>
        <v>2</v>
      </c>
      <c r="AC124" s="158">
        <f t="shared" si="31"/>
        <v>2</v>
      </c>
      <c r="AD124" s="158">
        <f t="shared" si="31"/>
        <v>2</v>
      </c>
      <c r="AE124" s="157">
        <f t="shared" si="29"/>
        <v>24</v>
      </c>
    </row>
    <row r="125" spans="1:34" outlineLevel="2">
      <c r="A125" s="135" t="str">
        <f t="shared" si="25"/>
        <v>MurreysCOMMERCIALR1.5YD3W</v>
      </c>
      <c r="B125" s="116" t="s">
        <v>469</v>
      </c>
      <c r="C125" s="116" t="s">
        <v>218</v>
      </c>
      <c r="D125" s="155">
        <v>378.01</v>
      </c>
      <c r="E125" s="155">
        <v>383.21</v>
      </c>
      <c r="F125" s="156">
        <v>378.01</v>
      </c>
      <c r="G125" s="156">
        <v>378.01</v>
      </c>
      <c r="H125" s="156">
        <v>378.01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7">
        <f t="shared" si="26"/>
        <v>1134.03</v>
      </c>
      <c r="S125" s="158">
        <f t="shared" si="30"/>
        <v>1</v>
      </c>
      <c r="T125" s="158">
        <f t="shared" si="30"/>
        <v>1</v>
      </c>
      <c r="U125" s="158">
        <f t="shared" si="30"/>
        <v>1</v>
      </c>
      <c r="V125" s="158">
        <f t="shared" si="30"/>
        <v>0</v>
      </c>
      <c r="W125" s="158">
        <f t="shared" si="30"/>
        <v>0</v>
      </c>
      <c r="X125" s="158">
        <f t="shared" si="31"/>
        <v>0</v>
      </c>
      <c r="Y125" s="158">
        <f t="shared" si="31"/>
        <v>0</v>
      </c>
      <c r="Z125" s="158">
        <f t="shared" si="31"/>
        <v>0</v>
      </c>
      <c r="AA125" s="158">
        <f t="shared" si="31"/>
        <v>0</v>
      </c>
      <c r="AB125" s="158">
        <f t="shared" si="31"/>
        <v>0</v>
      </c>
      <c r="AC125" s="158">
        <f t="shared" si="31"/>
        <v>0</v>
      </c>
      <c r="AD125" s="158">
        <f t="shared" si="31"/>
        <v>0</v>
      </c>
      <c r="AE125" s="157">
        <f t="shared" si="29"/>
        <v>3</v>
      </c>
    </row>
    <row r="126" spans="1:34" outlineLevel="2">
      <c r="A126" s="135" t="str">
        <f t="shared" si="25"/>
        <v>MurreysCOMMERCIALR1.5YDEOW</v>
      </c>
      <c r="B126" s="116" t="s">
        <v>470</v>
      </c>
      <c r="C126" s="116" t="s">
        <v>219</v>
      </c>
      <c r="D126" s="155">
        <v>0</v>
      </c>
      <c r="E126" s="155">
        <v>0</v>
      </c>
      <c r="F126" s="156">
        <v>0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6">
        <v>0</v>
      </c>
      <c r="Q126" s="156">
        <v>0</v>
      </c>
      <c r="R126" s="157">
        <f t="shared" si="26"/>
        <v>0</v>
      </c>
      <c r="S126" s="158">
        <f t="shared" si="30"/>
        <v>0</v>
      </c>
      <c r="T126" s="158">
        <f t="shared" si="30"/>
        <v>0</v>
      </c>
      <c r="U126" s="158">
        <f t="shared" si="30"/>
        <v>0</v>
      </c>
      <c r="V126" s="158">
        <f t="shared" si="30"/>
        <v>0</v>
      </c>
      <c r="W126" s="158">
        <f t="shared" si="30"/>
        <v>0</v>
      </c>
      <c r="X126" s="158">
        <f t="shared" si="31"/>
        <v>0</v>
      </c>
      <c r="Y126" s="158">
        <f t="shared" si="31"/>
        <v>0</v>
      </c>
      <c r="Z126" s="158">
        <f t="shared" si="31"/>
        <v>0</v>
      </c>
      <c r="AA126" s="158">
        <f t="shared" si="31"/>
        <v>0</v>
      </c>
      <c r="AB126" s="158">
        <f t="shared" si="31"/>
        <v>0</v>
      </c>
      <c r="AC126" s="158">
        <f t="shared" si="31"/>
        <v>0</v>
      </c>
      <c r="AD126" s="158">
        <f t="shared" si="31"/>
        <v>0</v>
      </c>
      <c r="AE126" s="157">
        <f t="shared" si="29"/>
        <v>0</v>
      </c>
    </row>
    <row r="127" spans="1:34" outlineLevel="2">
      <c r="A127" s="135" t="str">
        <f t="shared" si="25"/>
        <v>MurreysCOMMERCIALR1.5YDEX</v>
      </c>
      <c r="B127" s="116" t="s">
        <v>471</v>
      </c>
      <c r="C127" s="116" t="s">
        <v>220</v>
      </c>
      <c r="D127" s="155">
        <v>31.12</v>
      </c>
      <c r="E127" s="155">
        <v>31.52</v>
      </c>
      <c r="F127" s="156">
        <v>0</v>
      </c>
      <c r="G127" s="156">
        <v>0</v>
      </c>
      <c r="H127" s="156">
        <v>0</v>
      </c>
      <c r="I127" s="156">
        <v>31.12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56">
        <v>0</v>
      </c>
      <c r="Q127" s="156">
        <v>0</v>
      </c>
      <c r="R127" s="157">
        <f t="shared" si="26"/>
        <v>31.12</v>
      </c>
      <c r="S127" s="158">
        <f t="shared" si="30"/>
        <v>0</v>
      </c>
      <c r="T127" s="158">
        <f t="shared" si="30"/>
        <v>0</v>
      </c>
      <c r="U127" s="158">
        <f t="shared" si="30"/>
        <v>0</v>
      </c>
      <c r="V127" s="158">
        <f t="shared" si="30"/>
        <v>1</v>
      </c>
      <c r="W127" s="158">
        <f t="shared" si="30"/>
        <v>0</v>
      </c>
      <c r="X127" s="158">
        <f t="shared" si="31"/>
        <v>0</v>
      </c>
      <c r="Y127" s="158">
        <f t="shared" si="31"/>
        <v>0</v>
      </c>
      <c r="Z127" s="158">
        <f t="shared" si="31"/>
        <v>0</v>
      </c>
      <c r="AA127" s="158">
        <f t="shared" si="31"/>
        <v>0</v>
      </c>
      <c r="AB127" s="158">
        <f t="shared" si="31"/>
        <v>0</v>
      </c>
      <c r="AC127" s="158">
        <f t="shared" si="31"/>
        <v>0</v>
      </c>
      <c r="AD127" s="158">
        <f t="shared" si="31"/>
        <v>0</v>
      </c>
      <c r="AE127" s="157">
        <f t="shared" si="29"/>
        <v>1</v>
      </c>
    </row>
    <row r="128" spans="1:34" outlineLevel="2">
      <c r="A128" s="135" t="str">
        <f t="shared" si="25"/>
        <v>MurreysCOMMERCIALR1.5YDTPU</v>
      </c>
      <c r="B128" s="116" t="s">
        <v>472</v>
      </c>
      <c r="C128" s="116" t="s">
        <v>139</v>
      </c>
      <c r="D128" s="155">
        <v>124.48</v>
      </c>
      <c r="E128" s="155">
        <v>126.08</v>
      </c>
      <c r="F128" s="156">
        <v>124.48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31.52</v>
      </c>
      <c r="M128" s="156">
        <v>63.04</v>
      </c>
      <c r="N128" s="156">
        <v>31.52</v>
      </c>
      <c r="O128" s="156">
        <v>31.52</v>
      </c>
      <c r="P128" s="156">
        <v>0</v>
      </c>
      <c r="Q128" s="156">
        <v>0</v>
      </c>
      <c r="R128" s="157">
        <f t="shared" si="26"/>
        <v>282.08</v>
      </c>
      <c r="S128" s="158">
        <f t="shared" si="30"/>
        <v>1</v>
      </c>
      <c r="T128" s="158">
        <f t="shared" si="30"/>
        <v>0</v>
      </c>
      <c r="U128" s="158">
        <f t="shared" si="30"/>
        <v>0</v>
      </c>
      <c r="V128" s="158">
        <f t="shared" si="30"/>
        <v>0</v>
      </c>
      <c r="W128" s="158">
        <f t="shared" si="30"/>
        <v>0</v>
      </c>
      <c r="X128" s="158">
        <f t="shared" si="31"/>
        <v>0</v>
      </c>
      <c r="Y128" s="158">
        <f t="shared" si="31"/>
        <v>0.25</v>
      </c>
      <c r="Z128" s="158">
        <f t="shared" si="31"/>
        <v>0.5</v>
      </c>
      <c r="AA128" s="158">
        <f t="shared" si="31"/>
        <v>0.25</v>
      </c>
      <c r="AB128" s="158">
        <f t="shared" si="31"/>
        <v>0.25</v>
      </c>
      <c r="AC128" s="158">
        <f t="shared" si="31"/>
        <v>0</v>
      </c>
      <c r="AD128" s="158">
        <f t="shared" si="31"/>
        <v>0</v>
      </c>
      <c r="AE128" s="157">
        <f t="shared" si="29"/>
        <v>2.25</v>
      </c>
      <c r="AH128" s="161"/>
    </row>
    <row r="129" spans="1:31" outlineLevel="2">
      <c r="A129" s="135" t="str">
        <f t="shared" si="25"/>
        <v>MurreysCOMMERCIALR1YD1W</v>
      </c>
      <c r="B129" s="116" t="s">
        <v>473</v>
      </c>
      <c r="C129" s="116" t="s">
        <v>474</v>
      </c>
      <c r="D129" s="155">
        <v>91.15000000000002</v>
      </c>
      <c r="E129" s="155">
        <v>92.36</v>
      </c>
      <c r="F129" s="156">
        <v>22833.09</v>
      </c>
      <c r="G129" s="156">
        <v>22741.93</v>
      </c>
      <c r="H129" s="156">
        <v>22842.99</v>
      </c>
      <c r="I129" s="156">
        <v>22289.64</v>
      </c>
      <c r="J129" s="156">
        <v>22242.350000000002</v>
      </c>
      <c r="K129" s="156">
        <v>22836.010000000002</v>
      </c>
      <c r="L129" s="156">
        <v>22859.1</v>
      </c>
      <c r="M129" s="156">
        <v>22859.1</v>
      </c>
      <c r="N129" s="156">
        <v>22957.85</v>
      </c>
      <c r="O129" s="156">
        <v>22653.05</v>
      </c>
      <c r="P129" s="156">
        <v>22583.78</v>
      </c>
      <c r="Q129" s="156">
        <v>22812.92</v>
      </c>
      <c r="R129" s="157">
        <f t="shared" si="26"/>
        <v>272511.81</v>
      </c>
      <c r="S129" s="158">
        <f t="shared" si="30"/>
        <v>250.5001645639056</v>
      </c>
      <c r="T129" s="158">
        <f t="shared" si="30"/>
        <v>249.50005485463515</v>
      </c>
      <c r="U129" s="158">
        <f t="shared" si="30"/>
        <v>250.60877674163464</v>
      </c>
      <c r="V129" s="158">
        <f t="shared" si="30"/>
        <v>244.53801426220511</v>
      </c>
      <c r="W129" s="158">
        <f t="shared" si="30"/>
        <v>244.0191991223258</v>
      </c>
      <c r="X129" s="158">
        <f t="shared" si="31"/>
        <v>247.25000000000003</v>
      </c>
      <c r="Y129" s="158">
        <f t="shared" si="31"/>
        <v>247.49999999999997</v>
      </c>
      <c r="Z129" s="158">
        <f t="shared" si="31"/>
        <v>247.49999999999997</v>
      </c>
      <c r="AA129" s="158">
        <f t="shared" si="31"/>
        <v>248.5691857947163</v>
      </c>
      <c r="AB129" s="158">
        <f t="shared" si="31"/>
        <v>245.26905586834127</v>
      </c>
      <c r="AC129" s="158">
        <f t="shared" si="31"/>
        <v>244.51905586834127</v>
      </c>
      <c r="AD129" s="158">
        <f t="shared" si="31"/>
        <v>246.99999999999997</v>
      </c>
      <c r="AE129" s="157">
        <f t="shared" si="29"/>
        <v>2966.773507076105</v>
      </c>
    </row>
    <row r="130" spans="1:31" outlineLevel="2">
      <c r="A130" s="135" t="str">
        <f t="shared" si="25"/>
        <v>MurreysCOMMERCIALR1YD2W</v>
      </c>
      <c r="B130" s="116" t="s">
        <v>475</v>
      </c>
      <c r="C130" s="116" t="s">
        <v>131</v>
      </c>
      <c r="D130" s="155">
        <v>182.29</v>
      </c>
      <c r="E130" s="155">
        <v>184.72</v>
      </c>
      <c r="F130" s="156">
        <v>0</v>
      </c>
      <c r="G130" s="156">
        <v>0</v>
      </c>
      <c r="H130" s="156">
        <v>0</v>
      </c>
      <c r="I130" s="156">
        <v>0</v>
      </c>
      <c r="J130" s="156">
        <v>45.57</v>
      </c>
      <c r="K130" s="156">
        <v>184.72</v>
      </c>
      <c r="L130" s="156">
        <v>0</v>
      </c>
      <c r="M130" s="156">
        <v>0</v>
      </c>
      <c r="N130" s="156">
        <v>0</v>
      </c>
      <c r="O130" s="156">
        <v>0</v>
      </c>
      <c r="P130" s="156">
        <v>0</v>
      </c>
      <c r="Q130" s="156">
        <v>0</v>
      </c>
      <c r="R130" s="157">
        <f t="shared" si="26"/>
        <v>230.29</v>
      </c>
      <c r="S130" s="158">
        <f t="shared" si="30"/>
        <v>0</v>
      </c>
      <c r="T130" s="158">
        <f t="shared" si="30"/>
        <v>0</v>
      </c>
      <c r="U130" s="158">
        <f t="shared" si="30"/>
        <v>0</v>
      </c>
      <c r="V130" s="158">
        <f t="shared" si="30"/>
        <v>0</v>
      </c>
      <c r="W130" s="158">
        <f t="shared" si="30"/>
        <v>0.24998628558889682</v>
      </c>
      <c r="X130" s="158">
        <f t="shared" si="31"/>
        <v>1</v>
      </c>
      <c r="Y130" s="158">
        <f t="shared" si="31"/>
        <v>0</v>
      </c>
      <c r="Z130" s="158">
        <f t="shared" si="31"/>
        <v>0</v>
      </c>
      <c r="AA130" s="158">
        <f t="shared" si="31"/>
        <v>0</v>
      </c>
      <c r="AB130" s="158">
        <f t="shared" si="31"/>
        <v>0</v>
      </c>
      <c r="AC130" s="158">
        <f t="shared" si="31"/>
        <v>0</v>
      </c>
      <c r="AD130" s="158">
        <f t="shared" si="31"/>
        <v>0</v>
      </c>
      <c r="AE130" s="157">
        <f t="shared" si="29"/>
        <v>1.2499862855888968</v>
      </c>
    </row>
    <row r="131" spans="1:31" outlineLevel="2">
      <c r="A131" s="135" t="str">
        <f t="shared" si="25"/>
        <v>MurreysCOMMERCIALR1YD3W</v>
      </c>
      <c r="B131" s="116" t="s">
        <v>476</v>
      </c>
      <c r="C131" s="116" t="s">
        <v>132</v>
      </c>
      <c r="D131" s="155">
        <v>273.44</v>
      </c>
      <c r="E131" s="155">
        <v>277.08</v>
      </c>
      <c r="F131" s="156">
        <v>0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56">
        <v>0</v>
      </c>
      <c r="Q131" s="156">
        <v>0</v>
      </c>
      <c r="R131" s="157">
        <f t="shared" si="26"/>
        <v>0</v>
      </c>
      <c r="S131" s="158">
        <f t="shared" si="30"/>
        <v>0</v>
      </c>
      <c r="T131" s="158">
        <f t="shared" si="30"/>
        <v>0</v>
      </c>
      <c r="U131" s="158">
        <f t="shared" si="30"/>
        <v>0</v>
      </c>
      <c r="V131" s="158">
        <f t="shared" si="30"/>
        <v>0</v>
      </c>
      <c r="W131" s="158">
        <f t="shared" si="30"/>
        <v>0</v>
      </c>
      <c r="X131" s="158">
        <f t="shared" si="31"/>
        <v>0</v>
      </c>
      <c r="Y131" s="158">
        <f t="shared" si="31"/>
        <v>0</v>
      </c>
      <c r="Z131" s="158">
        <f t="shared" si="31"/>
        <v>0</v>
      </c>
      <c r="AA131" s="158">
        <f t="shared" si="31"/>
        <v>0</v>
      </c>
      <c r="AB131" s="158">
        <f t="shared" si="31"/>
        <v>0</v>
      </c>
      <c r="AC131" s="158">
        <f t="shared" si="31"/>
        <v>0</v>
      </c>
      <c r="AD131" s="158">
        <f t="shared" si="31"/>
        <v>0</v>
      </c>
      <c r="AE131" s="157">
        <f t="shared" si="29"/>
        <v>0</v>
      </c>
    </row>
    <row r="132" spans="1:31" outlineLevel="2">
      <c r="A132" s="135" t="str">
        <f t="shared" si="25"/>
        <v>MurreysCOMMERCIALR1YDEOW</v>
      </c>
      <c r="B132" s="116" t="s">
        <v>477</v>
      </c>
      <c r="C132" s="116" t="s">
        <v>221</v>
      </c>
      <c r="D132" s="155">
        <v>0</v>
      </c>
      <c r="E132" s="155">
        <v>0</v>
      </c>
      <c r="F132" s="156">
        <v>0</v>
      </c>
      <c r="G132" s="156">
        <v>0</v>
      </c>
      <c r="H132" s="156">
        <v>0</v>
      </c>
      <c r="I132" s="156">
        <v>0</v>
      </c>
      <c r="J132" s="156">
        <v>0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56">
        <v>0</v>
      </c>
      <c r="Q132" s="156">
        <v>0</v>
      </c>
      <c r="R132" s="157">
        <f t="shared" si="26"/>
        <v>0</v>
      </c>
      <c r="S132" s="158">
        <f t="shared" si="30"/>
        <v>0</v>
      </c>
      <c r="T132" s="158">
        <f t="shared" si="30"/>
        <v>0</v>
      </c>
      <c r="U132" s="158">
        <f t="shared" si="30"/>
        <v>0</v>
      </c>
      <c r="V132" s="158">
        <f t="shared" si="30"/>
        <v>0</v>
      </c>
      <c r="W132" s="158">
        <f t="shared" si="30"/>
        <v>0</v>
      </c>
      <c r="X132" s="158">
        <f t="shared" si="31"/>
        <v>0</v>
      </c>
      <c r="Y132" s="158">
        <f t="shared" si="31"/>
        <v>0</v>
      </c>
      <c r="Z132" s="158">
        <f t="shared" si="31"/>
        <v>0</v>
      </c>
      <c r="AA132" s="158">
        <f t="shared" si="31"/>
        <v>0</v>
      </c>
      <c r="AB132" s="158">
        <f t="shared" si="31"/>
        <v>0</v>
      </c>
      <c r="AC132" s="158">
        <f t="shared" si="31"/>
        <v>0</v>
      </c>
      <c r="AD132" s="158">
        <f t="shared" si="31"/>
        <v>0</v>
      </c>
      <c r="AE132" s="157">
        <f t="shared" si="29"/>
        <v>0</v>
      </c>
    </row>
    <row r="133" spans="1:31" outlineLevel="2">
      <c r="A133" s="135" t="str">
        <f t="shared" si="25"/>
        <v>MurreysCOMMERCIALR1YDEX</v>
      </c>
      <c r="B133" s="116" t="s">
        <v>478</v>
      </c>
      <c r="C133" s="116" t="s">
        <v>222</v>
      </c>
      <c r="D133" s="155">
        <v>23.06</v>
      </c>
      <c r="E133" s="155">
        <v>23.34</v>
      </c>
      <c r="F133" s="156">
        <v>0</v>
      </c>
      <c r="G133" s="156">
        <v>0</v>
      </c>
      <c r="H133" s="156">
        <v>0</v>
      </c>
      <c r="I133" s="156">
        <v>0</v>
      </c>
      <c r="J133" s="156">
        <v>0</v>
      </c>
      <c r="K133" s="156">
        <v>70.02</v>
      </c>
      <c r="L133" s="156">
        <v>70.02</v>
      </c>
      <c r="M133" s="156">
        <v>167.17</v>
      </c>
      <c r="N133" s="156">
        <v>97.15</v>
      </c>
      <c r="O133" s="156">
        <v>46.68</v>
      </c>
      <c r="P133" s="156">
        <v>70.02</v>
      </c>
      <c r="Q133" s="156">
        <v>0</v>
      </c>
      <c r="R133" s="157">
        <f t="shared" si="26"/>
        <v>521.06000000000006</v>
      </c>
      <c r="S133" s="158">
        <f t="shared" si="30"/>
        <v>0</v>
      </c>
      <c r="T133" s="158">
        <f t="shared" si="30"/>
        <v>0</v>
      </c>
      <c r="U133" s="158">
        <f t="shared" si="30"/>
        <v>0</v>
      </c>
      <c r="V133" s="158">
        <f t="shared" si="30"/>
        <v>0</v>
      </c>
      <c r="W133" s="158">
        <f t="shared" si="30"/>
        <v>0</v>
      </c>
      <c r="X133" s="158">
        <f t="shared" si="31"/>
        <v>3</v>
      </c>
      <c r="Y133" s="158">
        <f t="shared" si="31"/>
        <v>3</v>
      </c>
      <c r="Z133" s="158">
        <f t="shared" si="31"/>
        <v>7.1623821765209934</v>
      </c>
      <c r="AA133" s="158">
        <f t="shared" si="31"/>
        <v>4.1623821765209943</v>
      </c>
      <c r="AB133" s="158">
        <f t="shared" si="31"/>
        <v>2</v>
      </c>
      <c r="AC133" s="158">
        <f t="shared" si="31"/>
        <v>3</v>
      </c>
      <c r="AD133" s="158">
        <f t="shared" si="31"/>
        <v>0</v>
      </c>
      <c r="AE133" s="157">
        <f t="shared" si="29"/>
        <v>22.324764353041985</v>
      </c>
    </row>
    <row r="134" spans="1:31" outlineLevel="2">
      <c r="A134" s="135" t="str">
        <f t="shared" si="25"/>
        <v>MurreysCOMMERCIALR1YDTPU</v>
      </c>
      <c r="B134" s="116" t="s">
        <v>479</v>
      </c>
      <c r="C134" s="116" t="s">
        <v>223</v>
      </c>
      <c r="D134" s="155">
        <v>92.24</v>
      </c>
      <c r="E134" s="155">
        <v>93.36</v>
      </c>
      <c r="F134" s="156">
        <v>207.54</v>
      </c>
      <c r="G134" s="156">
        <v>69.180000000000007</v>
      </c>
      <c r="H134" s="156">
        <v>0</v>
      </c>
      <c r="I134" s="156">
        <v>138.36000000000001</v>
      </c>
      <c r="J134" s="156">
        <v>92.24</v>
      </c>
      <c r="K134" s="156">
        <v>186.72</v>
      </c>
      <c r="L134" s="156">
        <v>210.06</v>
      </c>
      <c r="M134" s="156">
        <v>186.72</v>
      </c>
      <c r="N134" s="156">
        <v>490.14</v>
      </c>
      <c r="O134" s="156">
        <v>490.14</v>
      </c>
      <c r="P134" s="156">
        <v>583.5</v>
      </c>
      <c r="Q134" s="156">
        <v>186.72</v>
      </c>
      <c r="R134" s="157">
        <f t="shared" si="26"/>
        <v>2841.3199999999997</v>
      </c>
      <c r="S134" s="158">
        <f t="shared" si="30"/>
        <v>2.25</v>
      </c>
      <c r="T134" s="158">
        <f t="shared" si="30"/>
        <v>0.75000000000000011</v>
      </c>
      <c r="U134" s="158">
        <f t="shared" si="30"/>
        <v>0</v>
      </c>
      <c r="V134" s="158">
        <f t="shared" si="30"/>
        <v>1.5000000000000002</v>
      </c>
      <c r="W134" s="158">
        <f t="shared" si="30"/>
        <v>1</v>
      </c>
      <c r="X134" s="158">
        <f t="shared" si="31"/>
        <v>2</v>
      </c>
      <c r="Y134" s="158">
        <f t="shared" si="31"/>
        <v>2.25</v>
      </c>
      <c r="Z134" s="158">
        <f t="shared" si="31"/>
        <v>2</v>
      </c>
      <c r="AA134" s="158">
        <f t="shared" si="31"/>
        <v>5.25</v>
      </c>
      <c r="AB134" s="158">
        <f t="shared" si="31"/>
        <v>5.25</v>
      </c>
      <c r="AC134" s="158">
        <f t="shared" si="31"/>
        <v>6.25</v>
      </c>
      <c r="AD134" s="158">
        <f t="shared" si="31"/>
        <v>2</v>
      </c>
      <c r="AE134" s="157">
        <f t="shared" si="29"/>
        <v>30.5</v>
      </c>
    </row>
    <row r="135" spans="1:31" outlineLevel="2">
      <c r="A135" s="135" t="str">
        <f t="shared" si="25"/>
        <v>MurreysCOMMERCIALR2YD1W</v>
      </c>
      <c r="B135" s="116" t="s">
        <v>480</v>
      </c>
      <c r="C135" s="116" t="s">
        <v>134</v>
      </c>
      <c r="D135" s="155">
        <v>156.96</v>
      </c>
      <c r="E135" s="155">
        <v>159.16999999999999</v>
      </c>
      <c r="F135" s="156">
        <v>46152.22</v>
      </c>
      <c r="G135" s="156">
        <v>42967.8</v>
      </c>
      <c r="H135" s="156">
        <v>42850.080000000002</v>
      </c>
      <c r="I135" s="156">
        <v>42379.200000000004</v>
      </c>
      <c r="J135" s="156">
        <v>43046.28</v>
      </c>
      <c r="K135" s="156">
        <v>43180.68</v>
      </c>
      <c r="L135" s="156">
        <v>43296.439999999995</v>
      </c>
      <c r="M135" s="156">
        <v>45164.579999999994</v>
      </c>
      <c r="N135" s="156">
        <v>46885.390000000007</v>
      </c>
      <c r="O135" s="156">
        <v>47432.65</v>
      </c>
      <c r="P135" s="156">
        <v>47472.45</v>
      </c>
      <c r="Q135" s="156">
        <v>46636.81</v>
      </c>
      <c r="R135" s="157">
        <f t="shared" si="26"/>
        <v>537464.58000000007</v>
      </c>
      <c r="S135" s="158">
        <f t="shared" si="30"/>
        <v>294.03809887869522</v>
      </c>
      <c r="T135" s="158">
        <f t="shared" si="30"/>
        <v>273.75</v>
      </c>
      <c r="U135" s="158">
        <f t="shared" si="30"/>
        <v>273</v>
      </c>
      <c r="V135" s="158">
        <f t="shared" si="30"/>
        <v>270</v>
      </c>
      <c r="W135" s="158">
        <f t="shared" si="30"/>
        <v>274.25</v>
      </c>
      <c r="X135" s="158">
        <f t="shared" si="31"/>
        <v>271.28654897279642</v>
      </c>
      <c r="Y135" s="158">
        <f t="shared" si="31"/>
        <v>272.01382170006912</v>
      </c>
      <c r="Z135" s="158">
        <f t="shared" si="31"/>
        <v>283.75058113966196</v>
      </c>
      <c r="AA135" s="158">
        <f t="shared" si="31"/>
        <v>294.56172645599054</v>
      </c>
      <c r="AB135" s="158">
        <f t="shared" si="31"/>
        <v>297.99993717409063</v>
      </c>
      <c r="AC135" s="158">
        <f t="shared" si="31"/>
        <v>298.24998429352263</v>
      </c>
      <c r="AD135" s="158">
        <f t="shared" si="31"/>
        <v>293</v>
      </c>
      <c r="AE135" s="157">
        <f t="shared" si="29"/>
        <v>3395.9006986148261</v>
      </c>
    </row>
    <row r="136" spans="1:31" outlineLevel="2">
      <c r="A136" s="135" t="str">
        <f t="shared" si="25"/>
        <v>MurreysCOMMERCIALR2YD2W</v>
      </c>
      <c r="B136" s="116" t="s">
        <v>481</v>
      </c>
      <c r="C136" s="116" t="s">
        <v>135</v>
      </c>
      <c r="D136" s="155">
        <v>313.93</v>
      </c>
      <c r="E136" s="155">
        <v>318.33999999999997</v>
      </c>
      <c r="F136" s="156">
        <v>11026.79</v>
      </c>
      <c r="G136" s="156">
        <v>11458.45</v>
      </c>
      <c r="H136" s="156">
        <v>11419.210000000001</v>
      </c>
      <c r="I136" s="156">
        <v>11262.240000000002</v>
      </c>
      <c r="J136" s="156">
        <v>11379.970000000001</v>
      </c>
      <c r="K136" s="156">
        <v>11539.83</v>
      </c>
      <c r="L136" s="156">
        <v>12017.34</v>
      </c>
      <c r="M136" s="156">
        <v>12057.130000000001</v>
      </c>
      <c r="N136" s="156">
        <v>12057.130000000001</v>
      </c>
      <c r="O136" s="156">
        <v>11977.55</v>
      </c>
      <c r="P136" s="156">
        <v>11805.11</v>
      </c>
      <c r="Q136" s="156">
        <v>12096.92</v>
      </c>
      <c r="R136" s="157">
        <f t="shared" si="26"/>
        <v>140097.67000000001</v>
      </c>
      <c r="S136" s="158">
        <f t="shared" si="30"/>
        <v>35.124996018220628</v>
      </c>
      <c r="T136" s="158">
        <f t="shared" si="30"/>
        <v>36.500015927117509</v>
      </c>
      <c r="U136" s="158">
        <f t="shared" si="30"/>
        <v>36.375019908896888</v>
      </c>
      <c r="V136" s="158">
        <f t="shared" si="30"/>
        <v>35.875003981779379</v>
      </c>
      <c r="W136" s="158">
        <f t="shared" si="30"/>
        <v>36.250023890676268</v>
      </c>
      <c r="X136" s="158">
        <f t="shared" si="31"/>
        <v>36.250015706477356</v>
      </c>
      <c r="Y136" s="158">
        <f t="shared" si="31"/>
        <v>37.750015706477356</v>
      </c>
      <c r="Z136" s="158">
        <f t="shared" si="31"/>
        <v>37.875007853238685</v>
      </c>
      <c r="AA136" s="158">
        <f t="shared" si="31"/>
        <v>37.875007853238685</v>
      </c>
      <c r="AB136" s="158">
        <f t="shared" si="31"/>
        <v>37.625023559716027</v>
      </c>
      <c r="AC136" s="158">
        <f t="shared" si="31"/>
        <v>37.083338568825788</v>
      </c>
      <c r="AD136" s="158">
        <f t="shared" si="31"/>
        <v>38</v>
      </c>
      <c r="AE136" s="157">
        <f t="shared" si="29"/>
        <v>442.58346897466464</v>
      </c>
    </row>
    <row r="137" spans="1:31" outlineLevel="2">
      <c r="A137" s="135" t="str">
        <f t="shared" si="25"/>
        <v>MurreysCOMMERCIALR2YD3W</v>
      </c>
      <c r="B137" s="116" t="s">
        <v>482</v>
      </c>
      <c r="C137" s="116" t="s">
        <v>136</v>
      </c>
      <c r="D137" s="155">
        <v>470.89000000000004</v>
      </c>
      <c r="E137" s="155">
        <v>477.51</v>
      </c>
      <c r="F137" s="156">
        <v>4708.8999999999996</v>
      </c>
      <c r="G137" s="156">
        <v>4708.8999999999996</v>
      </c>
      <c r="H137" s="156">
        <v>4002.57</v>
      </c>
      <c r="I137" s="156">
        <v>4787.3799999999992</v>
      </c>
      <c r="J137" s="156">
        <v>5167.7199999999993</v>
      </c>
      <c r="K137" s="156">
        <v>5252.6100000000006</v>
      </c>
      <c r="L137" s="156">
        <v>5252.6100000000006</v>
      </c>
      <c r="M137" s="156">
        <v>5252.6100000000006</v>
      </c>
      <c r="N137" s="156">
        <v>5491.3700000000008</v>
      </c>
      <c r="O137" s="156">
        <v>5730.1200000000008</v>
      </c>
      <c r="P137" s="156">
        <v>5764.23</v>
      </c>
      <c r="Q137" s="156">
        <v>6008.67</v>
      </c>
      <c r="R137" s="157">
        <f t="shared" si="26"/>
        <v>62127.69</v>
      </c>
      <c r="S137" s="158">
        <f t="shared" si="30"/>
        <v>9.9999999999999982</v>
      </c>
      <c r="T137" s="158">
        <f t="shared" si="30"/>
        <v>9.9999999999999982</v>
      </c>
      <c r="U137" s="158">
        <f t="shared" si="30"/>
        <v>8.5000106181910837</v>
      </c>
      <c r="V137" s="158">
        <f t="shared" si="30"/>
        <v>10.166663127269636</v>
      </c>
      <c r="W137" s="158">
        <f t="shared" si="30"/>
        <v>10.974367686720887</v>
      </c>
      <c r="X137" s="158">
        <f t="shared" si="31"/>
        <v>11.000000000000002</v>
      </c>
      <c r="Y137" s="158">
        <f t="shared" si="31"/>
        <v>11.000000000000002</v>
      </c>
      <c r="Z137" s="158">
        <f t="shared" si="31"/>
        <v>11.000000000000002</v>
      </c>
      <c r="AA137" s="158">
        <f t="shared" si="31"/>
        <v>11.500010470984902</v>
      </c>
      <c r="AB137" s="158">
        <f t="shared" si="31"/>
        <v>12.000000000000002</v>
      </c>
      <c r="AC137" s="158">
        <f t="shared" si="31"/>
        <v>12.071433058993529</v>
      </c>
      <c r="AD137" s="158">
        <f t="shared" si="31"/>
        <v>12.583338568825784</v>
      </c>
      <c r="AE137" s="157">
        <f t="shared" si="29"/>
        <v>130.79582353098584</v>
      </c>
    </row>
    <row r="138" spans="1:31" outlineLevel="2">
      <c r="A138" s="135" t="str">
        <f t="shared" si="25"/>
        <v>MurreysCOMMERCIALR2YD4W</v>
      </c>
      <c r="B138" s="116" t="s">
        <v>483</v>
      </c>
      <c r="C138" s="116" t="s">
        <v>137</v>
      </c>
      <c r="D138" s="155">
        <v>627.85</v>
      </c>
      <c r="E138" s="155">
        <v>636.67999999999995</v>
      </c>
      <c r="F138" s="156">
        <v>627.85</v>
      </c>
      <c r="G138" s="156">
        <v>627.85</v>
      </c>
      <c r="H138" s="156">
        <v>627.85</v>
      </c>
      <c r="I138" s="156">
        <v>627.85</v>
      </c>
      <c r="J138" s="156">
        <v>627.85</v>
      </c>
      <c r="K138" s="156">
        <v>636.67999999999995</v>
      </c>
      <c r="L138" s="156">
        <v>636.67999999999995</v>
      </c>
      <c r="M138" s="156">
        <v>636.67999999999995</v>
      </c>
      <c r="N138" s="156">
        <v>636.67999999999995</v>
      </c>
      <c r="O138" s="156">
        <v>636.67999999999995</v>
      </c>
      <c r="P138" s="156">
        <v>636.67999999999995</v>
      </c>
      <c r="Q138" s="156">
        <v>636.67999999999995</v>
      </c>
      <c r="R138" s="157">
        <f t="shared" si="26"/>
        <v>7596.0100000000011</v>
      </c>
      <c r="S138" s="158">
        <f t="shared" si="30"/>
        <v>1</v>
      </c>
      <c r="T138" s="158">
        <f t="shared" si="30"/>
        <v>1</v>
      </c>
      <c r="U138" s="158">
        <f t="shared" si="30"/>
        <v>1</v>
      </c>
      <c r="V138" s="158">
        <f t="shared" si="30"/>
        <v>1</v>
      </c>
      <c r="W138" s="158">
        <f t="shared" si="30"/>
        <v>1</v>
      </c>
      <c r="X138" s="158">
        <f t="shared" si="31"/>
        <v>1</v>
      </c>
      <c r="Y138" s="158">
        <f t="shared" si="31"/>
        <v>1</v>
      </c>
      <c r="Z138" s="158">
        <f t="shared" si="31"/>
        <v>1</v>
      </c>
      <c r="AA138" s="158">
        <f t="shared" si="31"/>
        <v>1</v>
      </c>
      <c r="AB138" s="158">
        <f t="shared" si="31"/>
        <v>1</v>
      </c>
      <c r="AC138" s="158">
        <f t="shared" si="31"/>
        <v>1</v>
      </c>
      <c r="AD138" s="158">
        <f t="shared" si="31"/>
        <v>1</v>
      </c>
      <c r="AE138" s="157">
        <f t="shared" si="29"/>
        <v>12</v>
      </c>
    </row>
    <row r="139" spans="1:31" outlineLevel="2">
      <c r="A139" s="135" t="str">
        <f t="shared" si="25"/>
        <v>MurreysCOMMERCIALR2YD5W</v>
      </c>
      <c r="B139" s="116" t="s">
        <v>484</v>
      </c>
      <c r="C139" s="116" t="s">
        <v>138</v>
      </c>
      <c r="D139" s="155">
        <v>784.81</v>
      </c>
      <c r="E139" s="155">
        <v>795.85</v>
      </c>
      <c r="F139" s="156">
        <v>3924.0499999999997</v>
      </c>
      <c r="G139" s="156">
        <v>3924.0499999999997</v>
      </c>
      <c r="H139" s="156">
        <v>3924.0499999999997</v>
      </c>
      <c r="I139" s="156">
        <v>3924.0499999999997</v>
      </c>
      <c r="J139" s="156">
        <v>3924.0499999999997</v>
      </c>
      <c r="K139" s="156">
        <v>3979.25</v>
      </c>
      <c r="L139" s="156">
        <v>3979.25</v>
      </c>
      <c r="M139" s="156">
        <v>3979.25</v>
      </c>
      <c r="N139" s="156">
        <v>3979.25</v>
      </c>
      <c r="O139" s="156">
        <v>3979.25</v>
      </c>
      <c r="P139" s="156">
        <v>3183.4</v>
      </c>
      <c r="Q139" s="156">
        <v>3183.4</v>
      </c>
      <c r="R139" s="157">
        <f t="shared" si="26"/>
        <v>45883.3</v>
      </c>
      <c r="S139" s="158">
        <f t="shared" si="30"/>
        <v>5</v>
      </c>
      <c r="T139" s="158">
        <f t="shared" si="30"/>
        <v>5</v>
      </c>
      <c r="U139" s="158">
        <f t="shared" si="30"/>
        <v>5</v>
      </c>
      <c r="V139" s="158">
        <f t="shared" si="30"/>
        <v>5</v>
      </c>
      <c r="W139" s="158">
        <f t="shared" si="30"/>
        <v>5</v>
      </c>
      <c r="X139" s="158">
        <f t="shared" si="31"/>
        <v>5</v>
      </c>
      <c r="Y139" s="158">
        <f t="shared" si="31"/>
        <v>5</v>
      </c>
      <c r="Z139" s="158">
        <f t="shared" si="31"/>
        <v>5</v>
      </c>
      <c r="AA139" s="158">
        <f t="shared" ref="AA139:AD156" si="32">+IFERROR(N139/$E139,0)</f>
        <v>5</v>
      </c>
      <c r="AB139" s="158">
        <f t="shared" si="32"/>
        <v>5</v>
      </c>
      <c r="AC139" s="158">
        <f t="shared" si="32"/>
        <v>4</v>
      </c>
      <c r="AD139" s="158">
        <f t="shared" si="32"/>
        <v>4</v>
      </c>
      <c r="AE139" s="157">
        <f t="shared" si="29"/>
        <v>58</v>
      </c>
    </row>
    <row r="140" spans="1:31" outlineLevel="2">
      <c r="A140" s="135" t="str">
        <f t="shared" si="25"/>
        <v>MurreysCOMMERCIALR2YDEOW</v>
      </c>
      <c r="B140" s="116" t="s">
        <v>485</v>
      </c>
      <c r="C140" s="116" t="s">
        <v>224</v>
      </c>
      <c r="D140" s="155">
        <v>0</v>
      </c>
      <c r="E140" s="155">
        <v>0</v>
      </c>
      <c r="F140" s="156">
        <v>0</v>
      </c>
      <c r="G140" s="156">
        <v>0</v>
      </c>
      <c r="H140" s="156">
        <v>0</v>
      </c>
      <c r="I140" s="156">
        <v>0</v>
      </c>
      <c r="J140" s="156">
        <v>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56">
        <v>0</v>
      </c>
      <c r="Q140" s="156">
        <v>0</v>
      </c>
      <c r="R140" s="157">
        <f t="shared" si="26"/>
        <v>0</v>
      </c>
      <c r="S140" s="158">
        <f t="shared" si="30"/>
        <v>0</v>
      </c>
      <c r="T140" s="158">
        <f t="shared" si="30"/>
        <v>0</v>
      </c>
      <c r="U140" s="158">
        <f t="shared" si="30"/>
        <v>0</v>
      </c>
      <c r="V140" s="158">
        <f t="shared" si="30"/>
        <v>0</v>
      </c>
      <c r="W140" s="158">
        <f t="shared" si="30"/>
        <v>0</v>
      </c>
      <c r="X140" s="158">
        <f t="shared" ref="X140:Z156" si="33">+IFERROR(K140/$E140,0)</f>
        <v>0</v>
      </c>
      <c r="Y140" s="158">
        <f t="shared" si="33"/>
        <v>0</v>
      </c>
      <c r="Z140" s="158">
        <f t="shared" si="33"/>
        <v>0</v>
      </c>
      <c r="AA140" s="158">
        <f t="shared" si="32"/>
        <v>0</v>
      </c>
      <c r="AB140" s="158">
        <f t="shared" si="32"/>
        <v>0</v>
      </c>
      <c r="AC140" s="158">
        <f t="shared" si="32"/>
        <v>0</v>
      </c>
      <c r="AD140" s="158">
        <f t="shared" si="32"/>
        <v>0</v>
      </c>
      <c r="AE140" s="157">
        <f t="shared" si="29"/>
        <v>0</v>
      </c>
    </row>
    <row r="141" spans="1:31" outlineLevel="2">
      <c r="A141" s="135" t="str">
        <f t="shared" si="25"/>
        <v>MurreysCOMMERCIALR2YDEX</v>
      </c>
      <c r="B141" s="116" t="s">
        <v>486</v>
      </c>
      <c r="C141" s="116" t="s">
        <v>225</v>
      </c>
      <c r="D141" s="155">
        <v>38.26</v>
      </c>
      <c r="E141" s="155">
        <v>38.770000000000003</v>
      </c>
      <c r="F141" s="156">
        <v>38.26</v>
      </c>
      <c r="G141" s="156">
        <v>229.56</v>
      </c>
      <c r="H141" s="156">
        <v>76.52</v>
      </c>
      <c r="I141" s="156">
        <v>191.3</v>
      </c>
      <c r="J141" s="156">
        <v>229.56</v>
      </c>
      <c r="K141" s="156">
        <v>116.31</v>
      </c>
      <c r="L141" s="156">
        <v>38.770000000000003</v>
      </c>
      <c r="M141" s="156">
        <v>232.62</v>
      </c>
      <c r="N141" s="156">
        <v>38.770000000000003</v>
      </c>
      <c r="O141" s="156">
        <v>116.31</v>
      </c>
      <c r="P141" s="156">
        <v>681.82999999999993</v>
      </c>
      <c r="Q141" s="156">
        <v>0</v>
      </c>
      <c r="R141" s="157">
        <f t="shared" si="26"/>
        <v>1989.81</v>
      </c>
      <c r="S141" s="158">
        <f t="shared" si="30"/>
        <v>1</v>
      </c>
      <c r="T141" s="158">
        <f t="shared" si="30"/>
        <v>6</v>
      </c>
      <c r="U141" s="158">
        <f t="shared" si="30"/>
        <v>2</v>
      </c>
      <c r="V141" s="158">
        <f t="shared" si="30"/>
        <v>5.0000000000000009</v>
      </c>
      <c r="W141" s="158">
        <f t="shared" si="30"/>
        <v>6</v>
      </c>
      <c r="X141" s="158">
        <f t="shared" si="33"/>
        <v>3</v>
      </c>
      <c r="Y141" s="158">
        <f t="shared" si="33"/>
        <v>1</v>
      </c>
      <c r="Z141" s="158">
        <f t="shared" si="33"/>
        <v>6</v>
      </c>
      <c r="AA141" s="158">
        <f t="shared" si="32"/>
        <v>1</v>
      </c>
      <c r="AB141" s="158">
        <f t="shared" si="32"/>
        <v>3</v>
      </c>
      <c r="AC141" s="158">
        <f t="shared" si="32"/>
        <v>17.586535981428938</v>
      </c>
      <c r="AD141" s="158">
        <f t="shared" si="32"/>
        <v>0</v>
      </c>
      <c r="AE141" s="157">
        <f>+SUM(S141:AD141)/$AB$3</f>
        <v>51.586535981428938</v>
      </c>
    </row>
    <row r="142" spans="1:31" outlineLevel="2">
      <c r="A142" s="135" t="str">
        <f t="shared" si="25"/>
        <v>MurreysCOMMERCIALR2YDTPU</v>
      </c>
      <c r="B142" s="116" t="s">
        <v>487</v>
      </c>
      <c r="C142" s="116" t="s">
        <v>140</v>
      </c>
      <c r="D142" s="155">
        <v>153.04</v>
      </c>
      <c r="E142" s="155">
        <v>155.08000000000001</v>
      </c>
      <c r="F142" s="156">
        <v>1186.06</v>
      </c>
      <c r="G142" s="156">
        <v>726.93999999999994</v>
      </c>
      <c r="H142" s="156">
        <v>918.24</v>
      </c>
      <c r="I142" s="156">
        <v>1300.8399999999999</v>
      </c>
      <c r="J142" s="156">
        <v>612.16</v>
      </c>
      <c r="K142" s="156">
        <v>424.94</v>
      </c>
      <c r="L142" s="156">
        <v>1473.2600000000002</v>
      </c>
      <c r="M142" s="156">
        <v>1240.6399999999999</v>
      </c>
      <c r="N142" s="156">
        <v>1822.19</v>
      </c>
      <c r="O142" s="156">
        <v>1240.6399999999999</v>
      </c>
      <c r="P142" s="156">
        <v>1046.79</v>
      </c>
      <c r="Q142" s="156">
        <v>1822.1899999999998</v>
      </c>
      <c r="R142" s="157">
        <f t="shared" si="26"/>
        <v>13814.890000000001</v>
      </c>
      <c r="S142" s="158">
        <f t="shared" si="30"/>
        <v>7.75</v>
      </c>
      <c r="T142" s="158">
        <f t="shared" si="30"/>
        <v>4.75</v>
      </c>
      <c r="U142" s="158">
        <f t="shared" si="30"/>
        <v>6</v>
      </c>
      <c r="V142" s="158">
        <f t="shared" si="30"/>
        <v>8.5</v>
      </c>
      <c r="W142" s="158">
        <f t="shared" si="30"/>
        <v>4</v>
      </c>
      <c r="X142" s="158">
        <f t="shared" si="33"/>
        <v>2.74013412432293</v>
      </c>
      <c r="Y142" s="158">
        <f t="shared" si="33"/>
        <v>9.5</v>
      </c>
      <c r="Z142" s="158">
        <f t="shared" si="33"/>
        <v>7.9999999999999982</v>
      </c>
      <c r="AA142" s="158">
        <f t="shared" si="32"/>
        <v>11.75</v>
      </c>
      <c r="AB142" s="158">
        <f t="shared" si="32"/>
        <v>7.9999999999999982</v>
      </c>
      <c r="AC142" s="158">
        <f t="shared" si="32"/>
        <v>6.7499999999999991</v>
      </c>
      <c r="AD142" s="158">
        <f t="shared" si="32"/>
        <v>11.749999999999998</v>
      </c>
      <c r="AE142" s="157">
        <f t="shared" si="29"/>
        <v>89.490134124322921</v>
      </c>
    </row>
    <row r="143" spans="1:31" outlineLevel="2">
      <c r="A143" s="135" t="str">
        <f t="shared" si="25"/>
        <v>MurreysCOMMERCIALADJCOM</v>
      </c>
      <c r="B143" s="116" t="s">
        <v>488</v>
      </c>
      <c r="C143" s="116" t="s">
        <v>489</v>
      </c>
      <c r="D143" s="155">
        <v>0</v>
      </c>
      <c r="E143" s="155">
        <v>0</v>
      </c>
      <c r="F143" s="156">
        <v>0</v>
      </c>
      <c r="G143" s="156">
        <v>0</v>
      </c>
      <c r="H143" s="156">
        <v>0</v>
      </c>
      <c r="I143" s="156">
        <v>0</v>
      </c>
      <c r="J143" s="156">
        <v>0</v>
      </c>
      <c r="K143" s="156">
        <v>0</v>
      </c>
      <c r="L143" s="156">
        <v>-1.25</v>
      </c>
      <c r="M143" s="156">
        <v>0</v>
      </c>
      <c r="N143" s="156">
        <v>0</v>
      </c>
      <c r="O143" s="156">
        <v>-20.74</v>
      </c>
      <c r="P143" s="156">
        <v>0</v>
      </c>
      <c r="Q143" s="156">
        <v>0</v>
      </c>
      <c r="R143" s="157">
        <f t="shared" si="26"/>
        <v>-21.99</v>
      </c>
      <c r="S143" s="158">
        <f t="shared" si="30"/>
        <v>0</v>
      </c>
      <c r="T143" s="158">
        <f t="shared" si="30"/>
        <v>0</v>
      </c>
      <c r="U143" s="158">
        <f t="shared" si="30"/>
        <v>0</v>
      </c>
      <c r="V143" s="158">
        <f t="shared" si="30"/>
        <v>0</v>
      </c>
      <c r="W143" s="158">
        <f t="shared" si="30"/>
        <v>0</v>
      </c>
      <c r="X143" s="158">
        <f t="shared" si="33"/>
        <v>0</v>
      </c>
      <c r="Y143" s="158">
        <f t="shared" si="33"/>
        <v>0</v>
      </c>
      <c r="Z143" s="158">
        <f t="shared" si="33"/>
        <v>0</v>
      </c>
      <c r="AA143" s="158">
        <f t="shared" si="32"/>
        <v>0</v>
      </c>
      <c r="AB143" s="158">
        <f t="shared" si="32"/>
        <v>0</v>
      </c>
      <c r="AC143" s="158">
        <f t="shared" si="32"/>
        <v>0</v>
      </c>
      <c r="AD143" s="158">
        <f t="shared" si="32"/>
        <v>0</v>
      </c>
      <c r="AE143" s="157">
        <f t="shared" si="29"/>
        <v>0</v>
      </c>
    </row>
    <row r="144" spans="1:31" outlineLevel="2">
      <c r="A144" s="135" t="str">
        <f t="shared" si="25"/>
        <v>MurreysCOMMERCIALCCONNECT</v>
      </c>
      <c r="B144" s="116" t="s">
        <v>490</v>
      </c>
      <c r="C144" s="116" t="s">
        <v>491</v>
      </c>
      <c r="D144" s="155">
        <v>0</v>
      </c>
      <c r="E144" s="155">
        <v>0</v>
      </c>
      <c r="F144" s="156">
        <v>0</v>
      </c>
      <c r="G144" s="156">
        <v>0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56">
        <v>0</v>
      </c>
      <c r="Q144" s="156">
        <v>0</v>
      </c>
      <c r="R144" s="157">
        <f t="shared" si="26"/>
        <v>0</v>
      </c>
      <c r="S144" s="158">
        <f t="shared" si="30"/>
        <v>0</v>
      </c>
      <c r="T144" s="158">
        <f t="shared" si="30"/>
        <v>0</v>
      </c>
      <c r="U144" s="158">
        <f t="shared" si="30"/>
        <v>0</v>
      </c>
      <c r="V144" s="158">
        <f t="shared" si="30"/>
        <v>0</v>
      </c>
      <c r="W144" s="158">
        <f t="shared" si="30"/>
        <v>0</v>
      </c>
      <c r="X144" s="158">
        <f t="shared" si="33"/>
        <v>0</v>
      </c>
      <c r="Y144" s="158">
        <f t="shared" si="33"/>
        <v>0</v>
      </c>
      <c r="Z144" s="158">
        <f t="shared" si="33"/>
        <v>0</v>
      </c>
      <c r="AA144" s="158">
        <f t="shared" si="32"/>
        <v>0</v>
      </c>
      <c r="AB144" s="158">
        <f t="shared" si="32"/>
        <v>0</v>
      </c>
      <c r="AC144" s="158">
        <f t="shared" si="32"/>
        <v>0</v>
      </c>
      <c r="AD144" s="158">
        <f t="shared" si="32"/>
        <v>0</v>
      </c>
      <c r="AE144" s="157">
        <f t="shared" ref="AE144:AE156" si="34">+SUM(S144:AD144)/$AB$3</f>
        <v>0</v>
      </c>
    </row>
    <row r="145" spans="1:35" outlineLevel="2">
      <c r="A145" s="135" t="str">
        <f t="shared" si="25"/>
        <v>MurreysCOMMERCIALCDEL</v>
      </c>
      <c r="B145" s="116" t="s">
        <v>492</v>
      </c>
      <c r="C145" s="116" t="s">
        <v>493</v>
      </c>
      <c r="D145" s="155">
        <v>39.42</v>
      </c>
      <c r="E145" s="155">
        <v>39.42</v>
      </c>
      <c r="F145" s="156">
        <v>0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6">
        <v>0</v>
      </c>
      <c r="Q145" s="156">
        <v>0</v>
      </c>
      <c r="R145" s="157">
        <f t="shared" si="26"/>
        <v>0</v>
      </c>
      <c r="S145" s="158">
        <f t="shared" si="30"/>
        <v>0</v>
      </c>
      <c r="T145" s="158">
        <f t="shared" si="30"/>
        <v>0</v>
      </c>
      <c r="U145" s="158">
        <f t="shared" si="30"/>
        <v>0</v>
      </c>
      <c r="V145" s="158">
        <f t="shared" si="30"/>
        <v>0</v>
      </c>
      <c r="W145" s="158">
        <f t="shared" si="30"/>
        <v>0</v>
      </c>
      <c r="X145" s="158">
        <f t="shared" si="33"/>
        <v>0</v>
      </c>
      <c r="Y145" s="158">
        <f t="shared" si="33"/>
        <v>0</v>
      </c>
      <c r="Z145" s="158">
        <f t="shared" si="33"/>
        <v>0</v>
      </c>
      <c r="AA145" s="158">
        <f t="shared" si="32"/>
        <v>0</v>
      </c>
      <c r="AB145" s="158">
        <f t="shared" si="32"/>
        <v>0</v>
      </c>
      <c r="AC145" s="158">
        <f t="shared" si="32"/>
        <v>0</v>
      </c>
      <c r="AD145" s="158">
        <f t="shared" si="32"/>
        <v>0</v>
      </c>
      <c r="AE145" s="157">
        <f t="shared" si="34"/>
        <v>0</v>
      </c>
    </row>
    <row r="146" spans="1:35" outlineLevel="2">
      <c r="A146" s="135" t="str">
        <f t="shared" si="25"/>
        <v>MurreysCOMMERCIALCEX</v>
      </c>
      <c r="B146" s="116" t="s">
        <v>494</v>
      </c>
      <c r="C146" s="116" t="s">
        <v>226</v>
      </c>
      <c r="D146" s="155">
        <v>4.26</v>
      </c>
      <c r="E146" s="155">
        <v>4.3099999999999996</v>
      </c>
      <c r="F146" s="156">
        <v>1797.7199999999998</v>
      </c>
      <c r="G146" s="156">
        <v>417.38</v>
      </c>
      <c r="H146" s="156">
        <v>719.94</v>
      </c>
      <c r="I146" s="156">
        <v>677.33999999999992</v>
      </c>
      <c r="J146" s="156">
        <v>596.4</v>
      </c>
      <c r="K146" s="156">
        <v>896.13</v>
      </c>
      <c r="L146" s="156">
        <v>884.54</v>
      </c>
      <c r="M146" s="156">
        <v>1280.0700000000002</v>
      </c>
      <c r="N146" s="156">
        <v>668.05</v>
      </c>
      <c r="O146" s="156">
        <v>913.72</v>
      </c>
      <c r="P146" s="156">
        <v>1068.8800000000001</v>
      </c>
      <c r="Q146" s="156">
        <v>702.53</v>
      </c>
      <c r="R146" s="157">
        <f t="shared" si="26"/>
        <v>10622.700000000003</v>
      </c>
      <c r="S146" s="158">
        <f t="shared" si="30"/>
        <v>422</v>
      </c>
      <c r="T146" s="158">
        <f t="shared" si="30"/>
        <v>97.976525821596255</v>
      </c>
      <c r="U146" s="158">
        <f t="shared" si="30"/>
        <v>169.00000000000003</v>
      </c>
      <c r="V146" s="158">
        <f t="shared" si="30"/>
        <v>159</v>
      </c>
      <c r="W146" s="158">
        <f t="shared" si="30"/>
        <v>140</v>
      </c>
      <c r="X146" s="158">
        <f t="shared" si="33"/>
        <v>207.91879350348029</v>
      </c>
      <c r="Y146" s="158">
        <f t="shared" si="33"/>
        <v>205.22969837587007</v>
      </c>
      <c r="Z146" s="158">
        <f t="shared" si="33"/>
        <v>297.00000000000006</v>
      </c>
      <c r="AA146" s="158">
        <f t="shared" si="32"/>
        <v>155</v>
      </c>
      <c r="AB146" s="158">
        <f t="shared" si="32"/>
        <v>212.00000000000003</v>
      </c>
      <c r="AC146" s="158">
        <f t="shared" si="32"/>
        <v>248.00000000000006</v>
      </c>
      <c r="AD146" s="158">
        <f t="shared" si="32"/>
        <v>163</v>
      </c>
      <c r="AE146" s="157">
        <f t="shared" si="34"/>
        <v>2476.125017700947</v>
      </c>
      <c r="AI146" s="138">
        <f>AE146+AE147+'American Price Out'!AE146+'American Price Out'!AE147</f>
        <v>8898.226769475139</v>
      </c>
    </row>
    <row r="147" spans="1:35" outlineLevel="2">
      <c r="A147" s="135" t="str">
        <f t="shared" si="25"/>
        <v>MurreysCOMMERCIALCEXYD</v>
      </c>
      <c r="B147" s="116" t="s">
        <v>495</v>
      </c>
      <c r="C147" s="116" t="s">
        <v>227</v>
      </c>
      <c r="D147" s="155">
        <v>23.100000000000005</v>
      </c>
      <c r="E147" s="155">
        <v>23.3</v>
      </c>
      <c r="F147" s="156">
        <v>5751.9</v>
      </c>
      <c r="G147" s="156">
        <v>2691.1499999999996</v>
      </c>
      <c r="H147" s="156">
        <v>3326.4</v>
      </c>
      <c r="I147" s="156">
        <v>2298.4499999999998</v>
      </c>
      <c r="J147" s="156">
        <v>3429.24</v>
      </c>
      <c r="K147" s="156">
        <v>5005.8999999999996</v>
      </c>
      <c r="L147" s="156">
        <v>3658.1000000000004</v>
      </c>
      <c r="M147" s="156">
        <v>5289.1</v>
      </c>
      <c r="N147" s="156">
        <v>7059.9000000000005</v>
      </c>
      <c r="O147" s="156">
        <v>6558.95</v>
      </c>
      <c r="P147" s="156">
        <v>8556.89</v>
      </c>
      <c r="Q147" s="156">
        <v>5079.3999999999996</v>
      </c>
      <c r="R147" s="157">
        <f t="shared" si="26"/>
        <v>58705.38</v>
      </c>
      <c r="S147" s="158">
        <f t="shared" si="30"/>
        <v>248.99999999999994</v>
      </c>
      <c r="T147" s="158">
        <f t="shared" si="30"/>
        <v>116.49999999999996</v>
      </c>
      <c r="U147" s="158">
        <f t="shared" si="30"/>
        <v>143.99999999999997</v>
      </c>
      <c r="V147" s="158">
        <f t="shared" si="30"/>
        <v>99.499999999999972</v>
      </c>
      <c r="W147" s="158">
        <f t="shared" si="30"/>
        <v>148.45194805194802</v>
      </c>
      <c r="X147" s="158">
        <f t="shared" si="33"/>
        <v>214.84549356223172</v>
      </c>
      <c r="Y147" s="158">
        <f t="shared" si="33"/>
        <v>157</v>
      </c>
      <c r="Z147" s="158">
        <f t="shared" si="33"/>
        <v>227</v>
      </c>
      <c r="AA147" s="158">
        <f t="shared" si="32"/>
        <v>303</v>
      </c>
      <c r="AB147" s="158">
        <f t="shared" si="32"/>
        <v>281.5</v>
      </c>
      <c r="AC147" s="158">
        <f t="shared" si="32"/>
        <v>367.24849785407724</v>
      </c>
      <c r="AD147" s="158">
        <f t="shared" si="32"/>
        <v>217.99999999999997</v>
      </c>
      <c r="AE147" s="157">
        <f t="shared" si="34"/>
        <v>2526.0459394682571</v>
      </c>
    </row>
    <row r="148" spans="1:35" outlineLevel="2">
      <c r="A148" s="135" t="str">
        <f t="shared" si="25"/>
        <v>MurreysCOMMERCIALCLOCK</v>
      </c>
      <c r="B148" s="116" t="s">
        <v>496</v>
      </c>
      <c r="C148" s="116" t="s">
        <v>497</v>
      </c>
      <c r="D148" s="155">
        <v>4.37</v>
      </c>
      <c r="E148" s="155">
        <v>4.37</v>
      </c>
      <c r="F148" s="156">
        <v>48.03</v>
      </c>
      <c r="G148" s="156">
        <v>48.03</v>
      </c>
      <c r="H148" s="156">
        <v>48.03</v>
      </c>
      <c r="I148" s="156">
        <v>49.120000000000005</v>
      </c>
      <c r="J148" s="156">
        <v>54.59</v>
      </c>
      <c r="K148" s="156">
        <v>61.18</v>
      </c>
      <c r="L148" s="156">
        <v>65.55</v>
      </c>
      <c r="M148" s="156">
        <v>66.64</v>
      </c>
      <c r="N148" s="156">
        <v>74.289999999999992</v>
      </c>
      <c r="O148" s="156">
        <v>87.41</v>
      </c>
      <c r="P148" s="156">
        <v>99.42</v>
      </c>
      <c r="Q148" s="156">
        <v>104.88</v>
      </c>
      <c r="R148" s="157">
        <f t="shared" si="26"/>
        <v>807.17</v>
      </c>
      <c r="S148" s="158">
        <f t="shared" si="30"/>
        <v>10.990846681922196</v>
      </c>
      <c r="T148" s="158">
        <f t="shared" si="30"/>
        <v>10.990846681922196</v>
      </c>
      <c r="U148" s="158">
        <f t="shared" si="30"/>
        <v>10.990846681922196</v>
      </c>
      <c r="V148" s="158">
        <f t="shared" si="30"/>
        <v>11.240274599542335</v>
      </c>
      <c r="W148" s="158">
        <f t="shared" si="30"/>
        <v>12.491990846681922</v>
      </c>
      <c r="X148" s="158">
        <f t="shared" si="33"/>
        <v>14</v>
      </c>
      <c r="Y148" s="158">
        <f t="shared" si="33"/>
        <v>14.999999999999998</v>
      </c>
      <c r="Z148" s="158">
        <f t="shared" si="33"/>
        <v>15.249427917620137</v>
      </c>
      <c r="AA148" s="158">
        <f t="shared" si="32"/>
        <v>16.999999999999996</v>
      </c>
      <c r="AB148" s="158">
        <f t="shared" si="32"/>
        <v>20.002288329519448</v>
      </c>
      <c r="AC148" s="158">
        <f t="shared" si="32"/>
        <v>22.750572082379861</v>
      </c>
      <c r="AD148" s="158">
        <f t="shared" si="32"/>
        <v>24</v>
      </c>
      <c r="AE148" s="157">
        <f t="shared" si="34"/>
        <v>184.70709382151028</v>
      </c>
    </row>
    <row r="149" spans="1:35" outlineLevel="2">
      <c r="A149" s="135" t="str">
        <f t="shared" si="25"/>
        <v>MurreysCOMMERCIALCROLL</v>
      </c>
      <c r="B149" s="116" t="s">
        <v>498</v>
      </c>
      <c r="C149" s="116" t="s">
        <v>499</v>
      </c>
      <c r="D149" s="155">
        <v>15.72</v>
      </c>
      <c r="E149" s="155">
        <v>15.72</v>
      </c>
      <c r="F149" s="156">
        <v>1007.2900000000001</v>
      </c>
      <c r="G149" s="156">
        <v>779.61</v>
      </c>
      <c r="H149" s="156">
        <v>1050.52</v>
      </c>
      <c r="I149" s="156">
        <v>1066.24</v>
      </c>
      <c r="J149" s="156">
        <v>1062.94</v>
      </c>
      <c r="K149" s="156">
        <v>1019.0799999999999</v>
      </c>
      <c r="L149" s="156">
        <v>1058.3800000000001</v>
      </c>
      <c r="M149" s="156">
        <v>1015.15</v>
      </c>
      <c r="N149" s="156">
        <v>1003.36</v>
      </c>
      <c r="O149" s="156">
        <v>999.43</v>
      </c>
      <c r="P149" s="156">
        <v>1003.36</v>
      </c>
      <c r="Q149" s="156">
        <v>1011.22</v>
      </c>
      <c r="R149" s="157">
        <f t="shared" si="26"/>
        <v>12076.58</v>
      </c>
      <c r="S149" s="158">
        <f t="shared" si="30"/>
        <v>64.076972010178125</v>
      </c>
      <c r="T149" s="158">
        <f t="shared" si="30"/>
        <v>49.593511450381676</v>
      </c>
      <c r="U149" s="158">
        <f t="shared" si="30"/>
        <v>66.82697201017811</v>
      </c>
      <c r="V149" s="158">
        <f t="shared" si="30"/>
        <v>67.82697201017811</v>
      </c>
      <c r="W149" s="158">
        <f t="shared" si="30"/>
        <v>67.617048346055981</v>
      </c>
      <c r="X149" s="158">
        <f t="shared" si="33"/>
        <v>64.82697201017811</v>
      </c>
      <c r="Y149" s="158">
        <f t="shared" si="33"/>
        <v>67.326972010178125</v>
      </c>
      <c r="Z149" s="158">
        <f t="shared" si="33"/>
        <v>64.57697201017811</v>
      </c>
      <c r="AA149" s="158">
        <f t="shared" si="32"/>
        <v>63.826972010178118</v>
      </c>
      <c r="AB149" s="158">
        <f t="shared" si="32"/>
        <v>63.57697201017811</v>
      </c>
      <c r="AC149" s="158">
        <f t="shared" si="32"/>
        <v>63.826972010178118</v>
      </c>
      <c r="AD149" s="158">
        <f t="shared" si="32"/>
        <v>64.32697201017811</v>
      </c>
      <c r="AE149" s="157">
        <f t="shared" si="34"/>
        <v>768.23027989821878</v>
      </c>
    </row>
    <row r="150" spans="1:35" outlineLevel="2">
      <c r="A150" s="135" t="str">
        <f t="shared" si="25"/>
        <v>MurreysCOMMERCIALCTDEL</v>
      </c>
      <c r="B150" s="116" t="s">
        <v>500</v>
      </c>
      <c r="C150" s="116" t="s">
        <v>501</v>
      </c>
      <c r="D150" s="155">
        <v>39.42</v>
      </c>
      <c r="E150" s="155">
        <v>39.42</v>
      </c>
      <c r="F150" s="156">
        <v>748.98</v>
      </c>
      <c r="G150" s="156">
        <v>354.78000000000003</v>
      </c>
      <c r="H150" s="156">
        <v>433.62</v>
      </c>
      <c r="I150" s="156">
        <v>630.71999999999991</v>
      </c>
      <c r="J150" s="156">
        <v>236.51999999999998</v>
      </c>
      <c r="K150" s="156">
        <v>473.04</v>
      </c>
      <c r="L150" s="156">
        <v>748.98</v>
      </c>
      <c r="M150" s="156">
        <v>1064.3400000000001</v>
      </c>
      <c r="N150" s="156">
        <v>670.14</v>
      </c>
      <c r="O150" s="156">
        <v>906.66</v>
      </c>
      <c r="P150" s="156">
        <v>788.4</v>
      </c>
      <c r="Q150" s="156">
        <v>867.24</v>
      </c>
      <c r="R150" s="157">
        <f t="shared" si="26"/>
        <v>7923.4199999999992</v>
      </c>
      <c r="S150" s="158">
        <f t="shared" si="30"/>
        <v>19</v>
      </c>
      <c r="T150" s="158">
        <f t="shared" si="30"/>
        <v>9</v>
      </c>
      <c r="U150" s="158">
        <f t="shared" si="30"/>
        <v>11</v>
      </c>
      <c r="V150" s="158">
        <f t="shared" si="30"/>
        <v>15.999999999999996</v>
      </c>
      <c r="W150" s="158">
        <f t="shared" si="30"/>
        <v>5.9999999999999991</v>
      </c>
      <c r="X150" s="158">
        <f t="shared" si="33"/>
        <v>12</v>
      </c>
      <c r="Y150" s="158">
        <f t="shared" si="33"/>
        <v>19</v>
      </c>
      <c r="Z150" s="158">
        <f t="shared" si="33"/>
        <v>27.000000000000004</v>
      </c>
      <c r="AA150" s="158">
        <f t="shared" si="32"/>
        <v>17</v>
      </c>
      <c r="AB150" s="158">
        <f t="shared" si="32"/>
        <v>22.999999999999996</v>
      </c>
      <c r="AC150" s="158">
        <f t="shared" si="32"/>
        <v>20</v>
      </c>
      <c r="AD150" s="158">
        <f t="shared" si="32"/>
        <v>22</v>
      </c>
      <c r="AE150" s="157">
        <f t="shared" si="34"/>
        <v>201</v>
      </c>
    </row>
    <row r="151" spans="1:35" outlineLevel="2">
      <c r="A151" s="135" t="str">
        <f t="shared" ref="A151:A156" si="35">+$A$5&amp;$A$86&amp;B151</f>
        <v>MurreysCOMMERCIALCTRIP</v>
      </c>
      <c r="B151" s="116" t="s">
        <v>502</v>
      </c>
      <c r="C151" s="116" t="s">
        <v>503</v>
      </c>
      <c r="D151" s="155">
        <v>15.53</v>
      </c>
      <c r="E151" s="155">
        <v>15.53</v>
      </c>
      <c r="F151" s="156">
        <v>117.03</v>
      </c>
      <c r="G151" s="156">
        <v>108.71000000000001</v>
      </c>
      <c r="H151" s="156">
        <v>77.650000000000006</v>
      </c>
      <c r="I151" s="156">
        <v>108.71000000000001</v>
      </c>
      <c r="J151" s="156">
        <v>139.76999999999998</v>
      </c>
      <c r="K151" s="156">
        <v>217.42000000000002</v>
      </c>
      <c r="L151" s="156">
        <v>108.71000000000001</v>
      </c>
      <c r="M151" s="156">
        <v>186.36</v>
      </c>
      <c r="N151" s="156">
        <v>186.36</v>
      </c>
      <c r="O151" s="156">
        <v>250.33</v>
      </c>
      <c r="P151" s="156">
        <v>170.88</v>
      </c>
      <c r="Q151" s="156">
        <v>124.24</v>
      </c>
      <c r="R151" s="157">
        <f t="shared" ref="R151:R157" si="36">SUM(F151:Q151)</f>
        <v>1796.1700000000003</v>
      </c>
      <c r="S151" s="158">
        <f t="shared" si="30"/>
        <v>7.5357372826786868</v>
      </c>
      <c r="T151" s="158">
        <f t="shared" si="30"/>
        <v>7.0000000000000009</v>
      </c>
      <c r="U151" s="158">
        <f t="shared" si="30"/>
        <v>5.0000000000000009</v>
      </c>
      <c r="V151" s="158">
        <f t="shared" si="30"/>
        <v>7.0000000000000009</v>
      </c>
      <c r="W151" s="158">
        <f t="shared" si="30"/>
        <v>9</v>
      </c>
      <c r="X151" s="158">
        <f t="shared" si="33"/>
        <v>14.000000000000002</v>
      </c>
      <c r="Y151" s="158">
        <f t="shared" si="33"/>
        <v>7.0000000000000009</v>
      </c>
      <c r="Z151" s="158">
        <f t="shared" si="33"/>
        <v>12.000000000000002</v>
      </c>
      <c r="AA151" s="158">
        <f t="shared" si="32"/>
        <v>12.000000000000002</v>
      </c>
      <c r="AB151" s="158">
        <f t="shared" si="32"/>
        <v>16.119124275595624</v>
      </c>
      <c r="AC151" s="158">
        <f t="shared" si="32"/>
        <v>11.003219575016098</v>
      </c>
      <c r="AD151" s="158">
        <f t="shared" si="32"/>
        <v>8</v>
      </c>
      <c r="AE151" s="157">
        <f t="shared" si="34"/>
        <v>115.65808113329042</v>
      </c>
    </row>
    <row r="152" spans="1:35" outlineLevel="2">
      <c r="A152" s="135" t="str">
        <f t="shared" si="35"/>
        <v>MurreysCOMMERCIALCUNLOCK</v>
      </c>
      <c r="B152" s="116" t="s">
        <v>504</v>
      </c>
      <c r="C152" s="116" t="s">
        <v>505</v>
      </c>
      <c r="D152" s="155">
        <v>4.37</v>
      </c>
      <c r="E152" s="155">
        <v>4.37</v>
      </c>
      <c r="F152" s="156">
        <v>8.74</v>
      </c>
      <c r="G152" s="156">
        <v>12.74</v>
      </c>
      <c r="H152" s="156">
        <v>12.74</v>
      </c>
      <c r="I152" s="156">
        <v>12.74</v>
      </c>
      <c r="J152" s="156">
        <v>12.74</v>
      </c>
      <c r="K152" s="156">
        <v>8.74</v>
      </c>
      <c r="L152" s="156">
        <v>8.74</v>
      </c>
      <c r="M152" s="156">
        <v>10.93</v>
      </c>
      <c r="N152" s="156">
        <v>13.11</v>
      </c>
      <c r="O152" s="156">
        <v>14.12</v>
      </c>
      <c r="P152" s="156">
        <v>13.11</v>
      </c>
      <c r="Q152" s="156">
        <v>13.11</v>
      </c>
      <c r="R152" s="157">
        <f t="shared" si="36"/>
        <v>141.56</v>
      </c>
      <c r="S152" s="158">
        <f t="shared" si="30"/>
        <v>2</v>
      </c>
      <c r="T152" s="158">
        <f t="shared" si="30"/>
        <v>2.9153318077803205</v>
      </c>
      <c r="U152" s="158">
        <f t="shared" si="30"/>
        <v>2.9153318077803205</v>
      </c>
      <c r="V152" s="158">
        <f t="shared" si="30"/>
        <v>2.9153318077803205</v>
      </c>
      <c r="W152" s="158">
        <f t="shared" si="30"/>
        <v>2.9153318077803205</v>
      </c>
      <c r="X152" s="158">
        <f t="shared" si="33"/>
        <v>2</v>
      </c>
      <c r="Y152" s="158">
        <f t="shared" si="33"/>
        <v>2</v>
      </c>
      <c r="Z152" s="158">
        <f t="shared" si="33"/>
        <v>2.5011441647597255</v>
      </c>
      <c r="AA152" s="158">
        <f t="shared" si="32"/>
        <v>3</v>
      </c>
      <c r="AB152" s="158">
        <f t="shared" si="32"/>
        <v>3.2311212814645307</v>
      </c>
      <c r="AC152" s="158">
        <f t="shared" si="32"/>
        <v>3</v>
      </c>
      <c r="AD152" s="158">
        <f t="shared" si="32"/>
        <v>3</v>
      </c>
      <c r="AE152" s="157">
        <f t="shared" si="34"/>
        <v>32.393592677345538</v>
      </c>
    </row>
    <row r="153" spans="1:35" outlineLevel="2">
      <c r="A153" s="135" t="str">
        <f t="shared" si="35"/>
        <v>MurreysCOMMERCIALDRIVEDWAY-COMM</v>
      </c>
      <c r="B153" s="116" t="s">
        <v>506</v>
      </c>
      <c r="C153" s="116" t="s">
        <v>507</v>
      </c>
      <c r="D153" s="155">
        <v>0</v>
      </c>
      <c r="E153" s="155">
        <v>0</v>
      </c>
      <c r="F153" s="156">
        <v>0</v>
      </c>
      <c r="G153" s="156">
        <v>0</v>
      </c>
      <c r="H153" s="156">
        <v>0</v>
      </c>
      <c r="I153" s="156">
        <v>0</v>
      </c>
      <c r="J153" s="156">
        <v>0</v>
      </c>
      <c r="K153" s="156">
        <v>0</v>
      </c>
      <c r="L153" s="156">
        <v>0</v>
      </c>
      <c r="M153" s="156">
        <v>0</v>
      </c>
      <c r="N153" s="156">
        <v>48.2</v>
      </c>
      <c r="O153" s="156">
        <v>48.2</v>
      </c>
      <c r="P153" s="156">
        <v>48.2</v>
      </c>
      <c r="Q153" s="156">
        <v>48.2</v>
      </c>
      <c r="R153" s="157">
        <f t="shared" si="36"/>
        <v>192.8</v>
      </c>
      <c r="S153" s="158">
        <f t="shared" si="30"/>
        <v>0</v>
      </c>
      <c r="T153" s="158">
        <f t="shared" si="30"/>
        <v>0</v>
      </c>
      <c r="U153" s="158">
        <f t="shared" si="30"/>
        <v>0</v>
      </c>
      <c r="V153" s="158">
        <f t="shared" si="30"/>
        <v>0</v>
      </c>
      <c r="W153" s="158">
        <f t="shared" si="30"/>
        <v>0</v>
      </c>
      <c r="X153" s="158">
        <f t="shared" si="33"/>
        <v>0</v>
      </c>
      <c r="Y153" s="158">
        <f t="shared" si="33"/>
        <v>0</v>
      </c>
      <c r="Z153" s="158">
        <f t="shared" si="33"/>
        <v>0</v>
      </c>
      <c r="AA153" s="158">
        <f t="shared" si="32"/>
        <v>0</v>
      </c>
      <c r="AB153" s="158">
        <f t="shared" si="32"/>
        <v>0</v>
      </c>
      <c r="AC153" s="158">
        <f t="shared" si="32"/>
        <v>0</v>
      </c>
      <c r="AD153" s="158">
        <f t="shared" si="32"/>
        <v>0</v>
      </c>
      <c r="AE153" s="157">
        <f t="shared" si="34"/>
        <v>0</v>
      </c>
    </row>
    <row r="154" spans="1:35" outlineLevel="2">
      <c r="A154" s="135" t="str">
        <f t="shared" si="35"/>
        <v>MurreysCOMMERCIALDRIVEPVT-COMM</v>
      </c>
      <c r="B154" s="116" t="s">
        <v>508</v>
      </c>
      <c r="C154" s="116" t="s">
        <v>509</v>
      </c>
      <c r="D154" s="155">
        <v>0</v>
      </c>
      <c r="E154" s="155"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6">
        <v>0</v>
      </c>
      <c r="Q154" s="156">
        <v>0</v>
      </c>
      <c r="R154" s="157">
        <f t="shared" si="36"/>
        <v>0</v>
      </c>
      <c r="S154" s="158">
        <f t="shared" ref="S154:W156" si="37">+IFERROR(F154/$D154,0)</f>
        <v>0</v>
      </c>
      <c r="T154" s="158">
        <f t="shared" si="37"/>
        <v>0</v>
      </c>
      <c r="U154" s="158">
        <f t="shared" si="37"/>
        <v>0</v>
      </c>
      <c r="V154" s="158">
        <f t="shared" si="37"/>
        <v>0</v>
      </c>
      <c r="W154" s="158">
        <f t="shared" si="37"/>
        <v>0</v>
      </c>
      <c r="X154" s="158">
        <f t="shared" si="33"/>
        <v>0</v>
      </c>
      <c r="Y154" s="158">
        <f t="shared" si="33"/>
        <v>0</v>
      </c>
      <c r="Z154" s="158">
        <f t="shared" si="33"/>
        <v>0</v>
      </c>
      <c r="AA154" s="158">
        <f t="shared" si="32"/>
        <v>0</v>
      </c>
      <c r="AB154" s="158">
        <f t="shared" si="32"/>
        <v>0</v>
      </c>
      <c r="AC154" s="158">
        <f t="shared" si="32"/>
        <v>0</v>
      </c>
      <c r="AD154" s="158">
        <f t="shared" si="32"/>
        <v>0</v>
      </c>
      <c r="AE154" s="157">
        <f t="shared" si="34"/>
        <v>0</v>
      </c>
    </row>
    <row r="155" spans="1:35" outlineLevel="2">
      <c r="A155" s="135" t="str">
        <f t="shared" si="35"/>
        <v>MurreysCOMMERCIALDRVNC</v>
      </c>
      <c r="B155" s="116" t="s">
        <v>510</v>
      </c>
      <c r="C155" s="116" t="s">
        <v>511</v>
      </c>
      <c r="D155" s="155">
        <v>4.68</v>
      </c>
      <c r="E155" s="155">
        <v>4.68</v>
      </c>
      <c r="F155" s="156">
        <v>46.8</v>
      </c>
      <c r="G155" s="156">
        <v>46.8</v>
      </c>
      <c r="H155" s="156">
        <v>46.8</v>
      </c>
      <c r="I155" s="156">
        <v>46.8</v>
      </c>
      <c r="J155" s="156">
        <v>46.8</v>
      </c>
      <c r="K155" s="156">
        <v>46.8</v>
      </c>
      <c r="L155" s="156">
        <v>46.8</v>
      </c>
      <c r="M155" s="156">
        <v>46.8</v>
      </c>
      <c r="N155" s="156">
        <v>46.8</v>
      </c>
      <c r="O155" s="156">
        <v>42.12</v>
      </c>
      <c r="P155" s="156">
        <v>42.12</v>
      </c>
      <c r="Q155" s="156">
        <v>42.12</v>
      </c>
      <c r="R155" s="157">
        <f t="shared" si="36"/>
        <v>547.56000000000006</v>
      </c>
      <c r="S155" s="158">
        <f t="shared" si="37"/>
        <v>10</v>
      </c>
      <c r="T155" s="158">
        <f t="shared" si="37"/>
        <v>10</v>
      </c>
      <c r="U155" s="158">
        <f t="shared" si="37"/>
        <v>10</v>
      </c>
      <c r="V155" s="158">
        <f t="shared" si="37"/>
        <v>10</v>
      </c>
      <c r="W155" s="158">
        <f t="shared" si="37"/>
        <v>10</v>
      </c>
      <c r="X155" s="158">
        <f t="shared" si="33"/>
        <v>10</v>
      </c>
      <c r="Y155" s="158">
        <f t="shared" si="33"/>
        <v>10</v>
      </c>
      <c r="Z155" s="158">
        <f t="shared" si="33"/>
        <v>10</v>
      </c>
      <c r="AA155" s="158">
        <f t="shared" si="32"/>
        <v>10</v>
      </c>
      <c r="AB155" s="158">
        <f t="shared" si="32"/>
        <v>9</v>
      </c>
      <c r="AC155" s="158">
        <f t="shared" si="32"/>
        <v>9</v>
      </c>
      <c r="AD155" s="158">
        <f t="shared" si="32"/>
        <v>9</v>
      </c>
      <c r="AE155" s="157">
        <f t="shared" si="34"/>
        <v>117</v>
      </c>
    </row>
    <row r="156" spans="1:35" outlineLevel="2">
      <c r="A156" s="135" t="str">
        <f t="shared" si="35"/>
        <v>MurreysCOMMERCIALTIMEC</v>
      </c>
      <c r="B156" s="116" t="s">
        <v>512</v>
      </c>
      <c r="C156" s="116" t="s">
        <v>513</v>
      </c>
      <c r="D156" s="155">
        <v>0</v>
      </c>
      <c r="E156" s="155">
        <v>0</v>
      </c>
      <c r="F156" s="156">
        <v>95.95</v>
      </c>
      <c r="G156" s="156">
        <v>0</v>
      </c>
      <c r="H156" s="156">
        <v>3877.31</v>
      </c>
      <c r="I156" s="156">
        <v>25.63</v>
      </c>
      <c r="J156" s="156">
        <v>550.99</v>
      </c>
      <c r="K156" s="156">
        <v>5957.17</v>
      </c>
      <c r="L156" s="156">
        <v>3471.53</v>
      </c>
      <c r="M156" s="156">
        <v>5992.8099999999995</v>
      </c>
      <c r="N156" s="156">
        <v>4198.68</v>
      </c>
      <c r="O156" s="156">
        <v>1526.18</v>
      </c>
      <c r="P156" s="156">
        <v>3511.06</v>
      </c>
      <c r="Q156" s="156">
        <v>3719.32</v>
      </c>
      <c r="R156" s="157">
        <f t="shared" si="36"/>
        <v>32926.630000000005</v>
      </c>
      <c r="S156" s="158">
        <f t="shared" si="37"/>
        <v>0</v>
      </c>
      <c r="T156" s="158">
        <f t="shared" si="37"/>
        <v>0</v>
      </c>
      <c r="U156" s="158">
        <f t="shared" si="37"/>
        <v>0</v>
      </c>
      <c r="V156" s="158">
        <f t="shared" si="37"/>
        <v>0</v>
      </c>
      <c r="W156" s="158">
        <f t="shared" si="37"/>
        <v>0</v>
      </c>
      <c r="X156" s="158">
        <f t="shared" si="33"/>
        <v>0</v>
      </c>
      <c r="Y156" s="158">
        <f t="shared" si="33"/>
        <v>0</v>
      </c>
      <c r="Z156" s="158">
        <f t="shared" si="33"/>
        <v>0</v>
      </c>
      <c r="AA156" s="158">
        <f t="shared" si="32"/>
        <v>0</v>
      </c>
      <c r="AB156" s="158">
        <f t="shared" si="32"/>
        <v>0</v>
      </c>
      <c r="AC156" s="158">
        <f t="shared" si="32"/>
        <v>0</v>
      </c>
      <c r="AD156" s="158">
        <f t="shared" si="32"/>
        <v>0</v>
      </c>
      <c r="AE156" s="157">
        <f t="shared" si="34"/>
        <v>0</v>
      </c>
    </row>
    <row r="157" spans="1:35" outlineLevel="2">
      <c r="B157" s="169"/>
      <c r="C157" s="116"/>
      <c r="D157" s="155"/>
      <c r="E157" s="155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7">
        <f t="shared" si="36"/>
        <v>0</v>
      </c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7"/>
    </row>
    <row r="158" spans="1:35" outlineLevel="1">
      <c r="B158" s="116"/>
      <c r="C158" s="159" t="s">
        <v>514</v>
      </c>
      <c r="D158" s="155"/>
      <c r="E158" s="155"/>
      <c r="F158" s="162">
        <f t="shared" ref="F158:Q158" si="38">SUM(F87:F157)</f>
        <v>307157.77999999997</v>
      </c>
      <c r="G158" s="162">
        <f t="shared" si="38"/>
        <v>296893.16000000003</v>
      </c>
      <c r="H158" s="162">
        <f t="shared" si="38"/>
        <v>300620.37000000005</v>
      </c>
      <c r="I158" s="162">
        <f t="shared" si="38"/>
        <v>297883.49999999994</v>
      </c>
      <c r="J158" s="162">
        <f t="shared" si="38"/>
        <v>297782.92999999993</v>
      </c>
      <c r="K158" s="162">
        <f t="shared" si="38"/>
        <v>311127.96000000002</v>
      </c>
      <c r="L158" s="162">
        <f t="shared" si="38"/>
        <v>309332.32999999996</v>
      </c>
      <c r="M158" s="162">
        <f t="shared" si="38"/>
        <v>317282.48000000004</v>
      </c>
      <c r="N158" s="162">
        <f t="shared" si="38"/>
        <v>319206.98</v>
      </c>
      <c r="O158" s="162">
        <f t="shared" si="38"/>
        <v>312467.91999999993</v>
      </c>
      <c r="P158" s="162">
        <f t="shared" si="38"/>
        <v>320087.81999999995</v>
      </c>
      <c r="Q158" s="162">
        <f t="shared" si="38"/>
        <v>320490.38</v>
      </c>
      <c r="R158" s="163">
        <f>SUM(F158:Q158)</f>
        <v>3710333.6099999994</v>
      </c>
      <c r="S158" s="162">
        <f t="shared" ref="S158:AE158" si="39">SUM(S87:S93,S95:S97,S99:S102,S104:S108,S110:S117,S119:S121,S123:S126,S128:S132,S134:S140,S142)</f>
        <v>1147.5587155226601</v>
      </c>
      <c r="T158" s="162">
        <f t="shared" si="39"/>
        <v>1133.8010688065258</v>
      </c>
      <c r="U158" s="162">
        <f t="shared" si="39"/>
        <v>1130.2518096497042</v>
      </c>
      <c r="V158" s="162">
        <f t="shared" si="39"/>
        <v>1134.6878437527146</v>
      </c>
      <c r="W158" s="162">
        <f t="shared" si="39"/>
        <v>1128.5136729860524</v>
      </c>
      <c r="X158" s="162">
        <f t="shared" si="39"/>
        <v>1130.9033254421602</v>
      </c>
      <c r="Y158" s="162">
        <f t="shared" si="39"/>
        <v>1137.6387484846314</v>
      </c>
      <c r="Z158" s="162">
        <f t="shared" si="39"/>
        <v>1153.2508231773902</v>
      </c>
      <c r="AA158" s="162">
        <f t="shared" si="39"/>
        <v>1172.1050523581905</v>
      </c>
      <c r="AB158" s="162">
        <f t="shared" si="39"/>
        <v>1162.7770024488657</v>
      </c>
      <c r="AC158" s="162">
        <f t="shared" si="39"/>
        <v>1167.2160737325319</v>
      </c>
      <c r="AD158" s="162">
        <f t="shared" si="39"/>
        <v>1178.7168721162886</v>
      </c>
      <c r="AE158" s="163">
        <f t="shared" si="39"/>
        <v>13777.421008477715</v>
      </c>
    </row>
    <row r="159" spans="1:35" outlineLevel="1">
      <c r="B159" s="116"/>
      <c r="C159" s="159"/>
      <c r="D159" s="155"/>
      <c r="E159" s="155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3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3"/>
    </row>
    <row r="160" spans="1:35" outlineLevel="1">
      <c r="B160" s="116"/>
      <c r="C160" s="159"/>
      <c r="D160" s="155"/>
      <c r="E160" s="15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6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7"/>
    </row>
    <row r="161" spans="1:31" s="190" customFormat="1" outlineLevel="2">
      <c r="A161" s="190" t="s">
        <v>515</v>
      </c>
      <c r="B161" s="191" t="s">
        <v>516</v>
      </c>
      <c r="C161" s="192"/>
      <c r="D161" s="193"/>
      <c r="E161" s="193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</row>
    <row r="162" spans="1:31" outlineLevel="2">
      <c r="A162" s="135" t="str">
        <f t="shared" ref="A162:A197" si="40">+$A$5&amp;$A$161&amp;B162</f>
        <v>MurreysMULTI-FAMILY35MW1</v>
      </c>
      <c r="B162" s="116" t="s">
        <v>517</v>
      </c>
      <c r="C162" s="116" t="s">
        <v>228</v>
      </c>
      <c r="D162" s="155">
        <v>19.88</v>
      </c>
      <c r="E162" s="155">
        <v>20.63</v>
      </c>
      <c r="F162" s="156">
        <v>10461.85</v>
      </c>
      <c r="G162" s="156">
        <v>11169.130000000001</v>
      </c>
      <c r="H162" s="156">
        <v>11184.3</v>
      </c>
      <c r="I162" s="156">
        <v>11299.05</v>
      </c>
      <c r="J162" s="156">
        <v>11322</v>
      </c>
      <c r="K162" s="156">
        <v>11341.34</v>
      </c>
      <c r="L162" s="156">
        <v>11235.44</v>
      </c>
      <c r="M162" s="156">
        <v>11367.140000000001</v>
      </c>
      <c r="N162" s="156">
        <v>11392.91</v>
      </c>
      <c r="O162" s="156">
        <v>11346.5</v>
      </c>
      <c r="P162" s="156">
        <v>11227.900000000001</v>
      </c>
      <c r="Q162" s="156">
        <v>11031.890000000001</v>
      </c>
      <c r="R162" s="157">
        <f t="shared" ref="R162:R197" si="41">SUM(F162:Q162)</f>
        <v>134379.45000000001</v>
      </c>
      <c r="S162" s="158">
        <f t="shared" ref="S162:W197" si="42">+IFERROR(F162/$D162,0)</f>
        <v>526.25</v>
      </c>
      <c r="T162" s="158">
        <f t="shared" si="42"/>
        <v>561.82746478873253</v>
      </c>
      <c r="U162" s="158">
        <f t="shared" si="42"/>
        <v>562.59054325955731</v>
      </c>
      <c r="V162" s="158">
        <f t="shared" si="42"/>
        <v>568.36267605633805</v>
      </c>
      <c r="W162" s="158">
        <f t="shared" si="42"/>
        <v>569.51710261569417</v>
      </c>
      <c r="X162" s="158">
        <f t="shared" ref="X162:AD197" si="43">+IFERROR(K162/$E162,0)</f>
        <v>549.74987881725644</v>
      </c>
      <c r="Y162" s="158">
        <f t="shared" si="43"/>
        <v>544.61657779932148</v>
      </c>
      <c r="Z162" s="158">
        <f t="shared" si="43"/>
        <v>551.00048473097445</v>
      </c>
      <c r="AA162" s="158">
        <f t="shared" si="43"/>
        <v>552.24963645176933</v>
      </c>
      <c r="AB162" s="158">
        <f t="shared" si="43"/>
        <v>550</v>
      </c>
      <c r="AC162" s="158">
        <f t="shared" si="43"/>
        <v>544.25109064469234</v>
      </c>
      <c r="AD162" s="158">
        <f t="shared" si="43"/>
        <v>534.74987881725656</v>
      </c>
      <c r="AE162" s="157">
        <f t="shared" ref="AE162:AE197" si="44">+SUM(S162:AD162)/$AB$3</f>
        <v>6615.165333981593</v>
      </c>
    </row>
    <row r="163" spans="1:31" outlineLevel="2">
      <c r="A163" s="135" t="str">
        <f t="shared" si="40"/>
        <v>MurreysMULTI-FAMILY35MW1N</v>
      </c>
      <c r="B163" s="116" t="s">
        <v>518</v>
      </c>
      <c r="C163" s="116" t="s">
        <v>229</v>
      </c>
      <c r="D163" s="155">
        <v>20.63</v>
      </c>
      <c r="E163" s="155">
        <v>21.38</v>
      </c>
      <c r="F163" s="156">
        <v>82.52</v>
      </c>
      <c r="G163" s="156">
        <v>84.6</v>
      </c>
      <c r="H163" s="156">
        <v>84.6</v>
      </c>
      <c r="I163" s="156">
        <v>89.89</v>
      </c>
      <c r="J163" s="156">
        <v>105.75</v>
      </c>
      <c r="K163" s="156">
        <v>122.94</v>
      </c>
      <c r="L163" s="156">
        <v>128.28</v>
      </c>
      <c r="M163" s="156">
        <v>117.59</v>
      </c>
      <c r="N163" s="156">
        <v>106.9</v>
      </c>
      <c r="O163" s="156">
        <v>112.25</v>
      </c>
      <c r="P163" s="156">
        <v>128.28</v>
      </c>
      <c r="Q163" s="156">
        <v>128.28</v>
      </c>
      <c r="R163" s="157">
        <f t="shared" si="41"/>
        <v>1291.8799999999999</v>
      </c>
      <c r="S163" s="158">
        <f t="shared" si="42"/>
        <v>4</v>
      </c>
      <c r="T163" s="158">
        <f t="shared" si="42"/>
        <v>4.1008240426563258</v>
      </c>
      <c r="U163" s="158">
        <f t="shared" si="42"/>
        <v>4.1008240426563258</v>
      </c>
      <c r="V163" s="158">
        <f t="shared" si="42"/>
        <v>4.3572467280659239</v>
      </c>
      <c r="W163" s="158">
        <f t="shared" si="42"/>
        <v>5.1260300533204077</v>
      </c>
      <c r="X163" s="158">
        <f t="shared" si="43"/>
        <v>5.7502338634237606</v>
      </c>
      <c r="Y163" s="158">
        <f t="shared" si="43"/>
        <v>6</v>
      </c>
      <c r="Z163" s="158">
        <f t="shared" si="43"/>
        <v>5.5</v>
      </c>
      <c r="AA163" s="158">
        <f t="shared" si="43"/>
        <v>5.0000000000000009</v>
      </c>
      <c r="AB163" s="158">
        <f t="shared" si="43"/>
        <v>5.2502338634237606</v>
      </c>
      <c r="AC163" s="158">
        <f t="shared" si="43"/>
        <v>6</v>
      </c>
      <c r="AD163" s="158">
        <f t="shared" si="43"/>
        <v>6</v>
      </c>
      <c r="AE163" s="157">
        <f t="shared" si="44"/>
        <v>61.185392593546503</v>
      </c>
    </row>
    <row r="164" spans="1:31" outlineLevel="2">
      <c r="A164" s="135" t="str">
        <f t="shared" si="40"/>
        <v>MurreysMULTI-FAMILY65MW1</v>
      </c>
      <c r="B164" s="116" t="s">
        <v>519</v>
      </c>
      <c r="C164" s="116" t="s">
        <v>230</v>
      </c>
      <c r="D164" s="155">
        <v>31.209999999999997</v>
      </c>
      <c r="E164" s="155">
        <v>32.340000000000003</v>
      </c>
      <c r="F164" s="156">
        <v>3511.13</v>
      </c>
      <c r="G164" s="156">
        <v>3722.33</v>
      </c>
      <c r="H164" s="156">
        <v>3914.45</v>
      </c>
      <c r="I164" s="156">
        <v>4090.5600000000004</v>
      </c>
      <c r="J164" s="156">
        <v>4178.6099999999997</v>
      </c>
      <c r="K164" s="156">
        <v>5222.3700000000008</v>
      </c>
      <c r="L164" s="156">
        <v>5343.87</v>
      </c>
      <c r="M164" s="156">
        <v>5489.41</v>
      </c>
      <c r="N164" s="156">
        <v>5578.34</v>
      </c>
      <c r="O164" s="156">
        <v>5845.4699999999993</v>
      </c>
      <c r="P164" s="156">
        <v>6007.16</v>
      </c>
      <c r="Q164" s="156">
        <v>6071.84</v>
      </c>
      <c r="R164" s="157">
        <f t="shared" si="41"/>
        <v>58975.540000000008</v>
      </c>
      <c r="S164" s="158">
        <f t="shared" si="42"/>
        <v>112.5001602050625</v>
      </c>
      <c r="T164" s="158">
        <f t="shared" si="42"/>
        <v>119.26722204421661</v>
      </c>
      <c r="U164" s="158">
        <f t="shared" si="42"/>
        <v>125.42294136494714</v>
      </c>
      <c r="V164" s="158">
        <f t="shared" si="42"/>
        <v>131.06568407561682</v>
      </c>
      <c r="W164" s="158">
        <f t="shared" si="42"/>
        <v>133.88689522588913</v>
      </c>
      <c r="X164" s="158">
        <f t="shared" si="43"/>
        <v>161.48330241187384</v>
      </c>
      <c r="Y164" s="158">
        <f t="shared" si="43"/>
        <v>165.24025974025972</v>
      </c>
      <c r="Z164" s="158">
        <f t="shared" si="43"/>
        <v>169.74056895485464</v>
      </c>
      <c r="AA164" s="158">
        <f t="shared" si="43"/>
        <v>172.49041434755719</v>
      </c>
      <c r="AB164" s="158">
        <f t="shared" si="43"/>
        <v>180.75046382189237</v>
      </c>
      <c r="AC164" s="158">
        <f t="shared" si="43"/>
        <v>185.75015460729745</v>
      </c>
      <c r="AD164" s="158">
        <f t="shared" si="43"/>
        <v>187.75015460729745</v>
      </c>
      <c r="AE164" s="157">
        <f t="shared" si="44"/>
        <v>1845.3482214067649</v>
      </c>
    </row>
    <row r="165" spans="1:31" outlineLevel="2">
      <c r="A165" s="135" t="str">
        <f t="shared" si="40"/>
        <v>MurreysMULTI-FAMILY65MW1N</v>
      </c>
      <c r="B165" s="116" t="s">
        <v>520</v>
      </c>
      <c r="C165" s="116" t="s">
        <v>231</v>
      </c>
      <c r="D165" s="155">
        <v>31.959999999999997</v>
      </c>
      <c r="E165" s="155">
        <v>33.090000000000003</v>
      </c>
      <c r="F165" s="156">
        <v>63.92</v>
      </c>
      <c r="G165" s="156">
        <v>65.540000000000006</v>
      </c>
      <c r="H165" s="156">
        <v>-192.57</v>
      </c>
      <c r="I165" s="156">
        <v>0</v>
      </c>
      <c r="J165" s="156">
        <v>0</v>
      </c>
      <c r="K165" s="156">
        <v>0</v>
      </c>
      <c r="L165" s="156">
        <v>0</v>
      </c>
      <c r="M165" s="156">
        <v>0</v>
      </c>
      <c r="N165" s="156">
        <v>0</v>
      </c>
      <c r="O165" s="156">
        <v>0</v>
      </c>
      <c r="P165" s="156">
        <v>0</v>
      </c>
      <c r="Q165" s="156">
        <v>0</v>
      </c>
      <c r="R165" s="157">
        <f t="shared" si="41"/>
        <v>-63.109999999999985</v>
      </c>
      <c r="S165" s="158">
        <f t="shared" si="42"/>
        <v>2.0000000000000004</v>
      </c>
      <c r="T165" s="158">
        <f t="shared" si="42"/>
        <v>2.0506883604505637</v>
      </c>
      <c r="U165" s="158">
        <f t="shared" si="42"/>
        <v>-6.0253441802252823</v>
      </c>
      <c r="V165" s="158">
        <f t="shared" si="42"/>
        <v>0</v>
      </c>
      <c r="W165" s="158">
        <f t="shared" si="42"/>
        <v>0</v>
      </c>
      <c r="X165" s="158">
        <f t="shared" si="43"/>
        <v>0</v>
      </c>
      <c r="Y165" s="158">
        <f t="shared" si="43"/>
        <v>0</v>
      </c>
      <c r="Z165" s="158">
        <f t="shared" si="43"/>
        <v>0</v>
      </c>
      <c r="AA165" s="158">
        <f t="shared" si="43"/>
        <v>0</v>
      </c>
      <c r="AB165" s="158">
        <f t="shared" si="43"/>
        <v>0</v>
      </c>
      <c r="AC165" s="158">
        <f t="shared" si="43"/>
        <v>0</v>
      </c>
      <c r="AD165" s="158">
        <f t="shared" si="43"/>
        <v>0</v>
      </c>
      <c r="AE165" s="157">
        <f t="shared" si="44"/>
        <v>-1.9746558197747177</v>
      </c>
    </row>
    <row r="166" spans="1:31" outlineLevel="2">
      <c r="A166" s="135" t="str">
        <f t="shared" si="40"/>
        <v>MurreysMULTI-FAMILY95MW1</v>
      </c>
      <c r="B166" s="116" t="s">
        <v>521</v>
      </c>
      <c r="C166" s="116" t="s">
        <v>232</v>
      </c>
      <c r="D166" s="155">
        <v>45.97</v>
      </c>
      <c r="E166" s="155">
        <v>47.64</v>
      </c>
      <c r="F166" s="156">
        <v>1735.3700000000001</v>
      </c>
      <c r="G166" s="156">
        <v>1945.17</v>
      </c>
      <c r="H166" s="156">
        <v>1816.04</v>
      </c>
      <c r="I166" s="156">
        <v>2075.48</v>
      </c>
      <c r="J166" s="156">
        <v>2099.0700000000002</v>
      </c>
      <c r="K166" s="156">
        <v>2226.94</v>
      </c>
      <c r="L166" s="156">
        <v>2191.44</v>
      </c>
      <c r="M166" s="156">
        <v>2286.7200000000003</v>
      </c>
      <c r="N166" s="156">
        <v>2417.73</v>
      </c>
      <c r="O166" s="156">
        <v>2727.39</v>
      </c>
      <c r="P166" s="156">
        <v>2870.31</v>
      </c>
      <c r="Q166" s="156">
        <v>2882.22</v>
      </c>
      <c r="R166" s="157">
        <f t="shared" si="41"/>
        <v>27273.88</v>
      </c>
      <c r="S166" s="158">
        <f t="shared" si="42"/>
        <v>37.750054383293453</v>
      </c>
      <c r="T166" s="158">
        <f t="shared" si="42"/>
        <v>42.313900369806397</v>
      </c>
      <c r="U166" s="158">
        <f t="shared" si="42"/>
        <v>39.504894496410699</v>
      </c>
      <c r="V166" s="158">
        <f t="shared" si="42"/>
        <v>45.148575157711555</v>
      </c>
      <c r="W166" s="158">
        <f t="shared" si="42"/>
        <v>45.661735914727004</v>
      </c>
      <c r="X166" s="158">
        <f t="shared" si="43"/>
        <v>46.745172124265324</v>
      </c>
      <c r="Y166" s="158">
        <f t="shared" si="43"/>
        <v>46</v>
      </c>
      <c r="Z166" s="158">
        <f t="shared" si="43"/>
        <v>48.000000000000007</v>
      </c>
      <c r="AA166" s="158">
        <f t="shared" si="43"/>
        <v>50.75</v>
      </c>
      <c r="AB166" s="158">
        <f t="shared" si="43"/>
        <v>57.25</v>
      </c>
      <c r="AC166" s="158">
        <f t="shared" si="43"/>
        <v>60.25</v>
      </c>
      <c r="AD166" s="158">
        <f t="shared" si="43"/>
        <v>60.499999999999993</v>
      </c>
      <c r="AE166" s="157">
        <f t="shared" si="44"/>
        <v>579.87433244621434</v>
      </c>
    </row>
    <row r="167" spans="1:31" outlineLevel="2">
      <c r="A167" s="135" t="str">
        <f t="shared" si="40"/>
        <v>MurreysMULTI-FAMILY95MW1N</v>
      </c>
      <c r="B167" s="116" t="s">
        <v>522</v>
      </c>
      <c r="C167" s="116" t="s">
        <v>233</v>
      </c>
      <c r="D167" s="155">
        <v>46.72</v>
      </c>
      <c r="E167" s="155">
        <v>48.39</v>
      </c>
      <c r="F167" s="156">
        <v>46.72</v>
      </c>
      <c r="G167" s="156">
        <v>47.92</v>
      </c>
      <c r="H167" s="156">
        <v>47.92</v>
      </c>
      <c r="I167" s="156">
        <v>47.92</v>
      </c>
      <c r="J167" s="156">
        <v>47.92</v>
      </c>
      <c r="K167" s="156">
        <v>48.39</v>
      </c>
      <c r="L167" s="156">
        <v>48.39</v>
      </c>
      <c r="M167" s="156">
        <v>0</v>
      </c>
      <c r="N167" s="156">
        <v>0</v>
      </c>
      <c r="O167" s="156">
        <v>48.39</v>
      </c>
      <c r="P167" s="156">
        <v>48.39</v>
      </c>
      <c r="Q167" s="156">
        <v>48.39</v>
      </c>
      <c r="R167" s="157">
        <f t="shared" si="41"/>
        <v>480.34999999999997</v>
      </c>
      <c r="S167" s="158">
        <f t="shared" si="42"/>
        <v>1</v>
      </c>
      <c r="T167" s="158">
        <f t="shared" si="42"/>
        <v>1.0256849315068495</v>
      </c>
      <c r="U167" s="158">
        <f t="shared" si="42"/>
        <v>1.0256849315068495</v>
      </c>
      <c r="V167" s="158">
        <f t="shared" si="42"/>
        <v>1.0256849315068495</v>
      </c>
      <c r="W167" s="158">
        <f t="shared" si="42"/>
        <v>1.0256849315068495</v>
      </c>
      <c r="X167" s="158">
        <f t="shared" si="43"/>
        <v>1</v>
      </c>
      <c r="Y167" s="158">
        <f t="shared" si="43"/>
        <v>1</v>
      </c>
      <c r="Z167" s="158">
        <f t="shared" si="43"/>
        <v>0</v>
      </c>
      <c r="AA167" s="158">
        <f t="shared" si="43"/>
        <v>0</v>
      </c>
      <c r="AB167" s="158">
        <f t="shared" si="43"/>
        <v>1</v>
      </c>
      <c r="AC167" s="158">
        <f t="shared" si="43"/>
        <v>1</v>
      </c>
      <c r="AD167" s="158">
        <f t="shared" si="43"/>
        <v>1</v>
      </c>
      <c r="AE167" s="157">
        <f t="shared" si="44"/>
        <v>10.102739726027398</v>
      </c>
    </row>
    <row r="168" spans="1:31" outlineLevel="2">
      <c r="A168" s="135" t="str">
        <f t="shared" si="40"/>
        <v>MurreysMULTI-FAMILYM1.5YD1W</v>
      </c>
      <c r="B168" s="170" t="s">
        <v>523</v>
      </c>
      <c r="C168" s="170" t="s">
        <v>108</v>
      </c>
      <c r="D168" s="155">
        <v>154.66999999999999</v>
      </c>
      <c r="E168" s="155">
        <v>152.37</v>
      </c>
      <c r="F168" s="156">
        <v>6766.81</v>
      </c>
      <c r="G168" s="156">
        <v>6650.81</v>
      </c>
      <c r="H168" s="156">
        <v>6341.47</v>
      </c>
      <c r="I168" s="156">
        <v>6341.47</v>
      </c>
      <c r="J168" s="156">
        <v>6305.75</v>
      </c>
      <c r="K168" s="156">
        <v>6247.17</v>
      </c>
      <c r="L168" s="156">
        <v>6247.18</v>
      </c>
      <c r="M168" s="156">
        <v>6475.73</v>
      </c>
      <c r="N168" s="156">
        <v>6704.2800000000007</v>
      </c>
      <c r="O168" s="156">
        <v>6669.0900000000011</v>
      </c>
      <c r="P168" s="156">
        <v>6780.4699999999993</v>
      </c>
      <c r="Q168" s="156">
        <v>6247.17</v>
      </c>
      <c r="R168" s="157">
        <f t="shared" si="41"/>
        <v>77777.399999999994</v>
      </c>
      <c r="S168" s="158">
        <f t="shared" si="42"/>
        <v>43.749983836555252</v>
      </c>
      <c r="T168" s="158">
        <f t="shared" si="42"/>
        <v>43.000000000000007</v>
      </c>
      <c r="U168" s="158">
        <f t="shared" si="42"/>
        <v>41.000000000000007</v>
      </c>
      <c r="V168" s="158">
        <f t="shared" si="42"/>
        <v>41.000000000000007</v>
      </c>
      <c r="W168" s="158">
        <f t="shared" si="42"/>
        <v>40.7690567013642</v>
      </c>
      <c r="X168" s="158">
        <f t="shared" si="43"/>
        <v>41</v>
      </c>
      <c r="Y168" s="158">
        <f t="shared" si="43"/>
        <v>41.000065629717135</v>
      </c>
      <c r="Z168" s="158">
        <f t="shared" si="43"/>
        <v>42.500032814858564</v>
      </c>
      <c r="AA168" s="158">
        <f t="shared" si="43"/>
        <v>44</v>
      </c>
      <c r="AB168" s="158">
        <f t="shared" si="43"/>
        <v>43.769049025398708</v>
      </c>
      <c r="AC168" s="158">
        <f t="shared" si="43"/>
        <v>44.500032814858564</v>
      </c>
      <c r="AD168" s="158">
        <f t="shared" si="43"/>
        <v>41</v>
      </c>
      <c r="AE168" s="157">
        <f t="shared" si="44"/>
        <v>507.28822082275246</v>
      </c>
    </row>
    <row r="169" spans="1:31" outlineLevel="2">
      <c r="A169" s="135" t="str">
        <f t="shared" si="40"/>
        <v>MurreysMULTI-FAMILYM1.5YD2W</v>
      </c>
      <c r="B169" s="170" t="s">
        <v>524</v>
      </c>
      <c r="C169" s="170" t="s">
        <v>109</v>
      </c>
      <c r="D169" s="155">
        <v>309.33999999999997</v>
      </c>
      <c r="E169" s="155">
        <v>304.75</v>
      </c>
      <c r="F169" s="156">
        <v>0</v>
      </c>
      <c r="G169" s="156">
        <v>0</v>
      </c>
      <c r="H169" s="156">
        <v>309.33999999999997</v>
      </c>
      <c r="I169" s="156">
        <v>309.33999999999997</v>
      </c>
      <c r="J169" s="156">
        <v>309.33999999999997</v>
      </c>
      <c r="K169" s="156">
        <v>304.75</v>
      </c>
      <c r="L169" s="156">
        <v>304.75</v>
      </c>
      <c r="M169" s="156">
        <v>304.75</v>
      </c>
      <c r="N169" s="156">
        <v>304.75</v>
      </c>
      <c r="O169" s="156">
        <v>304.75</v>
      </c>
      <c r="P169" s="156">
        <v>304.75</v>
      </c>
      <c r="Q169" s="156">
        <v>304.75</v>
      </c>
      <c r="R169" s="157">
        <f t="shared" si="41"/>
        <v>3061.27</v>
      </c>
      <c r="S169" s="158">
        <f t="shared" si="42"/>
        <v>0</v>
      </c>
      <c r="T169" s="158">
        <f t="shared" si="42"/>
        <v>0</v>
      </c>
      <c r="U169" s="158">
        <f t="shared" si="42"/>
        <v>1</v>
      </c>
      <c r="V169" s="158">
        <f t="shared" si="42"/>
        <v>1</v>
      </c>
      <c r="W169" s="158">
        <f t="shared" si="42"/>
        <v>1</v>
      </c>
      <c r="X169" s="158">
        <f t="shared" si="43"/>
        <v>1</v>
      </c>
      <c r="Y169" s="158">
        <f t="shared" si="43"/>
        <v>1</v>
      </c>
      <c r="Z169" s="158">
        <f t="shared" si="43"/>
        <v>1</v>
      </c>
      <c r="AA169" s="158">
        <f t="shared" si="43"/>
        <v>1</v>
      </c>
      <c r="AB169" s="158">
        <f t="shared" si="43"/>
        <v>1</v>
      </c>
      <c r="AC169" s="158">
        <f t="shared" si="43"/>
        <v>1</v>
      </c>
      <c r="AD169" s="158">
        <f t="shared" si="43"/>
        <v>1</v>
      </c>
      <c r="AE169" s="157">
        <f t="shared" si="44"/>
        <v>10</v>
      </c>
    </row>
    <row r="170" spans="1:31" outlineLevel="2">
      <c r="A170" s="135" t="str">
        <f t="shared" si="40"/>
        <v>MurreysMULTI-FAMILYM1.5YD3W</v>
      </c>
      <c r="B170" s="170" t="s">
        <v>525</v>
      </c>
      <c r="C170" s="170" t="s">
        <v>110</v>
      </c>
      <c r="D170" s="155">
        <v>464</v>
      </c>
      <c r="E170" s="155">
        <v>457.12</v>
      </c>
      <c r="F170" s="156">
        <v>0</v>
      </c>
      <c r="G170" s="156">
        <v>0</v>
      </c>
      <c r="H170" s="156">
        <v>0</v>
      </c>
      <c r="I170" s="156">
        <v>0</v>
      </c>
      <c r="J170" s="156">
        <v>0</v>
      </c>
      <c r="K170" s="156">
        <v>0</v>
      </c>
      <c r="L170" s="156">
        <v>0</v>
      </c>
      <c r="M170" s="156">
        <v>0</v>
      </c>
      <c r="N170" s="156">
        <v>0</v>
      </c>
      <c r="O170" s="156">
        <v>0</v>
      </c>
      <c r="P170" s="156">
        <v>0</v>
      </c>
      <c r="Q170" s="156">
        <v>0</v>
      </c>
      <c r="R170" s="157">
        <f t="shared" si="41"/>
        <v>0</v>
      </c>
      <c r="S170" s="158">
        <f t="shared" si="42"/>
        <v>0</v>
      </c>
      <c r="T170" s="158">
        <f t="shared" si="42"/>
        <v>0</v>
      </c>
      <c r="U170" s="158">
        <f t="shared" si="42"/>
        <v>0</v>
      </c>
      <c r="V170" s="158">
        <f t="shared" si="42"/>
        <v>0</v>
      </c>
      <c r="W170" s="158">
        <f t="shared" si="42"/>
        <v>0</v>
      </c>
      <c r="X170" s="158">
        <f t="shared" si="43"/>
        <v>0</v>
      </c>
      <c r="Y170" s="158">
        <f t="shared" si="43"/>
        <v>0</v>
      </c>
      <c r="Z170" s="158">
        <f t="shared" si="43"/>
        <v>0</v>
      </c>
      <c r="AA170" s="158">
        <f t="shared" si="43"/>
        <v>0</v>
      </c>
      <c r="AB170" s="158">
        <f t="shared" si="43"/>
        <v>0</v>
      </c>
      <c r="AC170" s="158">
        <f t="shared" si="43"/>
        <v>0</v>
      </c>
      <c r="AD170" s="158">
        <f t="shared" si="43"/>
        <v>0</v>
      </c>
      <c r="AE170" s="157">
        <f t="shared" si="44"/>
        <v>0</v>
      </c>
    </row>
    <row r="171" spans="1:31" outlineLevel="2">
      <c r="A171" s="135" t="str">
        <f t="shared" si="40"/>
        <v>MurreysMULTI-FAMILYM1.5YDEX</v>
      </c>
      <c r="B171" s="116" t="s">
        <v>526</v>
      </c>
      <c r="C171" s="116" t="s">
        <v>234</v>
      </c>
      <c r="D171" s="155">
        <v>37.47</v>
      </c>
      <c r="E171" s="155">
        <v>37.21</v>
      </c>
      <c r="F171" s="156">
        <v>0</v>
      </c>
      <c r="G171" s="156">
        <v>0</v>
      </c>
      <c r="H171" s="156">
        <v>37.47</v>
      </c>
      <c r="I171" s="156">
        <v>0</v>
      </c>
      <c r="J171" s="156">
        <v>0</v>
      </c>
      <c r="K171" s="156">
        <v>0</v>
      </c>
      <c r="L171" s="156">
        <v>0</v>
      </c>
      <c r="M171" s="156">
        <v>0</v>
      </c>
      <c r="N171" s="156">
        <v>68.73</v>
      </c>
      <c r="O171" s="156">
        <v>0</v>
      </c>
      <c r="P171" s="156">
        <v>0</v>
      </c>
      <c r="Q171" s="156">
        <v>0</v>
      </c>
      <c r="R171" s="157">
        <f t="shared" si="41"/>
        <v>106.2</v>
      </c>
      <c r="S171" s="158">
        <f t="shared" si="42"/>
        <v>0</v>
      </c>
      <c r="T171" s="158">
        <f t="shared" si="42"/>
        <v>0</v>
      </c>
      <c r="U171" s="158">
        <f t="shared" si="42"/>
        <v>1</v>
      </c>
      <c r="V171" s="158">
        <f t="shared" si="42"/>
        <v>0</v>
      </c>
      <c r="W171" s="158">
        <f t="shared" si="42"/>
        <v>0</v>
      </c>
      <c r="X171" s="158">
        <f t="shared" si="43"/>
        <v>0</v>
      </c>
      <c r="Y171" s="158">
        <f t="shared" si="43"/>
        <v>0</v>
      </c>
      <c r="Z171" s="158">
        <f t="shared" si="43"/>
        <v>0</v>
      </c>
      <c r="AA171" s="158">
        <f t="shared" si="43"/>
        <v>1.847084117172803</v>
      </c>
      <c r="AB171" s="158">
        <f t="shared" si="43"/>
        <v>0</v>
      </c>
      <c r="AC171" s="158">
        <f t="shared" si="43"/>
        <v>0</v>
      </c>
      <c r="AD171" s="158">
        <f t="shared" si="43"/>
        <v>0</v>
      </c>
      <c r="AE171" s="157">
        <f t="shared" si="44"/>
        <v>2.8470841171728027</v>
      </c>
    </row>
    <row r="172" spans="1:31" outlineLevel="2">
      <c r="A172" s="135" t="str">
        <f t="shared" si="40"/>
        <v>MurreysMULTI-FAMILYM1YD1W</v>
      </c>
      <c r="B172" s="170" t="s">
        <v>527</v>
      </c>
      <c r="C172" s="170" t="s">
        <v>107</v>
      </c>
      <c r="D172" s="155">
        <v>110.24</v>
      </c>
      <c r="E172" s="155">
        <v>108.77</v>
      </c>
      <c r="F172" s="156">
        <v>29493.4</v>
      </c>
      <c r="G172" s="156">
        <v>29298.38</v>
      </c>
      <c r="H172" s="156">
        <v>29406.52</v>
      </c>
      <c r="I172" s="156">
        <v>29596.86</v>
      </c>
      <c r="J172" s="156">
        <v>29024.89</v>
      </c>
      <c r="K172" s="156">
        <v>29079.65</v>
      </c>
      <c r="L172" s="156">
        <v>29014.400000000001</v>
      </c>
      <c r="M172" s="156">
        <v>28920.289999999997</v>
      </c>
      <c r="N172" s="156">
        <v>28280.29</v>
      </c>
      <c r="O172" s="156">
        <v>29206.829999999998</v>
      </c>
      <c r="P172" s="156">
        <v>28824.07</v>
      </c>
      <c r="Q172" s="156">
        <v>28905.64</v>
      </c>
      <c r="R172" s="157">
        <f t="shared" si="41"/>
        <v>349051.22000000003</v>
      </c>
      <c r="S172" s="158">
        <f t="shared" si="42"/>
        <v>267.53809869375908</v>
      </c>
      <c r="T172" s="158">
        <f t="shared" si="42"/>
        <v>265.76904934687957</v>
      </c>
      <c r="U172" s="158">
        <f t="shared" si="42"/>
        <v>266.75</v>
      </c>
      <c r="V172" s="158">
        <f t="shared" si="42"/>
        <v>268.47659651669085</v>
      </c>
      <c r="W172" s="158">
        <f t="shared" si="42"/>
        <v>263.28818940493471</v>
      </c>
      <c r="X172" s="158">
        <f t="shared" si="43"/>
        <v>267.34991265974077</v>
      </c>
      <c r="Y172" s="158">
        <f t="shared" si="43"/>
        <v>266.75002298427876</v>
      </c>
      <c r="Z172" s="158">
        <f t="shared" si="43"/>
        <v>265.88480279488829</v>
      </c>
      <c r="AA172" s="158">
        <f t="shared" si="43"/>
        <v>260.00082743403516</v>
      </c>
      <c r="AB172" s="158">
        <f t="shared" si="43"/>
        <v>268.51916888848029</v>
      </c>
      <c r="AC172" s="158">
        <f t="shared" si="43"/>
        <v>265.00018387423006</v>
      </c>
      <c r="AD172" s="158">
        <f t="shared" si="43"/>
        <v>265.75011492139379</v>
      </c>
      <c r="AE172" s="157">
        <f t="shared" si="44"/>
        <v>3191.0769675193114</v>
      </c>
    </row>
    <row r="173" spans="1:31" outlineLevel="2">
      <c r="A173" s="135" t="str">
        <f t="shared" si="40"/>
        <v>MurreysMULTI-FAMILYM1YD2W</v>
      </c>
      <c r="B173" s="170" t="s">
        <v>528</v>
      </c>
      <c r="C173" s="170" t="s">
        <v>235</v>
      </c>
      <c r="D173" s="155">
        <v>220.48</v>
      </c>
      <c r="E173" s="155">
        <v>217.54</v>
      </c>
      <c r="F173" s="156">
        <v>0</v>
      </c>
      <c r="G173" s="156">
        <v>0</v>
      </c>
      <c r="H173" s="156">
        <v>0</v>
      </c>
      <c r="I173" s="156">
        <v>0</v>
      </c>
      <c r="J173" s="156">
        <v>0</v>
      </c>
      <c r="K173" s="156">
        <v>0</v>
      </c>
      <c r="L173" s="156">
        <v>0</v>
      </c>
      <c r="M173" s="156">
        <v>0</v>
      </c>
      <c r="N173" s="156">
        <v>0</v>
      </c>
      <c r="O173" s="156">
        <v>72.510000000000005</v>
      </c>
      <c r="P173" s="156">
        <v>178.26</v>
      </c>
      <c r="Q173" s="156">
        <v>0</v>
      </c>
      <c r="R173" s="157">
        <f t="shared" si="41"/>
        <v>250.76999999999998</v>
      </c>
      <c r="S173" s="158">
        <f t="shared" si="42"/>
        <v>0</v>
      </c>
      <c r="T173" s="158">
        <f t="shared" si="42"/>
        <v>0</v>
      </c>
      <c r="U173" s="158">
        <f t="shared" si="42"/>
        <v>0</v>
      </c>
      <c r="V173" s="158">
        <f t="shared" si="42"/>
        <v>0</v>
      </c>
      <c r="W173" s="158">
        <f t="shared" si="42"/>
        <v>0</v>
      </c>
      <c r="X173" s="158">
        <f t="shared" si="43"/>
        <v>0</v>
      </c>
      <c r="Y173" s="158">
        <f t="shared" si="43"/>
        <v>0</v>
      </c>
      <c r="Z173" s="158">
        <f t="shared" si="43"/>
        <v>0</v>
      </c>
      <c r="AA173" s="158">
        <f t="shared" si="43"/>
        <v>0</v>
      </c>
      <c r="AB173" s="158">
        <f t="shared" si="43"/>
        <v>0.33331801048083115</v>
      </c>
      <c r="AC173" s="158">
        <f t="shared" si="43"/>
        <v>0.8194355061138181</v>
      </c>
      <c r="AD173" s="158">
        <f t="shared" si="43"/>
        <v>0</v>
      </c>
      <c r="AE173" s="157">
        <f t="shared" si="44"/>
        <v>1.1527535165946492</v>
      </c>
    </row>
    <row r="174" spans="1:31" outlineLevel="2">
      <c r="A174" s="135" t="str">
        <f t="shared" si="40"/>
        <v>MurreysMULTI-FAMILYM1YDEX</v>
      </c>
      <c r="B174" s="116" t="s">
        <v>529</v>
      </c>
      <c r="C174" s="116" t="s">
        <v>236</v>
      </c>
      <c r="D174" s="155">
        <v>27.47</v>
      </c>
      <c r="E174" s="155">
        <v>27.13</v>
      </c>
      <c r="F174" s="156">
        <v>0</v>
      </c>
      <c r="G174" s="156">
        <v>0</v>
      </c>
      <c r="H174" s="156">
        <v>82.41</v>
      </c>
      <c r="I174" s="156">
        <v>27.47</v>
      </c>
      <c r="J174" s="156">
        <v>0</v>
      </c>
      <c r="K174" s="156">
        <v>0</v>
      </c>
      <c r="L174" s="156">
        <v>31.52</v>
      </c>
      <c r="M174" s="156">
        <v>50.47</v>
      </c>
      <c r="N174" s="156">
        <v>54.26</v>
      </c>
      <c r="O174" s="156">
        <v>54.26</v>
      </c>
      <c r="P174" s="156">
        <v>27.13</v>
      </c>
      <c r="Q174" s="156">
        <v>0</v>
      </c>
      <c r="R174" s="157">
        <f t="shared" si="41"/>
        <v>327.52</v>
      </c>
      <c r="S174" s="158">
        <f t="shared" si="42"/>
        <v>0</v>
      </c>
      <c r="T174" s="158">
        <f t="shared" si="42"/>
        <v>0</v>
      </c>
      <c r="U174" s="158">
        <f t="shared" si="42"/>
        <v>3</v>
      </c>
      <c r="V174" s="158">
        <f t="shared" si="42"/>
        <v>1</v>
      </c>
      <c r="W174" s="158">
        <f t="shared" si="42"/>
        <v>0</v>
      </c>
      <c r="X174" s="158">
        <f t="shared" si="43"/>
        <v>0</v>
      </c>
      <c r="Y174" s="158">
        <f t="shared" si="43"/>
        <v>1.1618134906008108</v>
      </c>
      <c r="Z174" s="158">
        <f t="shared" si="43"/>
        <v>1.8603022484334686</v>
      </c>
      <c r="AA174" s="158">
        <f t="shared" si="43"/>
        <v>2</v>
      </c>
      <c r="AB174" s="158">
        <f t="shared" si="43"/>
        <v>2</v>
      </c>
      <c r="AC174" s="158">
        <f t="shared" si="43"/>
        <v>1</v>
      </c>
      <c r="AD174" s="158">
        <f t="shared" si="43"/>
        <v>0</v>
      </c>
      <c r="AE174" s="157">
        <f t="shared" si="44"/>
        <v>12.02211573903428</v>
      </c>
    </row>
    <row r="175" spans="1:31" outlineLevel="2">
      <c r="A175" s="135" t="str">
        <f t="shared" si="40"/>
        <v>MurreysMULTI-FAMILYM1YDTPU</v>
      </c>
      <c r="B175" s="170" t="s">
        <v>530</v>
      </c>
      <c r="C175" s="170" t="s">
        <v>119</v>
      </c>
      <c r="D175" s="155">
        <v>109.88</v>
      </c>
      <c r="E175" s="155">
        <v>108.52</v>
      </c>
      <c r="F175" s="156">
        <v>0</v>
      </c>
      <c r="G175" s="156">
        <v>0</v>
      </c>
      <c r="H175" s="156">
        <v>109.88</v>
      </c>
      <c r="I175" s="156">
        <v>82.41</v>
      </c>
      <c r="J175" s="156">
        <v>27.47</v>
      </c>
      <c r="K175" s="156">
        <v>0</v>
      </c>
      <c r="L175" s="156">
        <v>0</v>
      </c>
      <c r="M175" s="156">
        <v>162.78</v>
      </c>
      <c r="N175" s="156">
        <v>81.39</v>
      </c>
      <c r="O175" s="156">
        <v>137.72</v>
      </c>
      <c r="P175" s="156">
        <v>108.52</v>
      </c>
      <c r="Q175" s="156">
        <v>108.52</v>
      </c>
      <c r="R175" s="157">
        <f t="shared" si="41"/>
        <v>818.68999999999994</v>
      </c>
      <c r="S175" s="158">
        <f t="shared" si="42"/>
        <v>0</v>
      </c>
      <c r="T175" s="158">
        <f t="shared" si="42"/>
        <v>0</v>
      </c>
      <c r="U175" s="158">
        <f t="shared" si="42"/>
        <v>1</v>
      </c>
      <c r="V175" s="158">
        <f t="shared" si="42"/>
        <v>0.75</v>
      </c>
      <c r="W175" s="158">
        <f t="shared" si="42"/>
        <v>0.25</v>
      </c>
      <c r="X175" s="158">
        <f t="shared" si="43"/>
        <v>0</v>
      </c>
      <c r="Y175" s="158">
        <f t="shared" si="43"/>
        <v>0</v>
      </c>
      <c r="Z175" s="158">
        <f t="shared" si="43"/>
        <v>1.5</v>
      </c>
      <c r="AA175" s="158">
        <f t="shared" si="43"/>
        <v>0.75</v>
      </c>
      <c r="AB175" s="158">
        <f t="shared" si="43"/>
        <v>1.269074824917066</v>
      </c>
      <c r="AC175" s="158">
        <f t="shared" si="43"/>
        <v>1</v>
      </c>
      <c r="AD175" s="158">
        <f t="shared" si="43"/>
        <v>1</v>
      </c>
      <c r="AE175" s="157">
        <f t="shared" si="44"/>
        <v>7.519074824917066</v>
      </c>
    </row>
    <row r="176" spans="1:31" outlineLevel="2">
      <c r="A176" s="135" t="str">
        <f t="shared" si="40"/>
        <v>MurreysMULTI-FAMILYM2YD1W</v>
      </c>
      <c r="B176" s="170" t="s">
        <v>531</v>
      </c>
      <c r="C176" s="170" t="s">
        <v>111</v>
      </c>
      <c r="D176" s="155">
        <v>195.15</v>
      </c>
      <c r="E176" s="155">
        <v>191.99</v>
      </c>
      <c r="F176" s="156">
        <v>15026.55</v>
      </c>
      <c r="G176" s="156">
        <v>15026.55</v>
      </c>
      <c r="H176" s="156">
        <v>14709.43</v>
      </c>
      <c r="I176" s="156">
        <v>14733.83</v>
      </c>
      <c r="J176" s="156">
        <v>14709.089999999998</v>
      </c>
      <c r="K176" s="156">
        <v>14447.25</v>
      </c>
      <c r="L176" s="156">
        <v>14591.24</v>
      </c>
      <c r="M176" s="156">
        <v>14495.25</v>
      </c>
      <c r="N176" s="156">
        <v>14927.22</v>
      </c>
      <c r="O176" s="156">
        <v>14783.23</v>
      </c>
      <c r="P176" s="156">
        <v>15215.210000000001</v>
      </c>
      <c r="Q176" s="156">
        <v>14831.23</v>
      </c>
      <c r="R176" s="157">
        <f t="shared" si="41"/>
        <v>177496.08000000002</v>
      </c>
      <c r="S176" s="158">
        <f t="shared" si="42"/>
        <v>77</v>
      </c>
      <c r="T176" s="158">
        <f t="shared" si="42"/>
        <v>77</v>
      </c>
      <c r="U176" s="158">
        <f t="shared" si="42"/>
        <v>75.374993594670769</v>
      </c>
      <c r="V176" s="158">
        <f t="shared" si="42"/>
        <v>75.500025621316937</v>
      </c>
      <c r="W176" s="158">
        <f t="shared" si="42"/>
        <v>75.373251345119129</v>
      </c>
      <c r="X176" s="158">
        <f t="shared" si="43"/>
        <v>75.250013021511535</v>
      </c>
      <c r="Y176" s="158">
        <f t="shared" si="43"/>
        <v>76</v>
      </c>
      <c r="Z176" s="158">
        <f t="shared" si="43"/>
        <v>75.50002604302307</v>
      </c>
      <c r="AA176" s="158">
        <f t="shared" si="43"/>
        <v>77.749986978488451</v>
      </c>
      <c r="AB176" s="158">
        <f t="shared" si="43"/>
        <v>77</v>
      </c>
      <c r="AC176" s="158">
        <f t="shared" si="43"/>
        <v>79.250013021511535</v>
      </c>
      <c r="AD176" s="158">
        <f t="shared" si="43"/>
        <v>77.250013021511535</v>
      </c>
      <c r="AE176" s="157">
        <f t="shared" si="44"/>
        <v>918.24832264715303</v>
      </c>
    </row>
    <row r="177" spans="1:31" outlineLevel="2">
      <c r="A177" s="135" t="str">
        <f t="shared" si="40"/>
        <v>MurreysMULTI-FAMILYM2YD2W</v>
      </c>
      <c r="B177" s="170" t="s">
        <v>532</v>
      </c>
      <c r="C177" s="170" t="s">
        <v>112</v>
      </c>
      <c r="D177" s="155">
        <v>390.31</v>
      </c>
      <c r="E177" s="155">
        <v>383.98</v>
      </c>
      <c r="F177" s="156">
        <v>2341.86</v>
      </c>
      <c r="G177" s="156">
        <v>2341.86</v>
      </c>
      <c r="H177" s="156">
        <v>3415.2200000000003</v>
      </c>
      <c r="I177" s="156">
        <v>2537.02</v>
      </c>
      <c r="J177" s="156">
        <v>2341.86</v>
      </c>
      <c r="K177" s="156">
        <v>2303.88</v>
      </c>
      <c r="L177" s="156">
        <v>2303.88</v>
      </c>
      <c r="M177" s="156">
        <v>2447.87</v>
      </c>
      <c r="N177" s="156">
        <v>2495.87</v>
      </c>
      <c r="O177" s="156">
        <v>2303.88</v>
      </c>
      <c r="P177" s="156">
        <v>1919.9</v>
      </c>
      <c r="Q177" s="156">
        <v>1919.9</v>
      </c>
      <c r="R177" s="157">
        <f t="shared" si="41"/>
        <v>28673.000000000004</v>
      </c>
      <c r="S177" s="158">
        <f t="shared" si="42"/>
        <v>6</v>
      </c>
      <c r="T177" s="158">
        <f t="shared" si="42"/>
        <v>6</v>
      </c>
      <c r="U177" s="158">
        <f t="shared" si="42"/>
        <v>8.7500192154953762</v>
      </c>
      <c r="V177" s="158">
        <f t="shared" si="42"/>
        <v>6.5000128103302499</v>
      </c>
      <c r="W177" s="158">
        <f t="shared" si="42"/>
        <v>6</v>
      </c>
      <c r="X177" s="158">
        <f t="shared" si="43"/>
        <v>6</v>
      </c>
      <c r="Y177" s="158">
        <f t="shared" si="43"/>
        <v>6</v>
      </c>
      <c r="Z177" s="158">
        <f t="shared" si="43"/>
        <v>6.3749934892442308</v>
      </c>
      <c r="AA177" s="158">
        <f t="shared" si="43"/>
        <v>6.4999999999999991</v>
      </c>
      <c r="AB177" s="158">
        <f t="shared" si="43"/>
        <v>6</v>
      </c>
      <c r="AC177" s="158">
        <f t="shared" si="43"/>
        <v>5</v>
      </c>
      <c r="AD177" s="158">
        <f t="shared" si="43"/>
        <v>5</v>
      </c>
      <c r="AE177" s="157">
        <f t="shared" si="44"/>
        <v>74.125025515069865</v>
      </c>
    </row>
    <row r="178" spans="1:31" outlineLevel="2">
      <c r="A178" s="135" t="str">
        <f t="shared" si="40"/>
        <v>MurreysMULTI-FAMILYM2YD3W</v>
      </c>
      <c r="B178" s="170" t="s">
        <v>533</v>
      </c>
      <c r="C178" s="170" t="s">
        <v>113</v>
      </c>
      <c r="D178" s="155">
        <v>585.46</v>
      </c>
      <c r="E178" s="155">
        <v>575.98</v>
      </c>
      <c r="F178" s="156">
        <v>1170.92</v>
      </c>
      <c r="G178" s="156">
        <v>1170.92</v>
      </c>
      <c r="H178" s="156">
        <v>1170.92</v>
      </c>
      <c r="I178" s="156">
        <v>1170.92</v>
      </c>
      <c r="J178" s="156">
        <v>1170.92</v>
      </c>
      <c r="K178" s="156">
        <v>1151.96</v>
      </c>
      <c r="L178" s="156">
        <v>1151.96</v>
      </c>
      <c r="M178" s="156">
        <v>1151.96</v>
      </c>
      <c r="N178" s="156">
        <v>1151.96</v>
      </c>
      <c r="O178" s="156">
        <v>1151.96</v>
      </c>
      <c r="P178" s="156">
        <v>1151.96</v>
      </c>
      <c r="Q178" s="156">
        <v>1151.96</v>
      </c>
      <c r="R178" s="157">
        <f t="shared" si="41"/>
        <v>13918.319999999996</v>
      </c>
      <c r="S178" s="158">
        <f t="shared" si="42"/>
        <v>2</v>
      </c>
      <c r="T178" s="158">
        <f t="shared" si="42"/>
        <v>2</v>
      </c>
      <c r="U178" s="158">
        <f t="shared" si="42"/>
        <v>2</v>
      </c>
      <c r="V178" s="158">
        <f t="shared" si="42"/>
        <v>2</v>
      </c>
      <c r="W178" s="158">
        <f t="shared" si="42"/>
        <v>2</v>
      </c>
      <c r="X178" s="158">
        <f t="shared" si="43"/>
        <v>2</v>
      </c>
      <c r="Y178" s="158">
        <f t="shared" si="43"/>
        <v>2</v>
      </c>
      <c r="Z178" s="158">
        <f t="shared" si="43"/>
        <v>2</v>
      </c>
      <c r="AA178" s="158">
        <f t="shared" si="43"/>
        <v>2</v>
      </c>
      <c r="AB178" s="158">
        <f t="shared" si="43"/>
        <v>2</v>
      </c>
      <c r="AC178" s="158">
        <f t="shared" si="43"/>
        <v>2</v>
      </c>
      <c r="AD178" s="158">
        <f t="shared" si="43"/>
        <v>2</v>
      </c>
      <c r="AE178" s="157">
        <f t="shared" si="44"/>
        <v>24</v>
      </c>
    </row>
    <row r="179" spans="1:31" outlineLevel="2">
      <c r="A179" s="135" t="str">
        <f t="shared" si="40"/>
        <v>MurreysMULTI-FAMILYM2YDEX</v>
      </c>
      <c r="B179" s="116" t="s">
        <v>534</v>
      </c>
      <c r="C179" s="116" t="s">
        <v>237</v>
      </c>
      <c r="D179" s="155">
        <v>47.080000000000005</v>
      </c>
      <c r="E179" s="155">
        <v>46.35</v>
      </c>
      <c r="F179" s="156">
        <v>0</v>
      </c>
      <c r="G179" s="156">
        <v>141.24</v>
      </c>
      <c r="H179" s="156">
        <v>94.16</v>
      </c>
      <c r="I179" s="156">
        <v>47.08</v>
      </c>
      <c r="J179" s="156">
        <v>0</v>
      </c>
      <c r="K179" s="156">
        <v>0</v>
      </c>
      <c r="L179" s="156">
        <v>0</v>
      </c>
      <c r="M179" s="156">
        <v>92.7</v>
      </c>
      <c r="N179" s="156">
        <v>46.35</v>
      </c>
      <c r="O179" s="156">
        <v>0</v>
      </c>
      <c r="P179" s="156">
        <v>0</v>
      </c>
      <c r="Q179" s="156">
        <v>46.35</v>
      </c>
      <c r="R179" s="157">
        <f t="shared" si="41"/>
        <v>467.88000000000005</v>
      </c>
      <c r="S179" s="158">
        <f t="shared" si="42"/>
        <v>0</v>
      </c>
      <c r="T179" s="158">
        <f t="shared" si="42"/>
        <v>3</v>
      </c>
      <c r="U179" s="158">
        <f t="shared" si="42"/>
        <v>1.9999999999999998</v>
      </c>
      <c r="V179" s="158">
        <f t="shared" si="42"/>
        <v>0.99999999999999989</v>
      </c>
      <c r="W179" s="158">
        <f t="shared" si="42"/>
        <v>0</v>
      </c>
      <c r="X179" s="158">
        <f t="shared" si="43"/>
        <v>0</v>
      </c>
      <c r="Y179" s="158">
        <f t="shared" si="43"/>
        <v>0</v>
      </c>
      <c r="Z179" s="158">
        <f t="shared" si="43"/>
        <v>2</v>
      </c>
      <c r="AA179" s="158">
        <f t="shared" si="43"/>
        <v>1</v>
      </c>
      <c r="AB179" s="158">
        <f t="shared" si="43"/>
        <v>0</v>
      </c>
      <c r="AC179" s="158">
        <f t="shared" si="43"/>
        <v>0</v>
      </c>
      <c r="AD179" s="158">
        <f t="shared" si="43"/>
        <v>1</v>
      </c>
      <c r="AE179" s="157">
        <f t="shared" si="44"/>
        <v>10</v>
      </c>
    </row>
    <row r="180" spans="1:31" outlineLevel="2">
      <c r="A180" s="135" t="str">
        <f t="shared" si="40"/>
        <v>MurreysMULTI-FAMILYM2YDTPU</v>
      </c>
      <c r="B180" s="170" t="s">
        <v>535</v>
      </c>
      <c r="C180" s="170" t="s">
        <v>121</v>
      </c>
      <c r="D180" s="155">
        <v>188.32000000000002</v>
      </c>
      <c r="E180" s="155">
        <v>185.4</v>
      </c>
      <c r="F180" s="156">
        <v>743.56</v>
      </c>
      <c r="G180" s="156">
        <v>470.8</v>
      </c>
      <c r="H180" s="156">
        <v>188.32</v>
      </c>
      <c r="I180" s="156">
        <v>235.4</v>
      </c>
      <c r="J180" s="156">
        <v>235.39999999999998</v>
      </c>
      <c r="K180" s="156">
        <v>231.75</v>
      </c>
      <c r="L180" s="156">
        <v>417.15</v>
      </c>
      <c r="M180" s="156">
        <v>370.8</v>
      </c>
      <c r="N180" s="156">
        <v>370.8</v>
      </c>
      <c r="O180" s="156">
        <v>370.8</v>
      </c>
      <c r="P180" s="156">
        <v>417.15</v>
      </c>
      <c r="Q180" s="156">
        <v>417.15000000000003</v>
      </c>
      <c r="R180" s="157">
        <f t="shared" si="41"/>
        <v>4469.0800000000008</v>
      </c>
      <c r="S180" s="158">
        <f t="shared" si="42"/>
        <v>3.9483857264231088</v>
      </c>
      <c r="T180" s="158">
        <f t="shared" si="42"/>
        <v>2.4999999999999996</v>
      </c>
      <c r="U180" s="158">
        <f t="shared" si="42"/>
        <v>0.99999999999999989</v>
      </c>
      <c r="V180" s="158">
        <f t="shared" si="42"/>
        <v>1.2499999999999998</v>
      </c>
      <c r="W180" s="158">
        <f t="shared" si="42"/>
        <v>1.2499999999999998</v>
      </c>
      <c r="X180" s="158">
        <f t="shared" si="43"/>
        <v>1.25</v>
      </c>
      <c r="Y180" s="158">
        <f t="shared" si="43"/>
        <v>2.25</v>
      </c>
      <c r="Z180" s="158">
        <f t="shared" si="43"/>
        <v>2</v>
      </c>
      <c r="AA180" s="158">
        <f t="shared" si="43"/>
        <v>2</v>
      </c>
      <c r="AB180" s="158">
        <f t="shared" si="43"/>
        <v>2</v>
      </c>
      <c r="AC180" s="158">
        <f t="shared" si="43"/>
        <v>2.25</v>
      </c>
      <c r="AD180" s="158">
        <f t="shared" si="43"/>
        <v>2.25</v>
      </c>
      <c r="AE180" s="157">
        <f t="shared" si="44"/>
        <v>23.948385726423108</v>
      </c>
    </row>
    <row r="181" spans="1:31" outlineLevel="2">
      <c r="A181" s="135" t="str">
        <f t="shared" si="40"/>
        <v>MurreysMULTI-FAMILYM4YD1W</v>
      </c>
      <c r="B181" s="170" t="s">
        <v>536</v>
      </c>
      <c r="C181" s="170" t="s">
        <v>114</v>
      </c>
      <c r="D181" s="155">
        <v>371.17</v>
      </c>
      <c r="E181" s="155">
        <v>364.63</v>
      </c>
      <c r="F181" s="156">
        <v>6309.89</v>
      </c>
      <c r="G181" s="156">
        <v>6309.89</v>
      </c>
      <c r="H181" s="156">
        <v>6309.89</v>
      </c>
      <c r="I181" s="156">
        <v>6309.89</v>
      </c>
      <c r="J181" s="156">
        <v>5845.93</v>
      </c>
      <c r="K181" s="156">
        <v>5834.08</v>
      </c>
      <c r="L181" s="156">
        <v>5749.87</v>
      </c>
      <c r="M181" s="156">
        <v>5834.08</v>
      </c>
      <c r="N181" s="156">
        <v>5560.6100000000006</v>
      </c>
      <c r="O181" s="156">
        <v>5834.08</v>
      </c>
      <c r="P181" s="156">
        <v>5560.6100000000006</v>
      </c>
      <c r="Q181" s="156">
        <v>5469.4500000000007</v>
      </c>
      <c r="R181" s="157">
        <f t="shared" si="41"/>
        <v>70928.27</v>
      </c>
      <c r="S181" s="158">
        <f t="shared" si="42"/>
        <v>17</v>
      </c>
      <c r="T181" s="158">
        <f t="shared" si="42"/>
        <v>17</v>
      </c>
      <c r="U181" s="158">
        <f t="shared" si="42"/>
        <v>17</v>
      </c>
      <c r="V181" s="158">
        <f t="shared" si="42"/>
        <v>17</v>
      </c>
      <c r="W181" s="158">
        <f t="shared" si="42"/>
        <v>15.750006735458147</v>
      </c>
      <c r="X181" s="158">
        <f t="shared" si="43"/>
        <v>16</v>
      </c>
      <c r="Y181" s="158">
        <f t="shared" si="43"/>
        <v>15.769053561144174</v>
      </c>
      <c r="Z181" s="158">
        <f t="shared" si="43"/>
        <v>16</v>
      </c>
      <c r="AA181" s="158">
        <f t="shared" si="43"/>
        <v>15.250006856265257</v>
      </c>
      <c r="AB181" s="158">
        <f t="shared" si="43"/>
        <v>16</v>
      </c>
      <c r="AC181" s="158">
        <f t="shared" si="43"/>
        <v>15.250006856265257</v>
      </c>
      <c r="AD181" s="158">
        <f t="shared" si="43"/>
        <v>15.000000000000002</v>
      </c>
      <c r="AE181" s="157">
        <f t="shared" si="44"/>
        <v>193.01907400913285</v>
      </c>
    </row>
    <row r="182" spans="1:31" outlineLevel="2">
      <c r="A182" s="135" t="str">
        <f t="shared" si="40"/>
        <v>MurreysMULTI-FAMILYM4YD2W</v>
      </c>
      <c r="B182" s="170" t="s">
        <v>537</v>
      </c>
      <c r="C182" s="170" t="s">
        <v>115</v>
      </c>
      <c r="D182" s="155">
        <v>742.34</v>
      </c>
      <c r="E182" s="155">
        <v>729.26</v>
      </c>
      <c r="F182" s="156">
        <v>742.34</v>
      </c>
      <c r="G182" s="156">
        <v>742.34</v>
      </c>
      <c r="H182" s="156">
        <v>742.34</v>
      </c>
      <c r="I182" s="156">
        <v>742.34</v>
      </c>
      <c r="J182" s="156">
        <v>742.34</v>
      </c>
      <c r="K182" s="156">
        <v>729.26</v>
      </c>
      <c r="L182" s="156">
        <v>729.26</v>
      </c>
      <c r="M182" s="156">
        <v>729.26</v>
      </c>
      <c r="N182" s="156">
        <v>729.26</v>
      </c>
      <c r="O182" s="156">
        <v>729.26</v>
      </c>
      <c r="P182" s="156">
        <v>729.26</v>
      </c>
      <c r="Q182" s="156">
        <v>729.26</v>
      </c>
      <c r="R182" s="157">
        <f t="shared" si="41"/>
        <v>8816.52</v>
      </c>
      <c r="S182" s="158">
        <f t="shared" si="42"/>
        <v>1</v>
      </c>
      <c r="T182" s="158">
        <f t="shared" si="42"/>
        <v>1</v>
      </c>
      <c r="U182" s="158">
        <f t="shared" si="42"/>
        <v>1</v>
      </c>
      <c r="V182" s="158">
        <f t="shared" si="42"/>
        <v>1</v>
      </c>
      <c r="W182" s="158">
        <f t="shared" si="42"/>
        <v>1</v>
      </c>
      <c r="X182" s="158">
        <f t="shared" si="43"/>
        <v>1</v>
      </c>
      <c r="Y182" s="158">
        <f t="shared" si="43"/>
        <v>1</v>
      </c>
      <c r="Z182" s="158">
        <f t="shared" si="43"/>
        <v>1</v>
      </c>
      <c r="AA182" s="158">
        <f t="shared" si="43"/>
        <v>1</v>
      </c>
      <c r="AB182" s="158">
        <f t="shared" si="43"/>
        <v>1</v>
      </c>
      <c r="AC182" s="158">
        <f t="shared" si="43"/>
        <v>1</v>
      </c>
      <c r="AD182" s="158">
        <f t="shared" si="43"/>
        <v>1</v>
      </c>
      <c r="AE182" s="157">
        <f t="shared" si="44"/>
        <v>12</v>
      </c>
    </row>
    <row r="183" spans="1:31" outlineLevel="2">
      <c r="A183" s="135" t="str">
        <f t="shared" si="40"/>
        <v>MurreysMULTI-FAMILYM4YDEX</v>
      </c>
      <c r="B183" s="116" t="s">
        <v>538</v>
      </c>
      <c r="C183" s="116" t="s">
        <v>238</v>
      </c>
      <c r="D183" s="155">
        <v>87.73</v>
      </c>
      <c r="E183" s="155">
        <v>86.22</v>
      </c>
      <c r="F183" s="156">
        <v>0</v>
      </c>
      <c r="G183" s="156">
        <v>0</v>
      </c>
      <c r="H183" s="156">
        <v>0</v>
      </c>
      <c r="I183" s="156">
        <v>0</v>
      </c>
      <c r="J183" s="156">
        <v>0</v>
      </c>
      <c r="K183" s="156">
        <v>0</v>
      </c>
      <c r="L183" s="156">
        <v>0</v>
      </c>
      <c r="M183" s="156">
        <v>0</v>
      </c>
      <c r="N183" s="156">
        <v>0</v>
      </c>
      <c r="O183" s="156">
        <v>0</v>
      </c>
      <c r="P183" s="156">
        <v>0</v>
      </c>
      <c r="Q183" s="156">
        <v>0</v>
      </c>
      <c r="R183" s="157">
        <f t="shared" si="41"/>
        <v>0</v>
      </c>
      <c r="S183" s="158">
        <f t="shared" si="42"/>
        <v>0</v>
      </c>
      <c r="T183" s="158">
        <f t="shared" si="42"/>
        <v>0</v>
      </c>
      <c r="U183" s="158">
        <f t="shared" si="42"/>
        <v>0</v>
      </c>
      <c r="V183" s="158">
        <f t="shared" si="42"/>
        <v>0</v>
      </c>
      <c r="W183" s="158">
        <f t="shared" si="42"/>
        <v>0</v>
      </c>
      <c r="X183" s="158">
        <f t="shared" si="43"/>
        <v>0</v>
      </c>
      <c r="Y183" s="158">
        <f t="shared" si="43"/>
        <v>0</v>
      </c>
      <c r="Z183" s="158">
        <f t="shared" si="43"/>
        <v>0</v>
      </c>
      <c r="AA183" s="158">
        <f t="shared" si="43"/>
        <v>0</v>
      </c>
      <c r="AB183" s="158">
        <f t="shared" si="43"/>
        <v>0</v>
      </c>
      <c r="AC183" s="158">
        <f t="shared" si="43"/>
        <v>0</v>
      </c>
      <c r="AD183" s="158">
        <f t="shared" si="43"/>
        <v>0</v>
      </c>
      <c r="AE183" s="157">
        <f t="shared" si="44"/>
        <v>0</v>
      </c>
    </row>
    <row r="184" spans="1:31" outlineLevel="2">
      <c r="A184" s="135" t="str">
        <f t="shared" si="40"/>
        <v>MurreysMULTI-FAMILYM6YD1W</v>
      </c>
      <c r="B184" s="170" t="s">
        <v>539</v>
      </c>
      <c r="C184" s="170" t="s">
        <v>116</v>
      </c>
      <c r="D184" s="155">
        <v>522.07000000000005</v>
      </c>
      <c r="E184" s="155">
        <v>511.72</v>
      </c>
      <c r="F184" s="156">
        <v>13051.75</v>
      </c>
      <c r="G184" s="156">
        <v>12660.2</v>
      </c>
      <c r="H184" s="156">
        <v>12529.68</v>
      </c>
      <c r="I184" s="156">
        <v>12529.68</v>
      </c>
      <c r="J184" s="156">
        <v>12399.16</v>
      </c>
      <c r="K184" s="156">
        <v>12281.28</v>
      </c>
      <c r="L184" s="156">
        <v>12281.28</v>
      </c>
      <c r="M184" s="156">
        <v>12281.279999999999</v>
      </c>
      <c r="N184" s="156">
        <v>12153.35</v>
      </c>
      <c r="O184" s="156">
        <v>11769.560000000001</v>
      </c>
      <c r="P184" s="156">
        <v>11897.49</v>
      </c>
      <c r="Q184" s="156">
        <v>11769.560000000001</v>
      </c>
      <c r="R184" s="157">
        <f t="shared" si="41"/>
        <v>147604.26999999999</v>
      </c>
      <c r="S184" s="158">
        <f t="shared" si="42"/>
        <v>24.999999999999996</v>
      </c>
      <c r="T184" s="158">
        <f t="shared" si="42"/>
        <v>24.250004788629877</v>
      </c>
      <c r="U184" s="158">
        <f t="shared" si="42"/>
        <v>24</v>
      </c>
      <c r="V184" s="158">
        <f t="shared" si="42"/>
        <v>24</v>
      </c>
      <c r="W184" s="158">
        <f t="shared" si="42"/>
        <v>23.74999521137012</v>
      </c>
      <c r="X184" s="158">
        <f t="shared" si="43"/>
        <v>24</v>
      </c>
      <c r="Y184" s="158">
        <f t="shared" si="43"/>
        <v>24</v>
      </c>
      <c r="Z184" s="158">
        <f t="shared" si="43"/>
        <v>23.999999999999996</v>
      </c>
      <c r="AA184" s="158">
        <f t="shared" si="43"/>
        <v>23.75</v>
      </c>
      <c r="AB184" s="158">
        <f t="shared" si="43"/>
        <v>23</v>
      </c>
      <c r="AC184" s="158">
        <f t="shared" si="43"/>
        <v>23.25</v>
      </c>
      <c r="AD184" s="158">
        <f t="shared" si="43"/>
        <v>23</v>
      </c>
      <c r="AE184" s="157">
        <f t="shared" si="44"/>
        <v>286</v>
      </c>
    </row>
    <row r="185" spans="1:31" outlineLevel="2">
      <c r="A185" s="135" t="str">
        <f t="shared" si="40"/>
        <v>MurreysMULTI-FAMILYM6YD2W</v>
      </c>
      <c r="B185" s="170" t="s">
        <v>540</v>
      </c>
      <c r="C185" s="170" t="s">
        <v>117</v>
      </c>
      <c r="D185" s="155">
        <v>1044.1400000000001</v>
      </c>
      <c r="E185" s="155">
        <v>1023.44</v>
      </c>
      <c r="F185" s="156">
        <v>15401.060000000001</v>
      </c>
      <c r="G185" s="156">
        <v>16706.240000000002</v>
      </c>
      <c r="H185" s="156">
        <v>16706.240000000002</v>
      </c>
      <c r="I185" s="156">
        <v>16706.240000000002</v>
      </c>
      <c r="J185" s="156">
        <v>16706.240000000002</v>
      </c>
      <c r="K185" s="156">
        <v>18463.32</v>
      </c>
      <c r="L185" s="156">
        <v>15054.34</v>
      </c>
      <c r="M185" s="156">
        <v>15351.6</v>
      </c>
      <c r="N185" s="156">
        <v>15095.74</v>
      </c>
      <c r="O185" s="156">
        <v>16375.04</v>
      </c>
      <c r="P185" s="156">
        <v>15351.6</v>
      </c>
      <c r="Q185" s="156">
        <v>15351.6</v>
      </c>
      <c r="R185" s="157">
        <f t="shared" si="41"/>
        <v>193269.26000000004</v>
      </c>
      <c r="S185" s="158">
        <f t="shared" si="42"/>
        <v>14.749995211370123</v>
      </c>
      <c r="T185" s="158">
        <f t="shared" si="42"/>
        <v>16</v>
      </c>
      <c r="U185" s="158">
        <f t="shared" si="42"/>
        <v>16</v>
      </c>
      <c r="V185" s="158">
        <f t="shared" si="42"/>
        <v>16</v>
      </c>
      <c r="W185" s="158">
        <f t="shared" si="42"/>
        <v>16</v>
      </c>
      <c r="X185" s="158">
        <f t="shared" si="43"/>
        <v>18.040451809583363</v>
      </c>
      <c r="Y185" s="158">
        <f t="shared" si="43"/>
        <v>14.709548190416633</v>
      </c>
      <c r="Z185" s="158">
        <f t="shared" si="43"/>
        <v>15</v>
      </c>
      <c r="AA185" s="158">
        <f t="shared" si="43"/>
        <v>14.749999999999998</v>
      </c>
      <c r="AB185" s="158">
        <f t="shared" si="43"/>
        <v>16</v>
      </c>
      <c r="AC185" s="158">
        <f t="shared" si="43"/>
        <v>15</v>
      </c>
      <c r="AD185" s="158">
        <f t="shared" si="43"/>
        <v>15</v>
      </c>
      <c r="AE185" s="157">
        <f t="shared" si="44"/>
        <v>187.24999521137011</v>
      </c>
    </row>
    <row r="186" spans="1:31" outlineLevel="2">
      <c r="A186" s="135" t="str">
        <f t="shared" si="40"/>
        <v>MurreysMULTI-FAMILYM6YD3W</v>
      </c>
      <c r="B186" s="170" t="s">
        <v>541</v>
      </c>
      <c r="C186" s="170" t="s">
        <v>118</v>
      </c>
      <c r="D186" s="155">
        <v>1566.2</v>
      </c>
      <c r="E186" s="155">
        <v>1535.16</v>
      </c>
      <c r="F186" s="156">
        <v>3132.4</v>
      </c>
      <c r="G186" s="156">
        <v>3132.4</v>
      </c>
      <c r="H186" s="156">
        <v>3132.4</v>
      </c>
      <c r="I186" s="156">
        <v>3132.4</v>
      </c>
      <c r="J186" s="156">
        <v>3132.4</v>
      </c>
      <c r="K186" s="156">
        <v>3070.32</v>
      </c>
      <c r="L186" s="156">
        <v>3070.32</v>
      </c>
      <c r="M186" s="156">
        <v>3070.32</v>
      </c>
      <c r="N186" s="156">
        <v>3070.32</v>
      </c>
      <c r="O186" s="156">
        <v>4605.4800000000005</v>
      </c>
      <c r="P186" s="156">
        <v>6140.64</v>
      </c>
      <c r="Q186" s="156">
        <v>6140.64</v>
      </c>
      <c r="R186" s="157">
        <f t="shared" si="41"/>
        <v>44830.04</v>
      </c>
      <c r="S186" s="158">
        <f t="shared" si="42"/>
        <v>2</v>
      </c>
      <c r="T186" s="158">
        <f t="shared" si="42"/>
        <v>2</v>
      </c>
      <c r="U186" s="158">
        <f t="shared" si="42"/>
        <v>2</v>
      </c>
      <c r="V186" s="158">
        <f t="shared" si="42"/>
        <v>2</v>
      </c>
      <c r="W186" s="158">
        <f t="shared" si="42"/>
        <v>2</v>
      </c>
      <c r="X186" s="158">
        <f t="shared" si="43"/>
        <v>2</v>
      </c>
      <c r="Y186" s="158">
        <f t="shared" si="43"/>
        <v>2</v>
      </c>
      <c r="Z186" s="158">
        <f t="shared" si="43"/>
        <v>2</v>
      </c>
      <c r="AA186" s="158">
        <f t="shared" si="43"/>
        <v>2</v>
      </c>
      <c r="AB186" s="158">
        <f t="shared" si="43"/>
        <v>3</v>
      </c>
      <c r="AC186" s="158">
        <f t="shared" si="43"/>
        <v>4</v>
      </c>
      <c r="AD186" s="158">
        <f t="shared" si="43"/>
        <v>4</v>
      </c>
      <c r="AE186" s="157">
        <f t="shared" si="44"/>
        <v>29</v>
      </c>
    </row>
    <row r="187" spans="1:31" outlineLevel="2">
      <c r="A187" s="135" t="str">
        <f t="shared" si="40"/>
        <v>MurreysMULTI-FAMILYM6YDEX</v>
      </c>
      <c r="B187" s="116" t="s">
        <v>542</v>
      </c>
      <c r="C187" s="116" t="s">
        <v>239</v>
      </c>
      <c r="D187" s="155">
        <v>122.58999999999999</v>
      </c>
      <c r="E187" s="155">
        <v>120.2</v>
      </c>
      <c r="F187" s="156">
        <v>122.59</v>
      </c>
      <c r="G187" s="156">
        <v>0</v>
      </c>
      <c r="H187" s="156">
        <v>0</v>
      </c>
      <c r="I187" s="156">
        <v>0</v>
      </c>
      <c r="J187" s="156">
        <v>0</v>
      </c>
      <c r="K187" s="156">
        <v>120.2</v>
      </c>
      <c r="L187" s="156">
        <v>0</v>
      </c>
      <c r="M187" s="156">
        <v>217.66</v>
      </c>
      <c r="N187" s="156">
        <v>698.46</v>
      </c>
      <c r="O187" s="156">
        <v>601</v>
      </c>
      <c r="P187" s="156">
        <v>721.2</v>
      </c>
      <c r="Q187" s="156">
        <v>721.2</v>
      </c>
      <c r="R187" s="157">
        <f t="shared" si="41"/>
        <v>3202.3100000000004</v>
      </c>
      <c r="S187" s="158">
        <f t="shared" si="42"/>
        <v>1.0000000000000002</v>
      </c>
      <c r="T187" s="158">
        <f t="shared" si="42"/>
        <v>0</v>
      </c>
      <c r="U187" s="158">
        <f t="shared" si="42"/>
        <v>0</v>
      </c>
      <c r="V187" s="158">
        <f t="shared" si="42"/>
        <v>0</v>
      </c>
      <c r="W187" s="158">
        <f t="shared" si="42"/>
        <v>0</v>
      </c>
      <c r="X187" s="158">
        <f t="shared" si="43"/>
        <v>1</v>
      </c>
      <c r="Y187" s="158">
        <f t="shared" si="43"/>
        <v>0</v>
      </c>
      <c r="Z187" s="158">
        <f t="shared" si="43"/>
        <v>1.8108153078202995</v>
      </c>
      <c r="AA187" s="158">
        <f t="shared" si="43"/>
        <v>5.8108153078202998</v>
      </c>
      <c r="AB187" s="158">
        <f t="shared" si="43"/>
        <v>5</v>
      </c>
      <c r="AC187" s="158">
        <f t="shared" si="43"/>
        <v>6</v>
      </c>
      <c r="AD187" s="158">
        <f t="shared" si="43"/>
        <v>6</v>
      </c>
      <c r="AE187" s="157">
        <f t="shared" si="44"/>
        <v>26.621630615640598</v>
      </c>
    </row>
    <row r="188" spans="1:31" outlineLevel="2">
      <c r="A188" s="135" t="str">
        <f t="shared" si="40"/>
        <v>MurreysMULTI-FAMILYMCCWR35</v>
      </c>
      <c r="B188" s="116" t="s">
        <v>543</v>
      </c>
      <c r="C188" s="116" t="s">
        <v>240</v>
      </c>
      <c r="D188" s="155">
        <v>4.2</v>
      </c>
      <c r="E188" s="155">
        <v>4.34</v>
      </c>
      <c r="F188" s="156">
        <v>15485.4</v>
      </c>
      <c r="G188" s="156">
        <v>15169.44</v>
      </c>
      <c r="H188" s="156">
        <v>16439.28</v>
      </c>
      <c r="I188" s="156">
        <v>16138.98</v>
      </c>
      <c r="J188" s="156">
        <v>14723.28</v>
      </c>
      <c r="K188" s="156">
        <v>17060.54</v>
      </c>
      <c r="L188" s="156">
        <v>13925.3</v>
      </c>
      <c r="M188" s="156">
        <v>16813.16</v>
      </c>
      <c r="N188" s="156">
        <v>17090.919999999998</v>
      </c>
      <c r="O188" s="156">
        <v>15871.38</v>
      </c>
      <c r="P188" s="156">
        <v>18275.740000000002</v>
      </c>
      <c r="Q188" s="156">
        <v>14786.38</v>
      </c>
      <c r="R188" s="157">
        <f t="shared" si="41"/>
        <v>191779.8</v>
      </c>
      <c r="S188" s="158">
        <f t="shared" si="42"/>
        <v>3686.9999999999995</v>
      </c>
      <c r="T188" s="158">
        <f t="shared" si="42"/>
        <v>3611.7714285714287</v>
      </c>
      <c r="U188" s="158">
        <f t="shared" si="42"/>
        <v>3914.1142857142854</v>
      </c>
      <c r="V188" s="158">
        <f t="shared" si="42"/>
        <v>3842.6142857142854</v>
      </c>
      <c r="W188" s="158">
        <f t="shared" si="42"/>
        <v>3505.542857142857</v>
      </c>
      <c r="X188" s="158">
        <f t="shared" si="43"/>
        <v>3931.0000000000005</v>
      </c>
      <c r="Y188" s="158">
        <f t="shared" si="43"/>
        <v>3208.5944700460827</v>
      </c>
      <c r="Z188" s="158">
        <f t="shared" si="43"/>
        <v>3874</v>
      </c>
      <c r="AA188" s="158">
        <f t="shared" si="43"/>
        <v>3937.9999999999995</v>
      </c>
      <c r="AB188" s="158">
        <f t="shared" si="43"/>
        <v>3657</v>
      </c>
      <c r="AC188" s="158">
        <f t="shared" si="43"/>
        <v>4211.0000000000009</v>
      </c>
      <c r="AD188" s="158">
        <f t="shared" si="43"/>
        <v>3407</v>
      </c>
      <c r="AE188" s="157">
        <f t="shared" si="44"/>
        <v>44787.637327188939</v>
      </c>
    </row>
    <row r="189" spans="1:31" outlineLevel="2">
      <c r="A189" s="135" t="str">
        <f t="shared" si="40"/>
        <v>MurreysMULTI-FAMILYMCCWR65</v>
      </c>
      <c r="B189" s="116" t="s">
        <v>544</v>
      </c>
      <c r="C189" s="116" t="s">
        <v>241</v>
      </c>
      <c r="D189" s="155">
        <v>6.29</v>
      </c>
      <c r="E189" s="155">
        <v>6.45</v>
      </c>
      <c r="F189" s="156">
        <v>75.48</v>
      </c>
      <c r="G189" s="156">
        <v>76.56</v>
      </c>
      <c r="H189" s="156">
        <v>95.7</v>
      </c>
      <c r="I189" s="156">
        <v>102.08</v>
      </c>
      <c r="J189" s="156">
        <v>102.08</v>
      </c>
      <c r="K189" s="156">
        <v>122.55</v>
      </c>
      <c r="L189" s="156">
        <v>0.56000000000000005</v>
      </c>
      <c r="M189" s="156">
        <v>96.75</v>
      </c>
      <c r="N189" s="156">
        <v>129</v>
      </c>
      <c r="O189" s="156">
        <v>103.2</v>
      </c>
      <c r="P189" s="156">
        <v>116.1</v>
      </c>
      <c r="Q189" s="156">
        <v>96.75</v>
      </c>
      <c r="R189" s="157">
        <f t="shared" si="41"/>
        <v>1116.81</v>
      </c>
      <c r="S189" s="158">
        <f t="shared" si="42"/>
        <v>12</v>
      </c>
      <c r="T189" s="158">
        <f t="shared" si="42"/>
        <v>12.171701112877583</v>
      </c>
      <c r="U189" s="158">
        <f t="shared" si="42"/>
        <v>15.21462639109698</v>
      </c>
      <c r="V189" s="158">
        <f t="shared" si="42"/>
        <v>16.22893481717011</v>
      </c>
      <c r="W189" s="158">
        <f t="shared" si="42"/>
        <v>16.22893481717011</v>
      </c>
      <c r="X189" s="158">
        <f t="shared" si="43"/>
        <v>19</v>
      </c>
      <c r="Y189" s="158">
        <f t="shared" si="43"/>
        <v>8.6821705426356602E-2</v>
      </c>
      <c r="Z189" s="158">
        <f t="shared" si="43"/>
        <v>15</v>
      </c>
      <c r="AA189" s="158">
        <f t="shared" si="43"/>
        <v>20</v>
      </c>
      <c r="AB189" s="158">
        <f t="shared" si="43"/>
        <v>16</v>
      </c>
      <c r="AC189" s="158">
        <f t="shared" si="43"/>
        <v>18</v>
      </c>
      <c r="AD189" s="158">
        <f t="shared" si="43"/>
        <v>15</v>
      </c>
      <c r="AE189" s="157">
        <f t="shared" si="44"/>
        <v>174.93101884374113</v>
      </c>
    </row>
    <row r="190" spans="1:31" outlineLevel="2">
      <c r="A190" s="135" t="str">
        <f t="shared" si="40"/>
        <v>MurreysMULTI-FAMILYMCCWR95</v>
      </c>
      <c r="B190" s="116" t="s">
        <v>545</v>
      </c>
      <c r="C190" s="116" t="s">
        <v>242</v>
      </c>
      <c r="D190" s="155">
        <v>8.8000000000000007</v>
      </c>
      <c r="E190" s="155">
        <v>9</v>
      </c>
      <c r="F190" s="156">
        <v>35.200000000000003</v>
      </c>
      <c r="G190" s="156">
        <v>0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0</v>
      </c>
      <c r="N190" s="156">
        <v>0</v>
      </c>
      <c r="O190" s="156">
        <v>0</v>
      </c>
      <c r="P190" s="156">
        <v>0</v>
      </c>
      <c r="Q190" s="156">
        <v>0</v>
      </c>
      <c r="R190" s="157">
        <f t="shared" si="41"/>
        <v>35.200000000000003</v>
      </c>
      <c r="S190" s="158">
        <f t="shared" si="42"/>
        <v>4</v>
      </c>
      <c r="T190" s="158">
        <f t="shared" si="42"/>
        <v>0</v>
      </c>
      <c r="U190" s="158">
        <f t="shared" si="42"/>
        <v>0</v>
      </c>
      <c r="V190" s="158">
        <f t="shared" si="42"/>
        <v>0</v>
      </c>
      <c r="W190" s="158">
        <f t="shared" si="42"/>
        <v>0</v>
      </c>
      <c r="X190" s="158">
        <f t="shared" si="43"/>
        <v>0</v>
      </c>
      <c r="Y190" s="158">
        <f t="shared" si="43"/>
        <v>0</v>
      </c>
      <c r="Z190" s="158">
        <f t="shared" si="43"/>
        <v>0</v>
      </c>
      <c r="AA190" s="158">
        <f t="shared" si="43"/>
        <v>0</v>
      </c>
      <c r="AB190" s="158">
        <f t="shared" si="43"/>
        <v>0</v>
      </c>
      <c r="AC190" s="158">
        <f t="shared" si="43"/>
        <v>0</v>
      </c>
      <c r="AD190" s="158">
        <f t="shared" si="43"/>
        <v>0</v>
      </c>
      <c r="AE190" s="157">
        <f t="shared" si="44"/>
        <v>4</v>
      </c>
    </row>
    <row r="191" spans="1:31" outlineLevel="2">
      <c r="A191" s="135" t="str">
        <f t="shared" si="40"/>
        <v>MurreysMULTI-FAMILYMCONNECT</v>
      </c>
      <c r="B191" s="116" t="s">
        <v>546</v>
      </c>
      <c r="C191" s="116" t="s">
        <v>547</v>
      </c>
      <c r="D191" s="155">
        <v>0</v>
      </c>
      <c r="E191" s="155">
        <v>0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6">
        <v>0</v>
      </c>
      <c r="Q191" s="156">
        <v>0</v>
      </c>
      <c r="R191" s="157">
        <f t="shared" si="41"/>
        <v>0</v>
      </c>
      <c r="S191" s="158">
        <f t="shared" si="42"/>
        <v>0</v>
      </c>
      <c r="T191" s="158">
        <f t="shared" si="42"/>
        <v>0</v>
      </c>
      <c r="U191" s="158">
        <f t="shared" si="42"/>
        <v>0</v>
      </c>
      <c r="V191" s="158">
        <f t="shared" si="42"/>
        <v>0</v>
      </c>
      <c r="W191" s="158">
        <f t="shared" si="42"/>
        <v>0</v>
      </c>
      <c r="X191" s="158">
        <f t="shared" si="43"/>
        <v>0</v>
      </c>
      <c r="Y191" s="158">
        <f t="shared" si="43"/>
        <v>0</v>
      </c>
      <c r="Z191" s="158">
        <f t="shared" si="43"/>
        <v>0</v>
      </c>
      <c r="AA191" s="158">
        <f t="shared" si="43"/>
        <v>0</v>
      </c>
      <c r="AB191" s="158">
        <f t="shared" si="43"/>
        <v>0</v>
      </c>
      <c r="AC191" s="158">
        <f t="shared" si="43"/>
        <v>0</v>
      </c>
      <c r="AD191" s="158">
        <f t="shared" si="43"/>
        <v>0</v>
      </c>
      <c r="AE191" s="157">
        <f t="shared" si="44"/>
        <v>0</v>
      </c>
    </row>
    <row r="192" spans="1:31" outlineLevel="2">
      <c r="A192" s="135" t="str">
        <f t="shared" si="40"/>
        <v>MurreysMULTI-FAMILYMRENT90</v>
      </c>
      <c r="B192" s="116" t="s">
        <v>548</v>
      </c>
      <c r="C192" s="116" t="s">
        <v>549</v>
      </c>
      <c r="D192" s="155">
        <v>4.7699999999999996</v>
      </c>
      <c r="E192" s="155">
        <v>4.0999999999999996</v>
      </c>
      <c r="F192" s="156">
        <v>128.79</v>
      </c>
      <c r="G192" s="156">
        <v>128.79</v>
      </c>
      <c r="H192" s="156">
        <v>128.79</v>
      </c>
      <c r="I192" s="156">
        <v>128.79</v>
      </c>
      <c r="J192" s="156">
        <v>128.79</v>
      </c>
      <c r="K192" s="156">
        <v>110.69999999999999</v>
      </c>
      <c r="L192" s="156">
        <v>94.3</v>
      </c>
      <c r="M192" s="156">
        <v>94.3</v>
      </c>
      <c r="N192" s="156">
        <v>94.3</v>
      </c>
      <c r="O192" s="156">
        <v>94.3</v>
      </c>
      <c r="P192" s="156">
        <v>94.3</v>
      </c>
      <c r="Q192" s="156">
        <v>94.3</v>
      </c>
      <c r="R192" s="157">
        <f t="shared" si="41"/>
        <v>1320.4499999999996</v>
      </c>
      <c r="S192" s="158">
        <f t="shared" si="42"/>
        <v>27</v>
      </c>
      <c r="T192" s="158">
        <f t="shared" si="42"/>
        <v>27</v>
      </c>
      <c r="U192" s="158">
        <f t="shared" si="42"/>
        <v>27</v>
      </c>
      <c r="V192" s="158">
        <f t="shared" si="42"/>
        <v>27</v>
      </c>
      <c r="W192" s="158">
        <f t="shared" si="42"/>
        <v>27</v>
      </c>
      <c r="X192" s="158">
        <f t="shared" si="43"/>
        <v>27</v>
      </c>
      <c r="Y192" s="158">
        <f t="shared" si="43"/>
        <v>23</v>
      </c>
      <c r="Z192" s="158">
        <f t="shared" si="43"/>
        <v>23</v>
      </c>
      <c r="AA192" s="158">
        <f t="shared" si="43"/>
        <v>23</v>
      </c>
      <c r="AB192" s="158">
        <f t="shared" si="43"/>
        <v>23</v>
      </c>
      <c r="AC192" s="158">
        <f t="shared" si="43"/>
        <v>23</v>
      </c>
      <c r="AD192" s="158">
        <f t="shared" si="43"/>
        <v>23</v>
      </c>
      <c r="AE192" s="157">
        <f t="shared" si="44"/>
        <v>300</v>
      </c>
    </row>
    <row r="193" spans="1:31" outlineLevel="2">
      <c r="A193" s="135" t="str">
        <f t="shared" si="40"/>
        <v>MurreysMULTI-FAMILYMROLL</v>
      </c>
      <c r="B193" s="116" t="s">
        <v>550</v>
      </c>
      <c r="C193" s="116" t="s">
        <v>551</v>
      </c>
      <c r="D193" s="155">
        <v>15.72</v>
      </c>
      <c r="E193" s="155">
        <v>15.72</v>
      </c>
      <c r="F193" s="156">
        <v>220.07999999999998</v>
      </c>
      <c r="G193" s="156">
        <v>220.07999999999998</v>
      </c>
      <c r="H193" s="156">
        <v>220.07999999999998</v>
      </c>
      <c r="I193" s="156">
        <v>220.07999999999998</v>
      </c>
      <c r="J193" s="156">
        <v>220.07999999999998</v>
      </c>
      <c r="K193" s="156">
        <v>220.07999999999998</v>
      </c>
      <c r="L193" s="156">
        <v>220.07999999999998</v>
      </c>
      <c r="M193" s="156">
        <v>220.07999999999998</v>
      </c>
      <c r="N193" s="156">
        <v>220.07999999999998</v>
      </c>
      <c r="O193" s="156">
        <v>204.35999999999999</v>
      </c>
      <c r="P193" s="156">
        <v>204.35999999999999</v>
      </c>
      <c r="Q193" s="156">
        <v>188.64000000000001</v>
      </c>
      <c r="R193" s="157">
        <f t="shared" si="41"/>
        <v>2578.0799999999995</v>
      </c>
      <c r="S193" s="158">
        <f t="shared" si="42"/>
        <v>13.999999999999998</v>
      </c>
      <c r="T193" s="158">
        <f t="shared" si="42"/>
        <v>13.999999999999998</v>
      </c>
      <c r="U193" s="158">
        <f t="shared" si="42"/>
        <v>13.999999999999998</v>
      </c>
      <c r="V193" s="158">
        <f t="shared" si="42"/>
        <v>13.999999999999998</v>
      </c>
      <c r="W193" s="158">
        <f t="shared" si="42"/>
        <v>13.999999999999998</v>
      </c>
      <c r="X193" s="158">
        <f t="shared" si="43"/>
        <v>13.999999999999998</v>
      </c>
      <c r="Y193" s="158">
        <f t="shared" si="43"/>
        <v>13.999999999999998</v>
      </c>
      <c r="Z193" s="158">
        <f t="shared" si="43"/>
        <v>13.999999999999998</v>
      </c>
      <c r="AA193" s="158">
        <f t="shared" si="43"/>
        <v>13.999999999999998</v>
      </c>
      <c r="AB193" s="158">
        <f t="shared" si="43"/>
        <v>12.999999999999998</v>
      </c>
      <c r="AC193" s="158">
        <f t="shared" si="43"/>
        <v>12.999999999999998</v>
      </c>
      <c r="AD193" s="158">
        <f t="shared" si="43"/>
        <v>12</v>
      </c>
      <c r="AE193" s="157">
        <f t="shared" si="44"/>
        <v>163.99999999999997</v>
      </c>
    </row>
    <row r="194" spans="1:31" outlineLevel="2">
      <c r="A194" s="135" t="str">
        <f t="shared" si="40"/>
        <v>MurreysMULTI-FAMILYPACKM</v>
      </c>
      <c r="B194" s="116" t="s">
        <v>552</v>
      </c>
      <c r="C194" s="116" t="s">
        <v>553</v>
      </c>
      <c r="D194" s="155">
        <v>2.08</v>
      </c>
      <c r="E194" s="155">
        <v>2.08</v>
      </c>
      <c r="F194" s="156">
        <v>6.24</v>
      </c>
      <c r="G194" s="156">
        <v>6.24</v>
      </c>
      <c r="H194" s="156">
        <v>6.24</v>
      </c>
      <c r="I194" s="156">
        <v>6.24</v>
      </c>
      <c r="J194" s="156">
        <v>6.24</v>
      </c>
      <c r="K194" s="156">
        <v>6.24</v>
      </c>
      <c r="L194" s="156">
        <v>6.24</v>
      </c>
      <c r="M194" s="156">
        <v>6.24</v>
      </c>
      <c r="N194" s="156">
        <v>6.24</v>
      </c>
      <c r="O194" s="156">
        <v>6.24</v>
      </c>
      <c r="P194" s="156">
        <v>6.24</v>
      </c>
      <c r="Q194" s="156">
        <v>6.24</v>
      </c>
      <c r="R194" s="157">
        <f t="shared" si="41"/>
        <v>74.88000000000001</v>
      </c>
      <c r="S194" s="158">
        <f t="shared" si="42"/>
        <v>3</v>
      </c>
      <c r="T194" s="158">
        <f t="shared" si="42"/>
        <v>3</v>
      </c>
      <c r="U194" s="158">
        <f t="shared" si="42"/>
        <v>3</v>
      </c>
      <c r="V194" s="158">
        <f t="shared" si="42"/>
        <v>3</v>
      </c>
      <c r="W194" s="158">
        <f t="shared" si="42"/>
        <v>3</v>
      </c>
      <c r="X194" s="158">
        <f t="shared" si="43"/>
        <v>3</v>
      </c>
      <c r="Y194" s="158">
        <f t="shared" si="43"/>
        <v>3</v>
      </c>
      <c r="Z194" s="158">
        <f t="shared" si="43"/>
        <v>3</v>
      </c>
      <c r="AA194" s="158">
        <f t="shared" si="43"/>
        <v>3</v>
      </c>
      <c r="AB194" s="158">
        <f t="shared" si="43"/>
        <v>3</v>
      </c>
      <c r="AC194" s="158">
        <f t="shared" si="43"/>
        <v>3</v>
      </c>
      <c r="AD194" s="158">
        <f t="shared" si="43"/>
        <v>3</v>
      </c>
      <c r="AE194" s="157">
        <f t="shared" si="44"/>
        <v>36</v>
      </c>
    </row>
    <row r="195" spans="1:31" outlineLevel="2">
      <c r="A195" s="135" t="str">
        <f t="shared" si="40"/>
        <v>MurreysMULTI-FAMILYADJMF</v>
      </c>
      <c r="B195" s="116" t="s">
        <v>554</v>
      </c>
      <c r="C195" s="116" t="s">
        <v>555</v>
      </c>
      <c r="D195" s="155">
        <v>0</v>
      </c>
      <c r="E195" s="155"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6">
        <v>0</v>
      </c>
      <c r="Q195" s="156">
        <v>0</v>
      </c>
      <c r="R195" s="157">
        <f t="shared" si="41"/>
        <v>0</v>
      </c>
      <c r="S195" s="158">
        <f t="shared" si="42"/>
        <v>0</v>
      </c>
      <c r="T195" s="158">
        <f t="shared" si="42"/>
        <v>0</v>
      </c>
      <c r="U195" s="158">
        <f t="shared" si="42"/>
        <v>0</v>
      </c>
      <c r="V195" s="158">
        <f t="shared" si="42"/>
        <v>0</v>
      </c>
      <c r="W195" s="158">
        <f t="shared" si="42"/>
        <v>0</v>
      </c>
      <c r="X195" s="158">
        <f t="shared" si="43"/>
        <v>0</v>
      </c>
      <c r="Y195" s="158">
        <f t="shared" si="43"/>
        <v>0</v>
      </c>
      <c r="Z195" s="158">
        <f t="shared" si="43"/>
        <v>0</v>
      </c>
      <c r="AA195" s="158">
        <f t="shared" si="43"/>
        <v>0</v>
      </c>
      <c r="AB195" s="158">
        <f t="shared" si="43"/>
        <v>0</v>
      </c>
      <c r="AC195" s="158">
        <f t="shared" si="43"/>
        <v>0</v>
      </c>
      <c r="AD195" s="158">
        <f t="shared" si="43"/>
        <v>0</v>
      </c>
      <c r="AE195" s="157">
        <f t="shared" si="44"/>
        <v>0</v>
      </c>
    </row>
    <row r="196" spans="1:31" outlineLevel="2">
      <c r="A196" s="135" t="str">
        <f t="shared" si="40"/>
        <v>MurreysMULTI-FAMILYDRVNM</v>
      </c>
      <c r="B196" s="116" t="s">
        <v>556</v>
      </c>
      <c r="C196" s="116" t="s">
        <v>557</v>
      </c>
      <c r="D196" s="155">
        <v>4.68</v>
      </c>
      <c r="E196" s="155">
        <v>4.68</v>
      </c>
      <c r="F196" s="156">
        <v>46.8</v>
      </c>
      <c r="G196" s="156">
        <v>46.8</v>
      </c>
      <c r="H196" s="156">
        <v>46.8</v>
      </c>
      <c r="I196" s="156">
        <v>46.8</v>
      </c>
      <c r="J196" s="156">
        <v>46.8</v>
      </c>
      <c r="K196" s="156">
        <v>56.16</v>
      </c>
      <c r="L196" s="156">
        <v>60</v>
      </c>
      <c r="M196" s="156">
        <v>75.72</v>
      </c>
      <c r="N196" s="156">
        <v>75.72</v>
      </c>
      <c r="O196" s="156">
        <v>75.72</v>
      </c>
      <c r="P196" s="156">
        <v>71.59</v>
      </c>
      <c r="Q196" s="156">
        <v>60</v>
      </c>
      <c r="R196" s="157">
        <f t="shared" si="41"/>
        <v>708.91000000000008</v>
      </c>
      <c r="S196" s="158">
        <f t="shared" si="42"/>
        <v>10</v>
      </c>
      <c r="T196" s="158">
        <f t="shared" si="42"/>
        <v>10</v>
      </c>
      <c r="U196" s="158">
        <f t="shared" si="42"/>
        <v>10</v>
      </c>
      <c r="V196" s="158">
        <f t="shared" si="42"/>
        <v>10</v>
      </c>
      <c r="W196" s="158">
        <f t="shared" si="42"/>
        <v>10</v>
      </c>
      <c r="X196" s="158">
        <f t="shared" si="43"/>
        <v>12</v>
      </c>
      <c r="Y196" s="158">
        <f t="shared" si="43"/>
        <v>12.820512820512821</v>
      </c>
      <c r="Z196" s="158">
        <f t="shared" si="43"/>
        <v>16.179487179487179</v>
      </c>
      <c r="AA196" s="158">
        <f t="shared" si="43"/>
        <v>16.179487179487179</v>
      </c>
      <c r="AB196" s="158">
        <f t="shared" si="43"/>
        <v>16.179487179487179</v>
      </c>
      <c r="AC196" s="158">
        <f t="shared" si="43"/>
        <v>15.297008547008549</v>
      </c>
      <c r="AD196" s="158">
        <f t="shared" si="43"/>
        <v>12.820512820512821</v>
      </c>
      <c r="AE196" s="157">
        <f t="shared" si="44"/>
        <v>151.47649572649573</v>
      </c>
    </row>
    <row r="197" spans="1:31" outlineLevel="2">
      <c r="A197" s="135" t="str">
        <f t="shared" si="40"/>
        <v>MurreysMULTI-FAMILYEXTRA-MF</v>
      </c>
      <c r="B197" s="116" t="s">
        <v>558</v>
      </c>
      <c r="C197" s="116" t="s">
        <v>243</v>
      </c>
      <c r="D197" s="155">
        <v>4.29</v>
      </c>
      <c r="E197" s="155">
        <v>4.34</v>
      </c>
      <c r="F197" s="156">
        <v>1196.9100000000001</v>
      </c>
      <c r="G197" s="156">
        <v>1484.34</v>
      </c>
      <c r="H197" s="156">
        <v>2213.6400000000003</v>
      </c>
      <c r="I197" s="156">
        <v>2355.21</v>
      </c>
      <c r="J197" s="156">
        <v>1724.58</v>
      </c>
      <c r="K197" s="156">
        <v>2203.3199999999997</v>
      </c>
      <c r="L197" s="156">
        <v>2182.5500000000002</v>
      </c>
      <c r="M197" s="156">
        <v>1944.32</v>
      </c>
      <c r="N197" s="156">
        <v>1019.9000000000001</v>
      </c>
      <c r="O197" s="156">
        <v>1124.06</v>
      </c>
      <c r="P197" s="156">
        <v>1372.52</v>
      </c>
      <c r="Q197" s="156">
        <v>1145.76</v>
      </c>
      <c r="R197" s="157">
        <f t="shared" si="41"/>
        <v>19967.109999999997</v>
      </c>
      <c r="S197" s="158">
        <f t="shared" si="42"/>
        <v>279</v>
      </c>
      <c r="T197" s="158">
        <f t="shared" si="42"/>
        <v>346</v>
      </c>
      <c r="U197" s="158">
        <f t="shared" si="42"/>
        <v>516.00000000000011</v>
      </c>
      <c r="V197" s="158">
        <f t="shared" si="42"/>
        <v>549</v>
      </c>
      <c r="W197" s="158">
        <f t="shared" si="42"/>
        <v>402</v>
      </c>
      <c r="X197" s="158">
        <f t="shared" si="43"/>
        <v>507.67741935483866</v>
      </c>
      <c r="Y197" s="158">
        <f t="shared" si="43"/>
        <v>502.8917050691245</v>
      </c>
      <c r="Z197" s="158">
        <f t="shared" si="43"/>
        <v>448</v>
      </c>
      <c r="AA197" s="158">
        <f t="shared" si="43"/>
        <v>235.00000000000003</v>
      </c>
      <c r="AB197" s="158">
        <f t="shared" si="43"/>
        <v>259</v>
      </c>
      <c r="AC197" s="158">
        <f t="shared" si="43"/>
        <v>316.24884792626727</v>
      </c>
      <c r="AD197" s="158">
        <f t="shared" si="43"/>
        <v>264</v>
      </c>
      <c r="AE197" s="157">
        <f t="shared" si="44"/>
        <v>4624.8179723502299</v>
      </c>
    </row>
    <row r="198" spans="1:31" outlineLevel="2">
      <c r="B198" s="116"/>
      <c r="C198" s="116"/>
      <c r="D198" s="155"/>
      <c r="E198" s="155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71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7"/>
    </row>
    <row r="199" spans="1:31" outlineLevel="1">
      <c r="B199" s="116"/>
      <c r="C199" s="159" t="s">
        <v>559</v>
      </c>
      <c r="D199" s="155"/>
      <c r="E199" s="155"/>
      <c r="F199" s="162">
        <f t="shared" ref="F199:Q199" si="45">SUM(F162:F198)</f>
        <v>127399.53999999998</v>
      </c>
      <c r="G199" s="162">
        <f t="shared" si="45"/>
        <v>128818.57</v>
      </c>
      <c r="H199" s="162">
        <f t="shared" si="45"/>
        <v>131290.96000000002</v>
      </c>
      <c r="I199" s="162">
        <f t="shared" si="45"/>
        <v>131103.43</v>
      </c>
      <c r="J199" s="162">
        <f t="shared" si="45"/>
        <v>127655.99</v>
      </c>
      <c r="K199" s="162">
        <f t="shared" si="45"/>
        <v>133006.44000000003</v>
      </c>
      <c r="L199" s="162">
        <f t="shared" si="45"/>
        <v>126383.6</v>
      </c>
      <c r="M199" s="162">
        <f t="shared" si="45"/>
        <v>130468.23000000004</v>
      </c>
      <c r="N199" s="162">
        <f t="shared" si="45"/>
        <v>129925.68000000004</v>
      </c>
      <c r="O199" s="162">
        <f t="shared" si="45"/>
        <v>132528.70999999996</v>
      </c>
      <c r="P199" s="162">
        <f t="shared" si="45"/>
        <v>135751.10999999996</v>
      </c>
      <c r="Q199" s="162">
        <f t="shared" si="45"/>
        <v>130655.06999999999</v>
      </c>
      <c r="R199" s="163">
        <f>SUM(F199:Q199)</f>
        <v>1564987.3299999998</v>
      </c>
      <c r="S199" s="162">
        <f>SUM(S162:S173,S175:S178,S180:S182,S184:S186,S188:S190)</f>
        <v>4846.4866780564626</v>
      </c>
      <c r="T199" s="162">
        <f t="shared" ref="T199:AE199" si="46">SUM(T162:T173,T175:T178,T180:T182,T184:T186,T188:T190)</f>
        <v>4811.0479683571848</v>
      </c>
      <c r="U199" s="162">
        <f t="shared" si="46"/>
        <v>5113.8234688304019</v>
      </c>
      <c r="V199" s="162">
        <f t="shared" si="46"/>
        <v>5065.2797224290325</v>
      </c>
      <c r="W199" s="162">
        <f t="shared" si="46"/>
        <v>4725.4197400994108</v>
      </c>
      <c r="X199" s="162">
        <f t="shared" si="46"/>
        <v>5169.6189647076553</v>
      </c>
      <c r="Y199" s="162">
        <f t="shared" si="46"/>
        <v>4424.0168196566474</v>
      </c>
      <c r="Z199" s="162">
        <f t="shared" si="46"/>
        <v>5118.000908827843</v>
      </c>
      <c r="AA199" s="162">
        <f t="shared" si="46"/>
        <v>5191.087956185288</v>
      </c>
      <c r="AB199" s="162">
        <f t="shared" si="46"/>
        <v>4928.1413084345932</v>
      </c>
      <c r="AC199" s="162">
        <f t="shared" si="46"/>
        <v>5485.5709173249697</v>
      </c>
      <c r="AD199" s="162">
        <f t="shared" si="46"/>
        <v>4665.2501613674594</v>
      </c>
      <c r="AE199" s="163">
        <f t="shared" si="46"/>
        <v>59543.744614276948</v>
      </c>
    </row>
    <row r="200" spans="1:31" outlineLevel="1">
      <c r="B200" s="116"/>
      <c r="C200" s="159"/>
      <c r="D200" s="155"/>
      <c r="E200" s="155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7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7">
        <f>SUM(AE168:AE187)</f>
        <v>5516.1186502645724</v>
      </c>
    </row>
    <row r="201" spans="1:31" outlineLevel="2">
      <c r="B201" s="164" t="s">
        <v>560</v>
      </c>
      <c r="C201" s="159"/>
      <c r="D201" s="155"/>
      <c r="E201" s="155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7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7"/>
    </row>
    <row r="202" spans="1:31" s="137" customFormat="1" outlineLevel="2">
      <c r="A202" s="135" t="str">
        <f t="shared" ref="A202:A210" si="47">+$A$5&amp;$A$161&amp;B202</f>
        <v>MurreysMULTI-FAMILYM2YDRECY</v>
      </c>
      <c r="B202" s="170" t="s">
        <v>561</v>
      </c>
      <c r="C202" s="170" t="s">
        <v>562</v>
      </c>
      <c r="D202" s="155">
        <v>13.089999999999998</v>
      </c>
      <c r="E202" s="155">
        <v>11.25</v>
      </c>
      <c r="F202" s="156">
        <v>1700.3999999999999</v>
      </c>
      <c r="G202" s="156">
        <v>1700.3999999999999</v>
      </c>
      <c r="H202" s="156">
        <v>1700.3999999999999</v>
      </c>
      <c r="I202" s="156">
        <v>2380.56</v>
      </c>
      <c r="J202" s="156">
        <v>2607.2799999999997</v>
      </c>
      <c r="K202" s="156">
        <v>3060.7200000000003</v>
      </c>
      <c r="L202" s="156">
        <v>2432.0500000000002</v>
      </c>
      <c r="M202" s="156">
        <v>2630.57</v>
      </c>
      <c r="N202" s="156">
        <v>2630.57</v>
      </c>
      <c r="O202" s="156">
        <v>2630.57</v>
      </c>
      <c r="P202" s="156">
        <v>2630.57</v>
      </c>
      <c r="Q202" s="156">
        <v>2630.57</v>
      </c>
      <c r="R202" s="157">
        <f t="shared" ref="R202:R210" si="48">SUM(F202:Q202)</f>
        <v>28734.66</v>
      </c>
      <c r="S202" s="158">
        <f t="shared" ref="S202:W209" si="49">+IFERROR(F202/$D202,0)</f>
        <v>129.90068754774637</v>
      </c>
      <c r="T202" s="158">
        <f t="shared" si="49"/>
        <v>129.90068754774637</v>
      </c>
      <c r="U202" s="158">
        <f t="shared" si="49"/>
        <v>129.90068754774637</v>
      </c>
      <c r="V202" s="158">
        <f t="shared" si="49"/>
        <v>181.86096256684493</v>
      </c>
      <c r="W202" s="158">
        <f t="shared" si="49"/>
        <v>199.18105423987777</v>
      </c>
      <c r="X202" s="158">
        <f t="shared" ref="X202:AD210" si="50">+IFERROR(K202/$E202,0)</f>
        <v>272.06400000000002</v>
      </c>
      <c r="Y202" s="158">
        <f t="shared" si="50"/>
        <v>216.18222222222224</v>
      </c>
      <c r="Z202" s="158">
        <f t="shared" si="50"/>
        <v>233.82844444444447</v>
      </c>
      <c r="AA202" s="158">
        <f t="shared" si="50"/>
        <v>233.82844444444447</v>
      </c>
      <c r="AB202" s="158">
        <f t="shared" si="50"/>
        <v>233.82844444444447</v>
      </c>
      <c r="AC202" s="158">
        <f t="shared" si="50"/>
        <v>233.82844444444447</v>
      </c>
      <c r="AD202" s="158">
        <f t="shared" si="50"/>
        <v>233.82844444444447</v>
      </c>
      <c r="AE202" s="157">
        <f t="shared" ref="AE202:AE209" si="51">+SUM(S202:AD202)/$AB$3</f>
        <v>2428.1325238944059</v>
      </c>
    </row>
    <row r="203" spans="1:31" s="137" customFormat="1" outlineLevel="2">
      <c r="A203" s="135" t="str">
        <f t="shared" si="47"/>
        <v>MurreysMULTI-FAMILYM6YDRECY</v>
      </c>
      <c r="B203" s="170" t="s">
        <v>563</v>
      </c>
      <c r="C203" s="170" t="s">
        <v>564</v>
      </c>
      <c r="D203" s="155">
        <v>40.82</v>
      </c>
      <c r="E203" s="155">
        <v>35.090000000000003</v>
      </c>
      <c r="F203" s="156">
        <v>9456.1299999999992</v>
      </c>
      <c r="G203" s="156">
        <v>9544.5</v>
      </c>
      <c r="H203" s="156">
        <v>9544.5</v>
      </c>
      <c r="I203" s="156">
        <v>9544.5</v>
      </c>
      <c r="J203" s="156">
        <v>9544.5</v>
      </c>
      <c r="K203" s="156">
        <v>9544.5</v>
      </c>
      <c r="L203" s="156">
        <v>8204.76</v>
      </c>
      <c r="M203" s="156">
        <v>8204.76</v>
      </c>
      <c r="N203" s="156">
        <v>8204.76</v>
      </c>
      <c r="O203" s="156">
        <v>8204.76</v>
      </c>
      <c r="P203" s="156">
        <v>8204.76</v>
      </c>
      <c r="Q203" s="156">
        <v>8204.76</v>
      </c>
      <c r="R203" s="157">
        <f t="shared" si="48"/>
        <v>106407.18999999997</v>
      </c>
      <c r="S203" s="158">
        <f t="shared" si="49"/>
        <v>231.65433610975009</v>
      </c>
      <c r="T203" s="158">
        <f t="shared" si="49"/>
        <v>233.81920627143558</v>
      </c>
      <c r="U203" s="158">
        <f t="shared" si="49"/>
        <v>233.81920627143558</v>
      </c>
      <c r="V203" s="158">
        <f t="shared" si="49"/>
        <v>233.81920627143558</v>
      </c>
      <c r="W203" s="158">
        <f t="shared" si="49"/>
        <v>233.81920627143558</v>
      </c>
      <c r="X203" s="158">
        <f t="shared" si="50"/>
        <v>272.0005699629524</v>
      </c>
      <c r="Y203" s="158">
        <f t="shared" si="50"/>
        <v>233.82046166999143</v>
      </c>
      <c r="Z203" s="158">
        <f t="shared" si="50"/>
        <v>233.82046166999143</v>
      </c>
      <c r="AA203" s="158">
        <f t="shared" si="50"/>
        <v>233.82046166999143</v>
      </c>
      <c r="AB203" s="158">
        <f t="shared" si="50"/>
        <v>233.82046166999143</v>
      </c>
      <c r="AC203" s="158">
        <f t="shared" si="50"/>
        <v>233.82046166999143</v>
      </c>
      <c r="AD203" s="158">
        <f t="shared" si="50"/>
        <v>233.82046166999143</v>
      </c>
      <c r="AE203" s="157">
        <f t="shared" si="51"/>
        <v>2841.8545011783931</v>
      </c>
    </row>
    <row r="204" spans="1:31" s="137" customFormat="1" outlineLevel="2">
      <c r="A204" s="135" t="str">
        <f t="shared" si="47"/>
        <v>MurreysMULTI-FAMILYMCCRECYR</v>
      </c>
      <c r="B204" s="116" t="s">
        <v>565</v>
      </c>
      <c r="C204" s="116" t="s">
        <v>566</v>
      </c>
      <c r="D204" s="155">
        <v>7.2</v>
      </c>
      <c r="E204" s="155">
        <v>6.22</v>
      </c>
      <c r="F204" s="156">
        <v>6724.8</v>
      </c>
      <c r="G204" s="156">
        <v>6724.8</v>
      </c>
      <c r="H204" s="156">
        <v>6710.4</v>
      </c>
      <c r="I204" s="156">
        <v>6710.4</v>
      </c>
      <c r="J204" s="156">
        <v>6710.4</v>
      </c>
      <c r="K204" s="156">
        <v>5797.04</v>
      </c>
      <c r="L204" s="156">
        <v>5797.04</v>
      </c>
      <c r="M204" s="156">
        <v>5797.04</v>
      </c>
      <c r="N204" s="156">
        <v>5803.26</v>
      </c>
      <c r="O204" s="156">
        <v>5803.26</v>
      </c>
      <c r="P204" s="156">
        <v>5809.48</v>
      </c>
      <c r="Q204" s="156">
        <v>5809.48</v>
      </c>
      <c r="R204" s="157">
        <f t="shared" si="48"/>
        <v>74197.400000000009</v>
      </c>
      <c r="S204" s="158">
        <f t="shared" si="49"/>
        <v>934</v>
      </c>
      <c r="T204" s="158">
        <f t="shared" si="49"/>
        <v>934</v>
      </c>
      <c r="U204" s="158">
        <f t="shared" si="49"/>
        <v>931.99999999999989</v>
      </c>
      <c r="V204" s="158">
        <f t="shared" si="49"/>
        <v>931.99999999999989</v>
      </c>
      <c r="W204" s="158">
        <f t="shared" si="49"/>
        <v>931.99999999999989</v>
      </c>
      <c r="X204" s="158">
        <f t="shared" si="50"/>
        <v>932</v>
      </c>
      <c r="Y204" s="158">
        <f t="shared" si="50"/>
        <v>932</v>
      </c>
      <c r="Z204" s="158">
        <f t="shared" si="50"/>
        <v>932</v>
      </c>
      <c r="AA204" s="158">
        <f t="shared" si="50"/>
        <v>933.00000000000011</v>
      </c>
      <c r="AB204" s="158">
        <f t="shared" si="50"/>
        <v>933.00000000000011</v>
      </c>
      <c r="AC204" s="158">
        <f t="shared" si="50"/>
        <v>934</v>
      </c>
      <c r="AD204" s="158">
        <f t="shared" si="50"/>
        <v>934</v>
      </c>
      <c r="AE204" s="157">
        <f t="shared" si="51"/>
        <v>11194</v>
      </c>
    </row>
    <row r="205" spans="1:31" s="137" customFormat="1" outlineLevel="2">
      <c r="A205" s="135" t="str">
        <f t="shared" si="47"/>
        <v>MurreysMULTI-FAMILYMRECYIN</v>
      </c>
      <c r="B205" s="116" t="s">
        <v>567</v>
      </c>
      <c r="C205" s="116" t="s">
        <v>568</v>
      </c>
      <c r="D205" s="155">
        <v>0.75</v>
      </c>
      <c r="E205" s="155">
        <v>0.75</v>
      </c>
      <c r="F205" s="156">
        <v>263.81</v>
      </c>
      <c r="G205" s="156">
        <v>264</v>
      </c>
      <c r="H205" s="156">
        <v>264</v>
      </c>
      <c r="I205" s="156">
        <v>264</v>
      </c>
      <c r="J205" s="156">
        <v>262.69</v>
      </c>
      <c r="K205" s="156">
        <v>263.25</v>
      </c>
      <c r="L205" s="156">
        <v>263.82</v>
      </c>
      <c r="M205" s="156">
        <v>265.52</v>
      </c>
      <c r="N205" s="156">
        <v>262.53999999999996</v>
      </c>
      <c r="O205" s="156">
        <v>269.25</v>
      </c>
      <c r="P205" s="156">
        <v>268.51</v>
      </c>
      <c r="Q205" s="156">
        <v>267.19</v>
      </c>
      <c r="R205" s="157">
        <f t="shared" si="48"/>
        <v>3178.5800000000004</v>
      </c>
      <c r="S205" s="158">
        <f t="shared" si="49"/>
        <v>351.74666666666667</v>
      </c>
      <c r="T205" s="158">
        <f t="shared" si="49"/>
        <v>352</v>
      </c>
      <c r="U205" s="158">
        <f t="shared" si="49"/>
        <v>352</v>
      </c>
      <c r="V205" s="158">
        <f t="shared" si="49"/>
        <v>352</v>
      </c>
      <c r="W205" s="158">
        <f>+IFERROR(J205/$D205,0)</f>
        <v>350.25333333333333</v>
      </c>
      <c r="X205" s="158">
        <f t="shared" si="50"/>
        <v>351</v>
      </c>
      <c r="Y205" s="158">
        <f t="shared" si="50"/>
        <v>351.76</v>
      </c>
      <c r="Z205" s="158">
        <f t="shared" si="50"/>
        <v>354.02666666666664</v>
      </c>
      <c r="AA205" s="158">
        <f t="shared" si="50"/>
        <v>350.05333333333328</v>
      </c>
      <c r="AB205" s="158">
        <f t="shared" si="50"/>
        <v>359</v>
      </c>
      <c r="AC205" s="158">
        <f t="shared" si="50"/>
        <v>358.01333333333332</v>
      </c>
      <c r="AD205" s="158">
        <f t="shared" si="50"/>
        <v>356.25333333333333</v>
      </c>
      <c r="AE205" s="157">
        <f t="shared" si="51"/>
        <v>4238.1066666666666</v>
      </c>
    </row>
    <row r="206" spans="1:31" s="137" customFormat="1" outlineLevel="2">
      <c r="A206" s="135" t="str">
        <f t="shared" si="47"/>
        <v>MurreysMULTI-FAMILYMRECYONLY</v>
      </c>
      <c r="B206" s="116" t="s">
        <v>569</v>
      </c>
      <c r="C206" s="116" t="s">
        <v>570</v>
      </c>
      <c r="D206" s="155">
        <v>10.72</v>
      </c>
      <c r="E206" s="155">
        <v>9.2100000000000009</v>
      </c>
      <c r="F206" s="156">
        <v>42.88</v>
      </c>
      <c r="G206" s="156">
        <v>42.88</v>
      </c>
      <c r="H206" s="156">
        <v>42.88</v>
      </c>
      <c r="I206" s="156">
        <v>42.88</v>
      </c>
      <c r="J206" s="156">
        <v>42.88</v>
      </c>
      <c r="K206" s="156">
        <v>36.840000000000003</v>
      </c>
      <c r="L206" s="156">
        <v>36.840000000000003</v>
      </c>
      <c r="M206" s="156">
        <v>36.840000000000003</v>
      </c>
      <c r="N206" s="156">
        <v>36.840000000000003</v>
      </c>
      <c r="O206" s="156">
        <v>36.840000000000003</v>
      </c>
      <c r="P206" s="156">
        <v>36.840000000000003</v>
      </c>
      <c r="Q206" s="156">
        <v>36.840000000000003</v>
      </c>
      <c r="R206" s="157">
        <f t="shared" si="48"/>
        <v>472.2800000000002</v>
      </c>
      <c r="S206" s="158">
        <f t="shared" si="49"/>
        <v>4</v>
      </c>
      <c r="T206" s="158">
        <f t="shared" si="49"/>
        <v>4</v>
      </c>
      <c r="U206" s="158">
        <f t="shared" si="49"/>
        <v>4</v>
      </c>
      <c r="V206" s="158">
        <f t="shared" si="49"/>
        <v>4</v>
      </c>
      <c r="W206" s="158">
        <f t="shared" si="49"/>
        <v>4</v>
      </c>
      <c r="X206" s="158">
        <f t="shared" si="50"/>
        <v>4</v>
      </c>
      <c r="Y206" s="158">
        <f t="shared" si="50"/>
        <v>4</v>
      </c>
      <c r="Z206" s="158">
        <f t="shared" si="50"/>
        <v>4</v>
      </c>
      <c r="AA206" s="158">
        <f t="shared" si="50"/>
        <v>4</v>
      </c>
      <c r="AB206" s="158">
        <f t="shared" si="50"/>
        <v>4</v>
      </c>
      <c r="AC206" s="158">
        <f t="shared" si="50"/>
        <v>4</v>
      </c>
      <c r="AD206" s="158">
        <f t="shared" si="50"/>
        <v>4</v>
      </c>
      <c r="AE206" s="157">
        <f t="shared" si="51"/>
        <v>48</v>
      </c>
    </row>
    <row r="207" spans="1:31" s="137" customFormat="1" outlineLevel="2">
      <c r="A207" s="135" t="str">
        <f t="shared" si="47"/>
        <v>MurreysMULTI-FAMILYMRECYR</v>
      </c>
      <c r="B207" s="116" t="s">
        <v>571</v>
      </c>
      <c r="C207" s="116" t="s">
        <v>572</v>
      </c>
      <c r="D207" s="155">
        <v>7.14</v>
      </c>
      <c r="E207" s="155">
        <v>6.14</v>
      </c>
      <c r="F207" s="156">
        <v>4721.34</v>
      </c>
      <c r="G207" s="156">
        <v>4919.46</v>
      </c>
      <c r="H207" s="156">
        <v>4937.3099999999995</v>
      </c>
      <c r="I207" s="156">
        <v>5051.3900000000003</v>
      </c>
      <c r="J207" s="156">
        <v>5097.96</v>
      </c>
      <c r="K207" s="156">
        <v>4552.54</v>
      </c>
      <c r="L207" s="156">
        <v>4562.04</v>
      </c>
      <c r="M207" s="156">
        <v>4623.42</v>
      </c>
      <c r="N207" s="156">
        <v>4654.1299999999992</v>
      </c>
      <c r="O207" s="156">
        <v>4752.3600000000006</v>
      </c>
      <c r="P207" s="156">
        <v>4770.78</v>
      </c>
      <c r="Q207" s="156">
        <v>4746.22</v>
      </c>
      <c r="R207" s="157">
        <f t="shared" si="48"/>
        <v>57388.95</v>
      </c>
      <c r="S207" s="158">
        <f t="shared" si="49"/>
        <v>661.2521008403362</v>
      </c>
      <c r="T207" s="158">
        <f t="shared" si="49"/>
        <v>689</v>
      </c>
      <c r="U207" s="158">
        <f t="shared" si="49"/>
        <v>691.5</v>
      </c>
      <c r="V207" s="158">
        <f t="shared" si="49"/>
        <v>707.47759103641465</v>
      </c>
      <c r="W207" s="158">
        <f t="shared" si="49"/>
        <v>714</v>
      </c>
      <c r="X207" s="158">
        <f t="shared" si="50"/>
        <v>741.45602605863201</v>
      </c>
      <c r="Y207" s="158">
        <f t="shared" si="50"/>
        <v>743.00325732899023</v>
      </c>
      <c r="Z207" s="158">
        <f t="shared" si="50"/>
        <v>753</v>
      </c>
      <c r="AA207" s="158">
        <f t="shared" si="50"/>
        <v>758.001628664495</v>
      </c>
      <c r="AB207" s="158">
        <f t="shared" si="50"/>
        <v>774.00000000000011</v>
      </c>
      <c r="AC207" s="158">
        <f t="shared" si="50"/>
        <v>777</v>
      </c>
      <c r="AD207" s="158">
        <f t="shared" si="50"/>
        <v>773.00000000000011</v>
      </c>
      <c r="AE207" s="157">
        <f t="shared" si="51"/>
        <v>8782.6906039288679</v>
      </c>
    </row>
    <row r="208" spans="1:31" s="137" customFormat="1" outlineLevel="2">
      <c r="A208" s="135" t="str">
        <f t="shared" si="47"/>
        <v>MurreysMULTI-FAMILYMRENT2YDRECY</v>
      </c>
      <c r="B208" s="116" t="s">
        <v>573</v>
      </c>
      <c r="C208" s="116" t="s">
        <v>574</v>
      </c>
      <c r="D208" s="155">
        <v>12.5</v>
      </c>
      <c r="E208" s="155">
        <v>10.74</v>
      </c>
      <c r="F208" s="156">
        <v>237.5</v>
      </c>
      <c r="G208" s="156">
        <v>237.5</v>
      </c>
      <c r="H208" s="156">
        <v>237.5</v>
      </c>
      <c r="I208" s="156">
        <v>362.5</v>
      </c>
      <c r="J208" s="156">
        <v>337.5</v>
      </c>
      <c r="K208" s="156">
        <v>332.94</v>
      </c>
      <c r="L208" s="156">
        <v>290.06</v>
      </c>
      <c r="M208" s="156">
        <v>332.94</v>
      </c>
      <c r="N208" s="156">
        <v>332.94</v>
      </c>
      <c r="O208" s="156">
        <v>343.68</v>
      </c>
      <c r="P208" s="156">
        <v>343.68</v>
      </c>
      <c r="Q208" s="156">
        <v>332.94</v>
      </c>
      <c r="R208" s="157">
        <f t="shared" si="48"/>
        <v>3721.68</v>
      </c>
      <c r="S208" s="158">
        <f t="shared" si="49"/>
        <v>19</v>
      </c>
      <c r="T208" s="158">
        <f t="shared" si="49"/>
        <v>19</v>
      </c>
      <c r="U208" s="158">
        <f t="shared" si="49"/>
        <v>19</v>
      </c>
      <c r="V208" s="158">
        <f t="shared" si="49"/>
        <v>29</v>
      </c>
      <c r="W208" s="158">
        <f t="shared" si="49"/>
        <v>27</v>
      </c>
      <c r="X208" s="158">
        <f t="shared" si="50"/>
        <v>31</v>
      </c>
      <c r="Y208" s="158">
        <f t="shared" si="50"/>
        <v>27.007448789571693</v>
      </c>
      <c r="Z208" s="158">
        <f t="shared" si="50"/>
        <v>31</v>
      </c>
      <c r="AA208" s="158">
        <f t="shared" si="50"/>
        <v>31</v>
      </c>
      <c r="AB208" s="158">
        <f t="shared" si="50"/>
        <v>32</v>
      </c>
      <c r="AC208" s="158">
        <f t="shared" si="50"/>
        <v>32</v>
      </c>
      <c r="AD208" s="158">
        <f t="shared" si="50"/>
        <v>31</v>
      </c>
      <c r="AE208" s="157">
        <f t="shared" si="51"/>
        <v>328.0074487895717</v>
      </c>
    </row>
    <row r="209" spans="1:32" outlineLevel="2">
      <c r="A209" s="135" t="str">
        <f t="shared" si="47"/>
        <v>MurreysMULTI-FAMILYMRENT6YDRECY</v>
      </c>
      <c r="B209" s="116" t="s">
        <v>575</v>
      </c>
      <c r="C209" s="116" t="s">
        <v>576</v>
      </c>
      <c r="D209" s="155">
        <v>18.45</v>
      </c>
      <c r="E209" s="155">
        <v>15.86</v>
      </c>
      <c r="F209" s="156">
        <v>516.6</v>
      </c>
      <c r="G209" s="156">
        <v>516.6</v>
      </c>
      <c r="H209" s="156">
        <v>516.6</v>
      </c>
      <c r="I209" s="156">
        <v>516.6</v>
      </c>
      <c r="J209" s="156">
        <v>516.6</v>
      </c>
      <c r="K209" s="156">
        <v>444.08000000000004</v>
      </c>
      <c r="L209" s="156">
        <v>444.08000000000004</v>
      </c>
      <c r="M209" s="156">
        <v>444.08000000000004</v>
      </c>
      <c r="N209" s="156">
        <v>444.08000000000004</v>
      </c>
      <c r="O209" s="156">
        <v>444.08000000000004</v>
      </c>
      <c r="P209" s="156">
        <v>444.08000000000004</v>
      </c>
      <c r="Q209" s="156">
        <v>444.08000000000004</v>
      </c>
      <c r="R209" s="157">
        <f t="shared" si="48"/>
        <v>5691.5599999999995</v>
      </c>
      <c r="S209" s="158">
        <f t="shared" si="49"/>
        <v>28.000000000000004</v>
      </c>
      <c r="T209" s="158">
        <f t="shared" si="49"/>
        <v>28.000000000000004</v>
      </c>
      <c r="U209" s="158">
        <f t="shared" si="49"/>
        <v>28.000000000000004</v>
      </c>
      <c r="V209" s="158">
        <f t="shared" si="49"/>
        <v>28.000000000000004</v>
      </c>
      <c r="W209" s="158">
        <f t="shared" si="49"/>
        <v>28.000000000000004</v>
      </c>
      <c r="X209" s="158">
        <f t="shared" si="50"/>
        <v>28.000000000000004</v>
      </c>
      <c r="Y209" s="158">
        <f t="shared" si="50"/>
        <v>28.000000000000004</v>
      </c>
      <c r="Z209" s="158">
        <f t="shared" si="50"/>
        <v>28.000000000000004</v>
      </c>
      <c r="AA209" s="158">
        <f t="shared" si="50"/>
        <v>28.000000000000004</v>
      </c>
      <c r="AB209" s="158">
        <f t="shared" si="50"/>
        <v>28.000000000000004</v>
      </c>
      <c r="AC209" s="158">
        <f t="shared" si="50"/>
        <v>28.000000000000004</v>
      </c>
      <c r="AD209" s="158">
        <f t="shared" si="50"/>
        <v>28.000000000000004</v>
      </c>
      <c r="AE209" s="157">
        <f t="shared" si="51"/>
        <v>336.00000000000006</v>
      </c>
    </row>
    <row r="210" spans="1:32" outlineLevel="2">
      <c r="A210" s="135" t="str">
        <f t="shared" si="47"/>
        <v>MurreysMULTI-FAMILYMSRTOT</v>
      </c>
      <c r="B210" s="116" t="s">
        <v>577</v>
      </c>
      <c r="C210" s="116" t="s">
        <v>578</v>
      </c>
      <c r="D210" s="155">
        <v>6.32</v>
      </c>
      <c r="E210" s="155">
        <v>6.22</v>
      </c>
      <c r="F210" s="156">
        <v>684.35</v>
      </c>
      <c r="G210" s="156">
        <v>684.35</v>
      </c>
      <c r="H210" s="156">
        <v>684.35</v>
      </c>
      <c r="I210" s="156">
        <v>684.35</v>
      </c>
      <c r="J210" s="156">
        <v>684.35</v>
      </c>
      <c r="K210" s="156">
        <v>684.35</v>
      </c>
      <c r="L210" s="156">
        <v>540.73</v>
      </c>
      <c r="M210" s="156">
        <v>540.73</v>
      </c>
      <c r="N210" s="156">
        <v>540.73</v>
      </c>
      <c r="O210" s="156">
        <v>540.73</v>
      </c>
      <c r="P210" s="156">
        <v>540.73</v>
      </c>
      <c r="Q210" s="156">
        <v>540.73</v>
      </c>
      <c r="R210" s="157">
        <f t="shared" si="48"/>
        <v>7350.4799999999977</v>
      </c>
      <c r="S210" s="158">
        <f>+IFERROR(F210/$D210,0)</f>
        <v>108.28322784810126</v>
      </c>
      <c r="T210" s="158">
        <f>+IFERROR(G210/$D210,0)</f>
        <v>108.28322784810126</v>
      </c>
      <c r="U210" s="158">
        <f>+IFERROR(H210/$D210,0)</f>
        <v>108.28322784810126</v>
      </c>
      <c r="V210" s="158">
        <f>+IFERROR(I210/$D210,0)</f>
        <v>108.28322784810126</v>
      </c>
      <c r="W210" s="158">
        <f>+IFERROR(J210/$D210,0)</f>
        <v>108.28322784810126</v>
      </c>
      <c r="X210" s="158">
        <f t="shared" si="50"/>
        <v>110.02411575562702</v>
      </c>
      <c r="Y210" s="158">
        <f t="shared" si="50"/>
        <v>86.934083601286176</v>
      </c>
      <c r="Z210" s="158">
        <f t="shared" si="50"/>
        <v>86.934083601286176</v>
      </c>
      <c r="AA210" s="158">
        <f t="shared" si="50"/>
        <v>86.934083601286176</v>
      </c>
      <c r="AB210" s="158">
        <f t="shared" si="50"/>
        <v>86.934083601286176</v>
      </c>
      <c r="AC210" s="158">
        <f t="shared" si="50"/>
        <v>86.934083601286176</v>
      </c>
      <c r="AD210" s="158">
        <f t="shared" si="50"/>
        <v>86.934083601286176</v>
      </c>
      <c r="AE210" s="157">
        <f>+SUM(S210:AD210)/$AB$3</f>
        <v>1173.0447566038501</v>
      </c>
    </row>
    <row r="211" spans="1:32" outlineLevel="2">
      <c r="B211" s="116"/>
      <c r="C211" s="159"/>
      <c r="D211" s="155"/>
      <c r="E211" s="155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7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7"/>
    </row>
    <row r="212" spans="1:32" outlineLevel="1">
      <c r="B212" s="116"/>
      <c r="C212" s="159" t="s">
        <v>579</v>
      </c>
      <c r="D212" s="155"/>
      <c r="E212" s="155"/>
      <c r="F212" s="162">
        <f t="shared" ref="F212:Q212" si="52">SUM(F202:F211)</f>
        <v>24347.809999999998</v>
      </c>
      <c r="G212" s="162">
        <f t="shared" si="52"/>
        <v>24634.489999999998</v>
      </c>
      <c r="H212" s="162">
        <f t="shared" si="52"/>
        <v>24637.939999999995</v>
      </c>
      <c r="I212" s="162">
        <f t="shared" si="52"/>
        <v>25557.179999999997</v>
      </c>
      <c r="J212" s="162">
        <f t="shared" si="52"/>
        <v>25804.159999999996</v>
      </c>
      <c r="K212" s="162">
        <f t="shared" si="52"/>
        <v>24716.260000000002</v>
      </c>
      <c r="L212" s="162">
        <f t="shared" si="52"/>
        <v>22571.420000000006</v>
      </c>
      <c r="M212" s="162">
        <f t="shared" si="52"/>
        <v>22875.9</v>
      </c>
      <c r="N212" s="162">
        <f t="shared" si="52"/>
        <v>22909.85</v>
      </c>
      <c r="O212" s="162">
        <f t="shared" si="52"/>
        <v>23025.530000000002</v>
      </c>
      <c r="P212" s="162">
        <f t="shared" si="52"/>
        <v>23049.429999999997</v>
      </c>
      <c r="Q212" s="162">
        <f t="shared" si="52"/>
        <v>23012.809999999998</v>
      </c>
      <c r="R212" s="163">
        <f>SUM(F212:Q212)</f>
        <v>287142.78000000003</v>
      </c>
      <c r="S212" s="162">
        <f>SUM(S202:S204,S206:S207,S210)</f>
        <v>2069.0903523459338</v>
      </c>
      <c r="T212" s="162">
        <f t="shared" ref="T212:AE212" si="53">SUM(T202:T204,T206:T207,T210)</f>
        <v>2099.0031216672833</v>
      </c>
      <c r="U212" s="162">
        <f t="shared" si="53"/>
        <v>2099.5031216672833</v>
      </c>
      <c r="V212" s="162">
        <f t="shared" si="53"/>
        <v>2167.4409877227968</v>
      </c>
      <c r="W212" s="162">
        <f t="shared" si="53"/>
        <v>2191.2834883594146</v>
      </c>
      <c r="X212" s="162">
        <f t="shared" si="53"/>
        <v>2331.5447117772114</v>
      </c>
      <c r="Y212" s="162">
        <f t="shared" si="53"/>
        <v>2215.9400248224902</v>
      </c>
      <c r="Z212" s="162">
        <f t="shared" si="53"/>
        <v>2243.5829897157219</v>
      </c>
      <c r="AA212" s="162">
        <f t="shared" si="53"/>
        <v>2249.5846183802173</v>
      </c>
      <c r="AB212" s="162">
        <f t="shared" si="53"/>
        <v>2265.5829897157223</v>
      </c>
      <c r="AC212" s="162">
        <f t="shared" si="53"/>
        <v>2269.5829897157219</v>
      </c>
      <c r="AD212" s="162">
        <f t="shared" si="53"/>
        <v>2265.5829897157223</v>
      </c>
      <c r="AE212" s="163">
        <f t="shared" si="53"/>
        <v>26467.722385605513</v>
      </c>
    </row>
    <row r="213" spans="1:32" outlineLevel="1">
      <c r="B213" s="116"/>
      <c r="C213" s="159"/>
      <c r="D213" s="155"/>
      <c r="E213" s="155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7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7"/>
    </row>
    <row r="214" spans="1:32" outlineLevel="1">
      <c r="D214" s="155"/>
      <c r="E214" s="155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7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7"/>
    </row>
    <row r="215" spans="1:32" s="172" customFormat="1">
      <c r="B215" s="136" t="s">
        <v>580</v>
      </c>
      <c r="C215" s="136"/>
      <c r="D215" s="155"/>
      <c r="E215" s="155"/>
      <c r="F215" s="167">
        <f t="shared" ref="F215:Q215" si="54">+F158+F159+F199+F212</f>
        <v>458905.12999999995</v>
      </c>
      <c r="G215" s="167">
        <f t="shared" si="54"/>
        <v>450346.22000000003</v>
      </c>
      <c r="H215" s="167">
        <f t="shared" si="54"/>
        <v>456549.27000000008</v>
      </c>
      <c r="I215" s="167">
        <f t="shared" si="54"/>
        <v>454544.10999999993</v>
      </c>
      <c r="J215" s="167">
        <f t="shared" si="54"/>
        <v>451243.0799999999</v>
      </c>
      <c r="K215" s="167">
        <f t="shared" si="54"/>
        <v>468850.66000000003</v>
      </c>
      <c r="L215" s="167">
        <f t="shared" si="54"/>
        <v>458287.34999999992</v>
      </c>
      <c r="M215" s="167">
        <f t="shared" si="54"/>
        <v>470626.6100000001</v>
      </c>
      <c r="N215" s="167">
        <f t="shared" si="54"/>
        <v>472042.51</v>
      </c>
      <c r="O215" s="167">
        <f t="shared" si="54"/>
        <v>468022.15999999992</v>
      </c>
      <c r="P215" s="167">
        <f t="shared" si="54"/>
        <v>478888.35999999993</v>
      </c>
      <c r="Q215" s="167">
        <f t="shared" si="54"/>
        <v>474158.26</v>
      </c>
      <c r="R215" s="168">
        <f>SUM(F215:Q215)</f>
        <v>5562463.7200000007</v>
      </c>
      <c r="S215" s="167">
        <f t="shared" ref="S215:AE215" si="55">+S158+S159+S199+S212</f>
        <v>8063.1357459250567</v>
      </c>
      <c r="T215" s="167">
        <f t="shared" si="55"/>
        <v>8043.8521588309941</v>
      </c>
      <c r="U215" s="167">
        <f t="shared" si="55"/>
        <v>8343.5784001473894</v>
      </c>
      <c r="V215" s="167">
        <f t="shared" si="55"/>
        <v>8367.4085539045445</v>
      </c>
      <c r="W215" s="167">
        <f t="shared" si="55"/>
        <v>8045.2169014448773</v>
      </c>
      <c r="X215" s="167">
        <f t="shared" si="55"/>
        <v>8632.0670019270274</v>
      </c>
      <c r="Y215" s="167">
        <f t="shared" si="55"/>
        <v>7777.5955929637694</v>
      </c>
      <c r="Z215" s="167">
        <f t="shared" si="55"/>
        <v>8514.8347217209557</v>
      </c>
      <c r="AA215" s="167">
        <f t="shared" si="55"/>
        <v>8612.7776269236965</v>
      </c>
      <c r="AB215" s="167">
        <f t="shared" si="55"/>
        <v>8356.5013005991805</v>
      </c>
      <c r="AC215" s="167">
        <f t="shared" si="55"/>
        <v>8922.3699807732228</v>
      </c>
      <c r="AD215" s="167">
        <f t="shared" si="55"/>
        <v>8109.5500231994702</v>
      </c>
      <c r="AE215" s="168">
        <f t="shared" si="55"/>
        <v>99788.888008360169</v>
      </c>
    </row>
    <row r="216" spans="1:32" s="172" customFormat="1">
      <c r="B216" s="136"/>
      <c r="C216" s="136"/>
      <c r="D216" s="155"/>
      <c r="E216" s="155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7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68"/>
    </row>
    <row r="217" spans="1:32">
      <c r="D217" s="155"/>
      <c r="E217" s="155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7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7"/>
    </row>
    <row r="218" spans="1:32" outlineLevel="1">
      <c r="B218" s="150" t="s">
        <v>581</v>
      </c>
      <c r="C218" s="151"/>
      <c r="D218" s="155"/>
      <c r="E218" s="155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7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7"/>
    </row>
    <row r="219" spans="1:32" outlineLevel="1">
      <c r="B219" s="151"/>
      <c r="C219" s="151"/>
      <c r="D219" s="155"/>
      <c r="E219" s="155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7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7"/>
    </row>
    <row r="220" spans="1:32" outlineLevel="2">
      <c r="A220" s="135" t="s">
        <v>582</v>
      </c>
      <c r="B220" s="164" t="s">
        <v>583</v>
      </c>
      <c r="C220" s="116"/>
      <c r="D220" s="155"/>
      <c r="E220" s="155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7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7"/>
    </row>
    <row r="221" spans="1:32" outlineLevel="2">
      <c r="A221" s="135" t="str">
        <f t="shared" ref="A221:A252" si="56">+$A$5&amp;$A$220&amp;B221</f>
        <v>MurreysROLLOFFROHAUL20</v>
      </c>
      <c r="B221" s="116" t="s">
        <v>584</v>
      </c>
      <c r="C221" s="116" t="s">
        <v>585</v>
      </c>
      <c r="D221" s="155">
        <v>87.56</v>
      </c>
      <c r="E221" s="155">
        <v>87.56</v>
      </c>
      <c r="F221" s="156">
        <v>8756</v>
      </c>
      <c r="G221" s="156">
        <v>8580.880000000001</v>
      </c>
      <c r="H221" s="156">
        <v>7617.7199999999993</v>
      </c>
      <c r="I221" s="156">
        <v>9544.0400000000009</v>
      </c>
      <c r="J221" s="156">
        <v>7267.48</v>
      </c>
      <c r="K221" s="156">
        <v>8931.119999999999</v>
      </c>
      <c r="L221" s="156">
        <v>7705.28</v>
      </c>
      <c r="M221" s="156">
        <v>8668.44</v>
      </c>
      <c r="N221" s="156">
        <v>8230.64</v>
      </c>
      <c r="O221" s="156">
        <v>8791.02</v>
      </c>
      <c r="P221" s="156">
        <v>10244.52</v>
      </c>
      <c r="Q221" s="156">
        <v>9018.68</v>
      </c>
      <c r="R221" s="157">
        <f t="shared" ref="R221:R284" si="57">SUM(F221:Q221)</f>
        <v>103355.82</v>
      </c>
      <c r="S221" s="158">
        <f t="shared" ref="S221:W236" si="58">+IFERROR(F221/$D221,0)</f>
        <v>100</v>
      </c>
      <c r="T221" s="158">
        <f t="shared" si="58"/>
        <v>98.000000000000014</v>
      </c>
      <c r="U221" s="158">
        <f t="shared" si="58"/>
        <v>86.999999999999986</v>
      </c>
      <c r="V221" s="158">
        <f t="shared" si="58"/>
        <v>109.00000000000001</v>
      </c>
      <c r="W221" s="158">
        <f t="shared" si="58"/>
        <v>82.999999999999986</v>
      </c>
      <c r="X221" s="158">
        <f t="shared" ref="X221:AD236" si="59">+IFERROR(K221/$E221,0)</f>
        <v>101.99999999999999</v>
      </c>
      <c r="Y221" s="158">
        <f t="shared" si="59"/>
        <v>88</v>
      </c>
      <c r="Z221" s="158">
        <f t="shared" si="59"/>
        <v>99</v>
      </c>
      <c r="AA221" s="158">
        <f t="shared" si="59"/>
        <v>93.999999999999986</v>
      </c>
      <c r="AB221" s="158">
        <f t="shared" si="59"/>
        <v>100.39995431703974</v>
      </c>
      <c r="AC221" s="158">
        <f t="shared" si="59"/>
        <v>117</v>
      </c>
      <c r="AD221" s="158">
        <f t="shared" si="59"/>
        <v>103</v>
      </c>
      <c r="AE221" s="157">
        <f t="shared" ref="AE221:AE284" si="60">+SUM(S221:AD221)/$AB$3</f>
        <v>1180.3999543170398</v>
      </c>
      <c r="AF221" s="135">
        <f>AE221/12</f>
        <v>98.366662859753319</v>
      </c>
    </row>
    <row r="222" spans="1:32" outlineLevel="2">
      <c r="A222" s="135" t="str">
        <f t="shared" si="56"/>
        <v>MurreysROLLOFFROHAUL20A</v>
      </c>
      <c r="B222" s="116" t="s">
        <v>586</v>
      </c>
      <c r="C222" s="116" t="s">
        <v>587</v>
      </c>
      <c r="D222" s="155">
        <v>87.56</v>
      </c>
      <c r="E222" s="155">
        <v>87.56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0</v>
      </c>
      <c r="O222" s="156">
        <v>0</v>
      </c>
      <c r="P222" s="156">
        <v>0</v>
      </c>
      <c r="Q222" s="156">
        <v>0</v>
      </c>
      <c r="R222" s="157">
        <f t="shared" si="57"/>
        <v>0</v>
      </c>
      <c r="S222" s="158">
        <f t="shared" si="58"/>
        <v>0</v>
      </c>
      <c r="T222" s="158">
        <f t="shared" si="58"/>
        <v>0</v>
      </c>
      <c r="U222" s="158">
        <f t="shared" si="58"/>
        <v>0</v>
      </c>
      <c r="V222" s="158">
        <f t="shared" si="58"/>
        <v>0</v>
      </c>
      <c r="W222" s="158">
        <f t="shared" si="58"/>
        <v>0</v>
      </c>
      <c r="X222" s="158">
        <f t="shared" si="59"/>
        <v>0</v>
      </c>
      <c r="Y222" s="158">
        <f t="shared" si="59"/>
        <v>0</v>
      </c>
      <c r="Z222" s="158">
        <f t="shared" si="59"/>
        <v>0</v>
      </c>
      <c r="AA222" s="158">
        <f t="shared" si="59"/>
        <v>0</v>
      </c>
      <c r="AB222" s="158">
        <f t="shared" si="59"/>
        <v>0</v>
      </c>
      <c r="AC222" s="158">
        <f t="shared" si="59"/>
        <v>0</v>
      </c>
      <c r="AD222" s="158">
        <f t="shared" si="59"/>
        <v>0</v>
      </c>
      <c r="AE222" s="157">
        <f t="shared" si="60"/>
        <v>0</v>
      </c>
      <c r="AF222" s="135">
        <f t="shared" ref="AF222:AF240" si="61">AE222/12</f>
        <v>0</v>
      </c>
    </row>
    <row r="223" spans="1:32" outlineLevel="2">
      <c r="A223" s="135" t="str">
        <f t="shared" si="56"/>
        <v>MurreysROLLOFFROHAUL20CO</v>
      </c>
      <c r="B223" s="116" t="s">
        <v>588</v>
      </c>
      <c r="C223" s="116" t="s">
        <v>589</v>
      </c>
      <c r="D223" s="155">
        <v>87.56</v>
      </c>
      <c r="E223" s="155">
        <v>87.56</v>
      </c>
      <c r="F223" s="156">
        <v>262.68</v>
      </c>
      <c r="G223" s="156">
        <v>87.56</v>
      </c>
      <c r="H223" s="156">
        <v>175.12</v>
      </c>
      <c r="I223" s="156">
        <v>262.68</v>
      </c>
      <c r="J223" s="156">
        <v>175.12</v>
      </c>
      <c r="K223" s="156">
        <v>262.68</v>
      </c>
      <c r="L223" s="156">
        <v>175.12</v>
      </c>
      <c r="M223" s="156">
        <v>175.12</v>
      </c>
      <c r="N223" s="156">
        <v>175.12</v>
      </c>
      <c r="O223" s="156">
        <v>175.12</v>
      </c>
      <c r="P223" s="156">
        <v>175.12</v>
      </c>
      <c r="Q223" s="156">
        <v>87.56</v>
      </c>
      <c r="R223" s="157">
        <f t="shared" si="57"/>
        <v>2188.9999999999995</v>
      </c>
      <c r="S223" s="158">
        <f t="shared" si="58"/>
        <v>3</v>
      </c>
      <c r="T223" s="158">
        <f t="shared" si="58"/>
        <v>1</v>
      </c>
      <c r="U223" s="158">
        <f t="shared" si="58"/>
        <v>2</v>
      </c>
      <c r="V223" s="158">
        <f t="shared" si="58"/>
        <v>3</v>
      </c>
      <c r="W223" s="158">
        <f t="shared" si="58"/>
        <v>2</v>
      </c>
      <c r="X223" s="158">
        <f t="shared" si="59"/>
        <v>3</v>
      </c>
      <c r="Y223" s="158">
        <f t="shared" si="59"/>
        <v>2</v>
      </c>
      <c r="Z223" s="158">
        <f t="shared" si="59"/>
        <v>2</v>
      </c>
      <c r="AA223" s="158">
        <f t="shared" si="59"/>
        <v>2</v>
      </c>
      <c r="AB223" s="158">
        <f t="shared" si="59"/>
        <v>2</v>
      </c>
      <c r="AC223" s="158">
        <f t="shared" si="59"/>
        <v>2</v>
      </c>
      <c r="AD223" s="158">
        <f t="shared" si="59"/>
        <v>1</v>
      </c>
      <c r="AE223" s="157">
        <f t="shared" si="60"/>
        <v>25</v>
      </c>
      <c r="AF223" s="135">
        <f t="shared" si="61"/>
        <v>2.0833333333333335</v>
      </c>
    </row>
    <row r="224" spans="1:32" outlineLevel="2">
      <c r="A224" s="135" t="str">
        <f t="shared" si="56"/>
        <v>MurreysROLLOFFROHAUL20T</v>
      </c>
      <c r="B224" s="116" t="s">
        <v>590</v>
      </c>
      <c r="C224" s="116" t="s">
        <v>591</v>
      </c>
      <c r="D224" s="155">
        <v>104.5</v>
      </c>
      <c r="E224" s="155">
        <v>104.5</v>
      </c>
      <c r="F224" s="156">
        <v>6061</v>
      </c>
      <c r="G224" s="156">
        <v>2299</v>
      </c>
      <c r="H224" s="156">
        <v>1985.5</v>
      </c>
      <c r="I224" s="156">
        <v>1881</v>
      </c>
      <c r="J224" s="156">
        <v>1567.5</v>
      </c>
      <c r="K224" s="156">
        <v>2299</v>
      </c>
      <c r="L224" s="156">
        <v>2612.5</v>
      </c>
      <c r="M224" s="156">
        <v>5016</v>
      </c>
      <c r="N224" s="156">
        <v>2717</v>
      </c>
      <c r="O224" s="156">
        <v>2403.5</v>
      </c>
      <c r="P224" s="156">
        <v>2926</v>
      </c>
      <c r="Q224" s="156">
        <v>1985.5</v>
      </c>
      <c r="R224" s="157">
        <f t="shared" si="57"/>
        <v>33753.5</v>
      </c>
      <c r="S224" s="158">
        <f t="shared" si="58"/>
        <v>58</v>
      </c>
      <c r="T224" s="158">
        <f t="shared" si="58"/>
        <v>22</v>
      </c>
      <c r="U224" s="158">
        <f t="shared" si="58"/>
        <v>19</v>
      </c>
      <c r="V224" s="158">
        <f t="shared" si="58"/>
        <v>18</v>
      </c>
      <c r="W224" s="158">
        <f t="shared" si="58"/>
        <v>15</v>
      </c>
      <c r="X224" s="158">
        <f t="shared" si="59"/>
        <v>22</v>
      </c>
      <c r="Y224" s="158">
        <f t="shared" si="59"/>
        <v>25</v>
      </c>
      <c r="Z224" s="158">
        <f t="shared" si="59"/>
        <v>48</v>
      </c>
      <c r="AA224" s="158">
        <f t="shared" si="59"/>
        <v>26</v>
      </c>
      <c r="AB224" s="158">
        <f t="shared" si="59"/>
        <v>23</v>
      </c>
      <c r="AC224" s="158">
        <f t="shared" si="59"/>
        <v>28</v>
      </c>
      <c r="AD224" s="158">
        <f t="shared" si="59"/>
        <v>19</v>
      </c>
      <c r="AE224" s="157">
        <f t="shared" si="60"/>
        <v>323</v>
      </c>
      <c r="AF224" s="135">
        <f t="shared" si="61"/>
        <v>26.916666666666668</v>
      </c>
    </row>
    <row r="225" spans="1:32" outlineLevel="2">
      <c r="A225" s="135" t="str">
        <f t="shared" si="56"/>
        <v>MurreysROLLOFFROHAUL25</v>
      </c>
      <c r="B225" s="116" t="s">
        <v>592</v>
      </c>
      <c r="C225" s="116" t="s">
        <v>593</v>
      </c>
      <c r="D225" s="155">
        <v>95.98</v>
      </c>
      <c r="E225" s="155">
        <v>95.98</v>
      </c>
      <c r="F225" s="156">
        <v>7102.52</v>
      </c>
      <c r="G225" s="156">
        <v>7390.4599999999991</v>
      </c>
      <c r="H225" s="156">
        <v>6910.5599999999995</v>
      </c>
      <c r="I225" s="156">
        <v>7486.4400000000005</v>
      </c>
      <c r="J225" s="156">
        <v>7006.5400000000009</v>
      </c>
      <c r="K225" s="156">
        <v>7870.36</v>
      </c>
      <c r="L225" s="156">
        <v>8254.2800000000007</v>
      </c>
      <c r="M225" s="156">
        <v>8350.26</v>
      </c>
      <c r="N225" s="156">
        <v>8830.16</v>
      </c>
      <c r="O225" s="156">
        <v>8734.18</v>
      </c>
      <c r="P225" s="156">
        <v>7966.34</v>
      </c>
      <c r="Q225" s="156">
        <v>7294.4800000000005</v>
      </c>
      <c r="R225" s="157">
        <f t="shared" si="57"/>
        <v>93196.58</v>
      </c>
      <c r="S225" s="158">
        <f t="shared" si="58"/>
        <v>74</v>
      </c>
      <c r="T225" s="158">
        <f t="shared" si="58"/>
        <v>76.999999999999986</v>
      </c>
      <c r="U225" s="158">
        <f t="shared" si="58"/>
        <v>71.999999999999986</v>
      </c>
      <c r="V225" s="158">
        <f t="shared" si="58"/>
        <v>78</v>
      </c>
      <c r="W225" s="158">
        <f t="shared" si="58"/>
        <v>73</v>
      </c>
      <c r="X225" s="158">
        <f t="shared" si="59"/>
        <v>82</v>
      </c>
      <c r="Y225" s="158">
        <f t="shared" si="59"/>
        <v>86</v>
      </c>
      <c r="Z225" s="158">
        <f t="shared" si="59"/>
        <v>87</v>
      </c>
      <c r="AA225" s="158">
        <f t="shared" si="59"/>
        <v>92</v>
      </c>
      <c r="AB225" s="158">
        <f t="shared" si="59"/>
        <v>91</v>
      </c>
      <c r="AC225" s="158">
        <f t="shared" si="59"/>
        <v>83</v>
      </c>
      <c r="AD225" s="158">
        <f t="shared" si="59"/>
        <v>76</v>
      </c>
      <c r="AE225" s="157">
        <f t="shared" si="60"/>
        <v>971</v>
      </c>
      <c r="AF225" s="135">
        <f t="shared" si="61"/>
        <v>80.916666666666671</v>
      </c>
    </row>
    <row r="226" spans="1:32" outlineLevel="2">
      <c r="A226" s="135" t="str">
        <f t="shared" si="56"/>
        <v>MurreysROLLOFFROHAUL25A</v>
      </c>
      <c r="B226" s="116" t="s">
        <v>594</v>
      </c>
      <c r="C226" s="116" t="s">
        <v>595</v>
      </c>
      <c r="D226" s="155">
        <v>95.98</v>
      </c>
      <c r="E226" s="155">
        <v>95.98</v>
      </c>
      <c r="F226" s="156">
        <v>0</v>
      </c>
      <c r="G226" s="156">
        <v>0</v>
      </c>
      <c r="H226" s="156">
        <v>0</v>
      </c>
      <c r="I226" s="156">
        <v>0</v>
      </c>
      <c r="J226" s="156">
        <v>0</v>
      </c>
      <c r="K226" s="156">
        <v>0</v>
      </c>
      <c r="L226" s="156">
        <v>0</v>
      </c>
      <c r="M226" s="156">
        <v>0</v>
      </c>
      <c r="N226" s="156">
        <v>0</v>
      </c>
      <c r="O226" s="156">
        <v>0</v>
      </c>
      <c r="P226" s="156">
        <v>0</v>
      </c>
      <c r="Q226" s="156">
        <v>0</v>
      </c>
      <c r="R226" s="157">
        <f t="shared" si="57"/>
        <v>0</v>
      </c>
      <c r="S226" s="158">
        <f t="shared" si="58"/>
        <v>0</v>
      </c>
      <c r="T226" s="158">
        <f t="shared" si="58"/>
        <v>0</v>
      </c>
      <c r="U226" s="158">
        <f t="shared" si="58"/>
        <v>0</v>
      </c>
      <c r="V226" s="158">
        <f t="shared" si="58"/>
        <v>0</v>
      </c>
      <c r="W226" s="158">
        <f t="shared" si="58"/>
        <v>0</v>
      </c>
      <c r="X226" s="158">
        <f t="shared" si="59"/>
        <v>0</v>
      </c>
      <c r="Y226" s="158">
        <f t="shared" si="59"/>
        <v>0</v>
      </c>
      <c r="Z226" s="158">
        <f t="shared" si="59"/>
        <v>0</v>
      </c>
      <c r="AA226" s="158">
        <f t="shared" si="59"/>
        <v>0</v>
      </c>
      <c r="AB226" s="158">
        <f t="shared" si="59"/>
        <v>0</v>
      </c>
      <c r="AC226" s="158">
        <f t="shared" si="59"/>
        <v>0</v>
      </c>
      <c r="AD226" s="158">
        <f t="shared" si="59"/>
        <v>0</v>
      </c>
      <c r="AE226" s="157">
        <f t="shared" si="60"/>
        <v>0</v>
      </c>
      <c r="AF226" s="135">
        <f t="shared" si="61"/>
        <v>0</v>
      </c>
    </row>
    <row r="227" spans="1:32" outlineLevel="2">
      <c r="A227" s="135" t="str">
        <f t="shared" si="56"/>
        <v>MurreysROLLOFFROHAUL25T</v>
      </c>
      <c r="B227" s="116" t="s">
        <v>596</v>
      </c>
      <c r="C227" s="116" t="s">
        <v>597</v>
      </c>
      <c r="D227" s="155">
        <v>111.56</v>
      </c>
      <c r="E227" s="155">
        <v>111.56</v>
      </c>
      <c r="F227" s="156">
        <v>1450.28</v>
      </c>
      <c r="G227" s="156">
        <v>1450.28</v>
      </c>
      <c r="H227" s="156">
        <v>334.68</v>
      </c>
      <c r="I227" s="156">
        <v>780.92000000000007</v>
      </c>
      <c r="J227" s="156">
        <v>446.24</v>
      </c>
      <c r="K227" s="156">
        <v>1673.4</v>
      </c>
      <c r="L227" s="156">
        <v>1673.4</v>
      </c>
      <c r="M227" s="156">
        <v>2454.3199999999997</v>
      </c>
      <c r="N227" s="156">
        <v>1673.4</v>
      </c>
      <c r="O227" s="156">
        <v>1115.5999999999999</v>
      </c>
      <c r="P227" s="156">
        <v>1040.03</v>
      </c>
      <c r="Q227" s="156">
        <v>1338.72</v>
      </c>
      <c r="R227" s="157">
        <f t="shared" si="57"/>
        <v>15431.269999999999</v>
      </c>
      <c r="S227" s="158">
        <f t="shared" si="58"/>
        <v>13</v>
      </c>
      <c r="T227" s="158">
        <f t="shared" si="58"/>
        <v>13</v>
      </c>
      <c r="U227" s="158">
        <f t="shared" si="58"/>
        <v>3</v>
      </c>
      <c r="V227" s="158">
        <f t="shared" si="58"/>
        <v>7.0000000000000009</v>
      </c>
      <c r="W227" s="158">
        <f t="shared" si="58"/>
        <v>4</v>
      </c>
      <c r="X227" s="158">
        <f t="shared" si="59"/>
        <v>15</v>
      </c>
      <c r="Y227" s="158">
        <f t="shared" si="59"/>
        <v>15</v>
      </c>
      <c r="Z227" s="158">
        <f t="shared" si="59"/>
        <v>21.999999999999996</v>
      </c>
      <c r="AA227" s="158">
        <f t="shared" si="59"/>
        <v>15</v>
      </c>
      <c r="AB227" s="158">
        <f t="shared" si="59"/>
        <v>9.9999999999999982</v>
      </c>
      <c r="AC227" s="158">
        <f t="shared" si="59"/>
        <v>9.3226066690570093</v>
      </c>
      <c r="AD227" s="158">
        <f t="shared" si="59"/>
        <v>12</v>
      </c>
      <c r="AE227" s="157">
        <f t="shared" si="60"/>
        <v>138.322606669057</v>
      </c>
      <c r="AF227" s="135">
        <f t="shared" si="61"/>
        <v>11.526883889088083</v>
      </c>
    </row>
    <row r="228" spans="1:32" outlineLevel="2">
      <c r="A228" s="135" t="str">
        <f t="shared" si="56"/>
        <v>MurreysROLLOFFROHAUL30</v>
      </c>
      <c r="B228" s="116" t="s">
        <v>598</v>
      </c>
      <c r="C228" s="116" t="s">
        <v>599</v>
      </c>
      <c r="D228" s="155">
        <v>103.19</v>
      </c>
      <c r="E228" s="155">
        <v>103.19</v>
      </c>
      <c r="F228" s="156">
        <v>26726.210000000003</v>
      </c>
      <c r="G228" s="156">
        <v>23217.750000000004</v>
      </c>
      <c r="H228" s="156">
        <v>24146.46</v>
      </c>
      <c r="I228" s="156">
        <v>24662.410000000003</v>
      </c>
      <c r="J228" s="156">
        <v>23733.7</v>
      </c>
      <c r="K228" s="156">
        <v>28170.870000000003</v>
      </c>
      <c r="L228" s="156">
        <v>27854.09</v>
      </c>
      <c r="M228" s="156">
        <v>30544.239999999998</v>
      </c>
      <c r="N228" s="156">
        <v>27138.97</v>
      </c>
      <c r="O228" s="156">
        <v>29718.720000000001</v>
      </c>
      <c r="P228" s="156">
        <v>34155.89</v>
      </c>
      <c r="Q228" s="156">
        <v>28480.440000000002</v>
      </c>
      <c r="R228" s="157">
        <f t="shared" si="57"/>
        <v>328549.75000000006</v>
      </c>
      <c r="S228" s="158">
        <f t="shared" si="58"/>
        <v>259.00000000000006</v>
      </c>
      <c r="T228" s="158">
        <f t="shared" si="58"/>
        <v>225.00000000000003</v>
      </c>
      <c r="U228" s="158">
        <f t="shared" si="58"/>
        <v>234</v>
      </c>
      <c r="V228" s="158">
        <f t="shared" si="58"/>
        <v>239.00000000000003</v>
      </c>
      <c r="W228" s="158">
        <f t="shared" si="58"/>
        <v>230</v>
      </c>
      <c r="X228" s="158">
        <f t="shared" si="59"/>
        <v>273.00000000000006</v>
      </c>
      <c r="Y228" s="158">
        <f t="shared" si="59"/>
        <v>269.93012888845817</v>
      </c>
      <c r="Z228" s="158">
        <f t="shared" si="59"/>
        <v>296</v>
      </c>
      <c r="AA228" s="158">
        <f t="shared" si="59"/>
        <v>263</v>
      </c>
      <c r="AB228" s="158">
        <f t="shared" si="59"/>
        <v>288</v>
      </c>
      <c r="AC228" s="158">
        <f t="shared" si="59"/>
        <v>331</v>
      </c>
      <c r="AD228" s="158">
        <f t="shared" si="59"/>
        <v>276.00000000000006</v>
      </c>
      <c r="AE228" s="157">
        <f t="shared" si="60"/>
        <v>3183.9301288884581</v>
      </c>
      <c r="AF228" s="135">
        <f t="shared" si="61"/>
        <v>265.32751074070484</v>
      </c>
    </row>
    <row r="229" spans="1:32" outlineLevel="2">
      <c r="A229" s="135" t="str">
        <f t="shared" si="56"/>
        <v>MurreysROLLOFFROHAUL30A</v>
      </c>
      <c r="B229" s="116" t="s">
        <v>600</v>
      </c>
      <c r="C229" s="116" t="s">
        <v>601</v>
      </c>
      <c r="D229" s="155">
        <v>103.19</v>
      </c>
      <c r="E229" s="155">
        <v>103.19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56">
        <v>0</v>
      </c>
      <c r="Q229" s="156">
        <v>0</v>
      </c>
      <c r="R229" s="157">
        <f t="shared" si="57"/>
        <v>0</v>
      </c>
      <c r="S229" s="158">
        <f t="shared" si="58"/>
        <v>0</v>
      </c>
      <c r="T229" s="158">
        <f t="shared" si="58"/>
        <v>0</v>
      </c>
      <c r="U229" s="158">
        <f t="shared" si="58"/>
        <v>0</v>
      </c>
      <c r="V229" s="158">
        <f t="shared" si="58"/>
        <v>0</v>
      </c>
      <c r="W229" s="158">
        <f t="shared" si="58"/>
        <v>0</v>
      </c>
      <c r="X229" s="158">
        <f t="shared" si="59"/>
        <v>0</v>
      </c>
      <c r="Y229" s="158">
        <f t="shared" si="59"/>
        <v>0</v>
      </c>
      <c r="Z229" s="158">
        <f t="shared" si="59"/>
        <v>0</v>
      </c>
      <c r="AA229" s="158">
        <f t="shared" si="59"/>
        <v>0</v>
      </c>
      <c r="AB229" s="158">
        <f t="shared" si="59"/>
        <v>0</v>
      </c>
      <c r="AC229" s="158">
        <f t="shared" si="59"/>
        <v>0</v>
      </c>
      <c r="AD229" s="158">
        <f t="shared" si="59"/>
        <v>0</v>
      </c>
      <c r="AE229" s="157">
        <f t="shared" si="60"/>
        <v>0</v>
      </c>
      <c r="AF229" s="135">
        <f t="shared" si="61"/>
        <v>0</v>
      </c>
    </row>
    <row r="230" spans="1:32" outlineLevel="2">
      <c r="A230" s="135" t="str">
        <f t="shared" si="56"/>
        <v>MurreysROLLOFFROHAUL30T</v>
      </c>
      <c r="B230" s="116" t="s">
        <v>602</v>
      </c>
      <c r="C230" s="116" t="s">
        <v>603</v>
      </c>
      <c r="D230" s="155">
        <v>117.56</v>
      </c>
      <c r="E230" s="155">
        <v>117.56</v>
      </c>
      <c r="F230" s="156">
        <v>6465.8</v>
      </c>
      <c r="G230" s="156">
        <v>4819.96</v>
      </c>
      <c r="H230" s="156">
        <v>5407.76</v>
      </c>
      <c r="I230" s="156">
        <v>4204.2700000000004</v>
      </c>
      <c r="J230" s="156">
        <v>3879.48</v>
      </c>
      <c r="K230" s="156">
        <v>7053.5999999999995</v>
      </c>
      <c r="L230" s="156">
        <v>4349.72</v>
      </c>
      <c r="M230" s="156">
        <v>6348.24</v>
      </c>
      <c r="N230" s="156">
        <v>4584.84</v>
      </c>
      <c r="O230" s="156">
        <v>3761.92</v>
      </c>
      <c r="P230" s="156">
        <v>7406.28</v>
      </c>
      <c r="Q230" s="156">
        <v>6818.48</v>
      </c>
      <c r="R230" s="157">
        <f t="shared" si="57"/>
        <v>65100.349999999991</v>
      </c>
      <c r="S230" s="158">
        <f t="shared" si="58"/>
        <v>55</v>
      </c>
      <c r="T230" s="158">
        <f t="shared" si="58"/>
        <v>41</v>
      </c>
      <c r="U230" s="158">
        <f t="shared" si="58"/>
        <v>46</v>
      </c>
      <c r="V230" s="158">
        <f t="shared" si="58"/>
        <v>35.762759441987072</v>
      </c>
      <c r="W230" s="158">
        <f t="shared" si="58"/>
        <v>33</v>
      </c>
      <c r="X230" s="158">
        <f t="shared" si="59"/>
        <v>59.999999999999993</v>
      </c>
      <c r="Y230" s="158">
        <f t="shared" si="59"/>
        <v>37</v>
      </c>
      <c r="Z230" s="158">
        <f t="shared" si="59"/>
        <v>54</v>
      </c>
      <c r="AA230" s="158">
        <f t="shared" si="59"/>
        <v>39</v>
      </c>
      <c r="AB230" s="158">
        <f t="shared" si="59"/>
        <v>32</v>
      </c>
      <c r="AC230" s="158">
        <f t="shared" si="59"/>
        <v>63</v>
      </c>
      <c r="AD230" s="158">
        <f t="shared" si="59"/>
        <v>57.999999999999993</v>
      </c>
      <c r="AE230" s="157">
        <f t="shared" si="60"/>
        <v>553.76275944198699</v>
      </c>
      <c r="AF230" s="135">
        <f t="shared" si="61"/>
        <v>46.146896620165585</v>
      </c>
    </row>
    <row r="231" spans="1:32" outlineLevel="2">
      <c r="A231" s="135" t="str">
        <f t="shared" si="56"/>
        <v>MurreysROLLOFFROHAUL40</v>
      </c>
      <c r="B231" s="116" t="s">
        <v>604</v>
      </c>
      <c r="C231" s="116" t="s">
        <v>605</v>
      </c>
      <c r="D231" s="155">
        <v>124.76</v>
      </c>
      <c r="E231" s="155">
        <v>124.76</v>
      </c>
      <c r="F231" s="156">
        <v>4241.84</v>
      </c>
      <c r="G231" s="156">
        <v>4241.84</v>
      </c>
      <c r="H231" s="156">
        <v>4117.08</v>
      </c>
      <c r="I231" s="156">
        <v>4740.88</v>
      </c>
      <c r="J231" s="156">
        <v>4117.08</v>
      </c>
      <c r="K231" s="156">
        <v>4241.84</v>
      </c>
      <c r="L231" s="156">
        <v>3992.3199999999997</v>
      </c>
      <c r="M231" s="156">
        <v>4241.84</v>
      </c>
      <c r="N231" s="156">
        <v>4241.84</v>
      </c>
      <c r="O231" s="156">
        <v>3867.5600000000004</v>
      </c>
      <c r="P231" s="156">
        <v>4117.08</v>
      </c>
      <c r="Q231" s="156">
        <v>4117.08</v>
      </c>
      <c r="R231" s="157">
        <f t="shared" si="57"/>
        <v>50278.28</v>
      </c>
      <c r="S231" s="158">
        <f t="shared" si="58"/>
        <v>34</v>
      </c>
      <c r="T231" s="158">
        <f t="shared" si="58"/>
        <v>34</v>
      </c>
      <c r="U231" s="158">
        <f t="shared" si="58"/>
        <v>33</v>
      </c>
      <c r="V231" s="158">
        <f t="shared" si="58"/>
        <v>38</v>
      </c>
      <c r="W231" s="158">
        <f t="shared" si="58"/>
        <v>33</v>
      </c>
      <c r="X231" s="158">
        <f t="shared" si="59"/>
        <v>34</v>
      </c>
      <c r="Y231" s="158">
        <f t="shared" si="59"/>
        <v>31.999999999999996</v>
      </c>
      <c r="Z231" s="158">
        <f t="shared" si="59"/>
        <v>34</v>
      </c>
      <c r="AA231" s="158">
        <f t="shared" si="59"/>
        <v>34</v>
      </c>
      <c r="AB231" s="158">
        <f t="shared" si="59"/>
        <v>31.000000000000004</v>
      </c>
      <c r="AC231" s="158">
        <f t="shared" si="59"/>
        <v>33</v>
      </c>
      <c r="AD231" s="158">
        <f t="shared" si="59"/>
        <v>33</v>
      </c>
      <c r="AE231" s="157">
        <f t="shared" si="60"/>
        <v>403</v>
      </c>
      <c r="AF231" s="135">
        <f t="shared" si="61"/>
        <v>33.583333333333336</v>
      </c>
    </row>
    <row r="232" spans="1:32" outlineLevel="2">
      <c r="A232" s="135" t="str">
        <f t="shared" si="56"/>
        <v>MurreysROLLOFFROHAUL40A</v>
      </c>
      <c r="B232" s="116" t="s">
        <v>606</v>
      </c>
      <c r="C232" s="116" t="s">
        <v>607</v>
      </c>
      <c r="D232" s="155">
        <v>124.76</v>
      </c>
      <c r="E232" s="155">
        <v>124.76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6">
        <v>0</v>
      </c>
      <c r="Q232" s="156">
        <v>0</v>
      </c>
      <c r="R232" s="157">
        <f t="shared" si="57"/>
        <v>0</v>
      </c>
      <c r="S232" s="158">
        <f t="shared" si="58"/>
        <v>0</v>
      </c>
      <c r="T232" s="158">
        <f t="shared" si="58"/>
        <v>0</v>
      </c>
      <c r="U232" s="158">
        <f t="shared" si="58"/>
        <v>0</v>
      </c>
      <c r="V232" s="158">
        <f t="shared" si="58"/>
        <v>0</v>
      </c>
      <c r="W232" s="158">
        <f t="shared" si="58"/>
        <v>0</v>
      </c>
      <c r="X232" s="158">
        <f t="shared" si="59"/>
        <v>0</v>
      </c>
      <c r="Y232" s="158">
        <f t="shared" si="59"/>
        <v>0</v>
      </c>
      <c r="Z232" s="158">
        <f t="shared" si="59"/>
        <v>0</v>
      </c>
      <c r="AA232" s="158">
        <f t="shared" si="59"/>
        <v>0</v>
      </c>
      <c r="AB232" s="158">
        <f t="shared" si="59"/>
        <v>0</v>
      </c>
      <c r="AC232" s="158">
        <f t="shared" si="59"/>
        <v>0</v>
      </c>
      <c r="AD232" s="158">
        <f t="shared" si="59"/>
        <v>0</v>
      </c>
      <c r="AE232" s="157">
        <f t="shared" si="60"/>
        <v>0</v>
      </c>
      <c r="AF232" s="135">
        <f t="shared" si="61"/>
        <v>0</v>
      </c>
    </row>
    <row r="233" spans="1:32" outlineLevel="2">
      <c r="A233" s="135" t="str">
        <f t="shared" si="56"/>
        <v>MurreysROLLOFFROHAUL40T</v>
      </c>
      <c r="B233" s="116" t="s">
        <v>608</v>
      </c>
      <c r="C233" s="116" t="s">
        <v>609</v>
      </c>
      <c r="D233" s="155">
        <v>134.44999999999999</v>
      </c>
      <c r="E233" s="155">
        <v>135.55000000000001</v>
      </c>
      <c r="F233" s="156">
        <v>0</v>
      </c>
      <c r="G233" s="156">
        <v>1355.5</v>
      </c>
      <c r="H233" s="156">
        <v>3659.8500000000004</v>
      </c>
      <c r="I233" s="156">
        <v>271.10000000000002</v>
      </c>
      <c r="J233" s="156">
        <v>135.55000000000001</v>
      </c>
      <c r="K233" s="156">
        <v>1219.95</v>
      </c>
      <c r="L233" s="156">
        <v>0</v>
      </c>
      <c r="M233" s="156">
        <v>135.55000000000001</v>
      </c>
      <c r="N233" s="156">
        <v>135.55000000000001</v>
      </c>
      <c r="O233" s="156">
        <v>0</v>
      </c>
      <c r="P233" s="156">
        <v>813.3</v>
      </c>
      <c r="Q233" s="156">
        <v>135.55000000000001</v>
      </c>
      <c r="R233" s="157">
        <f t="shared" si="57"/>
        <v>7861.9000000000015</v>
      </c>
      <c r="S233" s="158">
        <f t="shared" si="58"/>
        <v>0</v>
      </c>
      <c r="T233" s="158">
        <f t="shared" si="58"/>
        <v>10.081814801041281</v>
      </c>
      <c r="U233" s="158">
        <f t="shared" si="58"/>
        <v>27.220899962811458</v>
      </c>
      <c r="V233" s="158">
        <f t="shared" si="58"/>
        <v>2.016362960208256</v>
      </c>
      <c r="W233" s="158">
        <f t="shared" si="58"/>
        <v>1.008181480104128</v>
      </c>
      <c r="X233" s="158">
        <f t="shared" si="59"/>
        <v>9</v>
      </c>
      <c r="Y233" s="158">
        <f t="shared" si="59"/>
        <v>0</v>
      </c>
      <c r="Z233" s="158">
        <f t="shared" si="59"/>
        <v>1</v>
      </c>
      <c r="AA233" s="158">
        <f t="shared" si="59"/>
        <v>1</v>
      </c>
      <c r="AB233" s="158">
        <f t="shared" si="59"/>
        <v>0</v>
      </c>
      <c r="AC233" s="158">
        <f t="shared" si="59"/>
        <v>5.9999999999999991</v>
      </c>
      <c r="AD233" s="158">
        <f t="shared" si="59"/>
        <v>1</v>
      </c>
      <c r="AE233" s="157">
        <f t="shared" si="60"/>
        <v>58.327259204165124</v>
      </c>
      <c r="AF233" s="135">
        <f t="shared" si="61"/>
        <v>4.8606049336804267</v>
      </c>
    </row>
    <row r="234" spans="1:32" outlineLevel="2">
      <c r="A234" s="135" t="str">
        <f t="shared" si="56"/>
        <v>MurreysROLLOFFCPHAUL10</v>
      </c>
      <c r="B234" s="116" t="s">
        <v>610</v>
      </c>
      <c r="C234" s="116" t="s">
        <v>611</v>
      </c>
      <c r="D234" s="155">
        <v>125.97</v>
      </c>
      <c r="E234" s="155">
        <v>125.97</v>
      </c>
      <c r="F234" s="156">
        <v>0</v>
      </c>
      <c r="G234" s="156">
        <v>0</v>
      </c>
      <c r="H234" s="156">
        <v>0</v>
      </c>
      <c r="I234" s="156">
        <v>0</v>
      </c>
      <c r="J234" s="156">
        <v>0</v>
      </c>
      <c r="K234" s="156">
        <v>0</v>
      </c>
      <c r="L234" s="156">
        <v>0</v>
      </c>
      <c r="M234" s="156">
        <v>0</v>
      </c>
      <c r="N234" s="156">
        <v>0</v>
      </c>
      <c r="O234" s="156">
        <v>0</v>
      </c>
      <c r="P234" s="156">
        <v>0</v>
      </c>
      <c r="Q234" s="156">
        <v>0</v>
      </c>
      <c r="R234" s="157">
        <f t="shared" si="57"/>
        <v>0</v>
      </c>
      <c r="S234" s="158">
        <f t="shared" si="58"/>
        <v>0</v>
      </c>
      <c r="T234" s="158">
        <f t="shared" si="58"/>
        <v>0</v>
      </c>
      <c r="U234" s="158">
        <f t="shared" si="58"/>
        <v>0</v>
      </c>
      <c r="V234" s="158">
        <f t="shared" si="58"/>
        <v>0</v>
      </c>
      <c r="W234" s="158">
        <f t="shared" si="58"/>
        <v>0</v>
      </c>
      <c r="X234" s="158">
        <f t="shared" si="59"/>
        <v>0</v>
      </c>
      <c r="Y234" s="158">
        <f t="shared" si="59"/>
        <v>0</v>
      </c>
      <c r="Z234" s="158">
        <f t="shared" si="59"/>
        <v>0</v>
      </c>
      <c r="AA234" s="158">
        <f t="shared" si="59"/>
        <v>0</v>
      </c>
      <c r="AB234" s="158">
        <f t="shared" si="59"/>
        <v>0</v>
      </c>
      <c r="AC234" s="158">
        <f t="shared" si="59"/>
        <v>0</v>
      </c>
      <c r="AD234" s="158">
        <f t="shared" si="59"/>
        <v>0</v>
      </c>
      <c r="AE234" s="157">
        <f t="shared" si="60"/>
        <v>0</v>
      </c>
      <c r="AF234" s="135">
        <f t="shared" si="61"/>
        <v>0</v>
      </c>
    </row>
    <row r="235" spans="1:32" outlineLevel="2">
      <c r="A235" s="135" t="str">
        <f t="shared" si="56"/>
        <v>MurreysROLLOFFCPHAUL15</v>
      </c>
      <c r="B235" s="116" t="s">
        <v>612</v>
      </c>
      <c r="C235" s="116" t="s">
        <v>613</v>
      </c>
      <c r="D235" s="155">
        <v>130.16</v>
      </c>
      <c r="E235" s="155">
        <v>130.16</v>
      </c>
      <c r="F235" s="156">
        <v>130.16</v>
      </c>
      <c r="G235" s="156">
        <v>260.32</v>
      </c>
      <c r="H235" s="156">
        <v>0</v>
      </c>
      <c r="I235" s="156">
        <v>130.16</v>
      </c>
      <c r="J235" s="156">
        <v>130.16</v>
      </c>
      <c r="K235" s="156">
        <v>130.16</v>
      </c>
      <c r="L235" s="156">
        <v>130.16</v>
      </c>
      <c r="M235" s="156">
        <v>130.16</v>
      </c>
      <c r="N235" s="156">
        <v>260.32</v>
      </c>
      <c r="O235" s="156">
        <v>130.16</v>
      </c>
      <c r="P235" s="156">
        <v>130.16</v>
      </c>
      <c r="Q235" s="156">
        <v>0</v>
      </c>
      <c r="R235" s="157">
        <f t="shared" si="57"/>
        <v>1561.92</v>
      </c>
      <c r="S235" s="158">
        <f t="shared" si="58"/>
        <v>1</v>
      </c>
      <c r="T235" s="158">
        <f t="shared" si="58"/>
        <v>2</v>
      </c>
      <c r="U235" s="158">
        <f t="shared" si="58"/>
        <v>0</v>
      </c>
      <c r="V235" s="158">
        <f t="shared" si="58"/>
        <v>1</v>
      </c>
      <c r="W235" s="158">
        <f t="shared" si="58"/>
        <v>1</v>
      </c>
      <c r="X235" s="158">
        <f t="shared" si="59"/>
        <v>1</v>
      </c>
      <c r="Y235" s="158">
        <f t="shared" si="59"/>
        <v>1</v>
      </c>
      <c r="Z235" s="158">
        <f t="shared" si="59"/>
        <v>1</v>
      </c>
      <c r="AA235" s="158">
        <f t="shared" si="59"/>
        <v>2</v>
      </c>
      <c r="AB235" s="158">
        <f t="shared" si="59"/>
        <v>1</v>
      </c>
      <c r="AC235" s="158">
        <f t="shared" si="59"/>
        <v>1</v>
      </c>
      <c r="AD235" s="158">
        <f t="shared" si="59"/>
        <v>0</v>
      </c>
      <c r="AE235" s="157">
        <f t="shared" si="60"/>
        <v>12</v>
      </c>
      <c r="AF235" s="135">
        <f t="shared" si="61"/>
        <v>1</v>
      </c>
    </row>
    <row r="236" spans="1:32" outlineLevel="2">
      <c r="A236" s="135" t="str">
        <f t="shared" si="56"/>
        <v>MurreysROLLOFFCPHAUL20</v>
      </c>
      <c r="B236" s="116" t="s">
        <v>614</v>
      </c>
      <c r="C236" s="116" t="s">
        <v>615</v>
      </c>
      <c r="D236" s="155">
        <v>130.16</v>
      </c>
      <c r="E236" s="155">
        <v>130.16</v>
      </c>
      <c r="F236" s="156">
        <v>3514.3199999999997</v>
      </c>
      <c r="G236" s="156">
        <v>4425.4400000000005</v>
      </c>
      <c r="H236" s="156">
        <v>3254</v>
      </c>
      <c r="I236" s="156">
        <v>4034.96</v>
      </c>
      <c r="J236" s="156">
        <v>3254</v>
      </c>
      <c r="K236" s="156">
        <v>4165.12</v>
      </c>
      <c r="L236" s="156">
        <v>3514.32</v>
      </c>
      <c r="M236" s="156">
        <v>4034.96</v>
      </c>
      <c r="N236" s="156">
        <v>3384.16</v>
      </c>
      <c r="O236" s="156">
        <v>3343.7299999999996</v>
      </c>
      <c r="P236" s="156">
        <v>3774.6400000000003</v>
      </c>
      <c r="Q236" s="156">
        <v>3384.16</v>
      </c>
      <c r="R236" s="157">
        <f t="shared" si="57"/>
        <v>44083.81</v>
      </c>
      <c r="S236" s="158">
        <f t="shared" si="58"/>
        <v>27</v>
      </c>
      <c r="T236" s="158">
        <f t="shared" si="58"/>
        <v>34.000000000000007</v>
      </c>
      <c r="U236" s="158">
        <f t="shared" si="58"/>
        <v>25</v>
      </c>
      <c r="V236" s="158">
        <f t="shared" si="58"/>
        <v>31</v>
      </c>
      <c r="W236" s="158">
        <f t="shared" si="58"/>
        <v>25</v>
      </c>
      <c r="X236" s="158">
        <f t="shared" si="59"/>
        <v>32</v>
      </c>
      <c r="Y236" s="158">
        <f t="shared" si="59"/>
        <v>27.000000000000004</v>
      </c>
      <c r="Z236" s="158">
        <f t="shared" si="59"/>
        <v>31</v>
      </c>
      <c r="AA236" s="158">
        <f t="shared" si="59"/>
        <v>26</v>
      </c>
      <c r="AB236" s="158">
        <f t="shared" si="59"/>
        <v>25.68938229870928</v>
      </c>
      <c r="AC236" s="158">
        <f t="shared" si="59"/>
        <v>29.000000000000004</v>
      </c>
      <c r="AD236" s="158">
        <f t="shared" si="59"/>
        <v>26</v>
      </c>
      <c r="AE236" s="157">
        <f t="shared" si="60"/>
        <v>338.68938229870929</v>
      </c>
      <c r="AF236" s="135">
        <f t="shared" si="61"/>
        <v>28.224115191559108</v>
      </c>
    </row>
    <row r="237" spans="1:32" outlineLevel="2">
      <c r="A237" s="135" t="str">
        <f t="shared" si="56"/>
        <v>MurreysROLLOFFCPHAUL25</v>
      </c>
      <c r="B237" s="116" t="s">
        <v>616</v>
      </c>
      <c r="C237" s="116" t="s">
        <v>617</v>
      </c>
      <c r="D237" s="155">
        <v>135</v>
      </c>
      <c r="E237" s="155">
        <v>135</v>
      </c>
      <c r="F237" s="156">
        <v>5940</v>
      </c>
      <c r="G237" s="156">
        <v>6210</v>
      </c>
      <c r="H237" s="156">
        <v>6750</v>
      </c>
      <c r="I237" s="156">
        <v>6615</v>
      </c>
      <c r="J237" s="156">
        <v>5940</v>
      </c>
      <c r="K237" s="156">
        <v>6885</v>
      </c>
      <c r="L237" s="156">
        <v>6075</v>
      </c>
      <c r="M237" s="156">
        <v>6480</v>
      </c>
      <c r="N237" s="156">
        <v>6345</v>
      </c>
      <c r="O237" s="156">
        <v>6210</v>
      </c>
      <c r="P237" s="156">
        <v>6345</v>
      </c>
      <c r="Q237" s="156">
        <v>5805</v>
      </c>
      <c r="R237" s="157">
        <f t="shared" si="57"/>
        <v>75600</v>
      </c>
      <c r="S237" s="158">
        <f t="shared" ref="S237:W287" si="62">+IFERROR(F237/$D237,0)</f>
        <v>44</v>
      </c>
      <c r="T237" s="158">
        <f t="shared" si="62"/>
        <v>46</v>
      </c>
      <c r="U237" s="158">
        <f t="shared" si="62"/>
        <v>50</v>
      </c>
      <c r="V237" s="158">
        <f t="shared" si="62"/>
        <v>49</v>
      </c>
      <c r="W237" s="158">
        <f t="shared" si="62"/>
        <v>44</v>
      </c>
      <c r="X237" s="158">
        <f t="shared" ref="X237:AD273" si="63">+IFERROR(K237/$E237,0)</f>
        <v>51</v>
      </c>
      <c r="Y237" s="158">
        <f t="shared" si="63"/>
        <v>45</v>
      </c>
      <c r="Z237" s="158">
        <f t="shared" si="63"/>
        <v>48</v>
      </c>
      <c r="AA237" s="158">
        <f t="shared" si="63"/>
        <v>47</v>
      </c>
      <c r="AB237" s="158">
        <f t="shared" si="63"/>
        <v>46</v>
      </c>
      <c r="AC237" s="158">
        <f t="shared" si="63"/>
        <v>47</v>
      </c>
      <c r="AD237" s="158">
        <f t="shared" si="63"/>
        <v>43</v>
      </c>
      <c r="AE237" s="157">
        <f t="shared" si="60"/>
        <v>560</v>
      </c>
      <c r="AF237" s="135">
        <f t="shared" si="61"/>
        <v>46.666666666666664</v>
      </c>
    </row>
    <row r="238" spans="1:32" outlineLevel="2">
      <c r="A238" s="135" t="str">
        <f t="shared" si="56"/>
        <v>MurreysROLLOFFCPHAUL30</v>
      </c>
      <c r="B238" s="116" t="s">
        <v>618</v>
      </c>
      <c r="C238" s="116" t="s">
        <v>619</v>
      </c>
      <c r="D238" s="155">
        <v>143.37</v>
      </c>
      <c r="E238" s="155">
        <v>143.37</v>
      </c>
      <c r="F238" s="156">
        <v>11756.34</v>
      </c>
      <c r="G238" s="156">
        <v>11182.86</v>
      </c>
      <c r="H238" s="156">
        <v>13190.04</v>
      </c>
      <c r="I238" s="156">
        <v>11612.970000000001</v>
      </c>
      <c r="J238" s="156">
        <v>10609.380000000001</v>
      </c>
      <c r="K238" s="156">
        <v>11326.23</v>
      </c>
      <c r="L238" s="156">
        <v>12186.45</v>
      </c>
      <c r="M238" s="156">
        <v>13190.04</v>
      </c>
      <c r="N238" s="156">
        <v>11612.970000000001</v>
      </c>
      <c r="O238" s="156">
        <v>12903.3</v>
      </c>
      <c r="P238" s="156">
        <v>13763.52</v>
      </c>
      <c r="Q238" s="156">
        <v>11326.23</v>
      </c>
      <c r="R238" s="157">
        <f t="shared" si="57"/>
        <v>144660.33000000002</v>
      </c>
      <c r="S238" s="158">
        <f t="shared" si="62"/>
        <v>82</v>
      </c>
      <c r="T238" s="158">
        <f t="shared" si="62"/>
        <v>78</v>
      </c>
      <c r="U238" s="158">
        <f t="shared" si="62"/>
        <v>92</v>
      </c>
      <c r="V238" s="158">
        <f t="shared" si="62"/>
        <v>81</v>
      </c>
      <c r="W238" s="158">
        <f t="shared" si="62"/>
        <v>74</v>
      </c>
      <c r="X238" s="158">
        <f t="shared" si="63"/>
        <v>79</v>
      </c>
      <c r="Y238" s="158">
        <f t="shared" si="63"/>
        <v>85</v>
      </c>
      <c r="Z238" s="158">
        <f t="shared" si="63"/>
        <v>92</v>
      </c>
      <c r="AA238" s="158">
        <f t="shared" si="63"/>
        <v>81</v>
      </c>
      <c r="AB238" s="158">
        <f t="shared" si="63"/>
        <v>89.999999999999986</v>
      </c>
      <c r="AC238" s="158">
        <f t="shared" si="63"/>
        <v>96</v>
      </c>
      <c r="AD238" s="158">
        <f t="shared" si="63"/>
        <v>79</v>
      </c>
      <c r="AE238" s="157">
        <f t="shared" si="60"/>
        <v>1009</v>
      </c>
      <c r="AF238" s="135">
        <f t="shared" si="61"/>
        <v>84.083333333333329</v>
      </c>
    </row>
    <row r="239" spans="1:32" outlineLevel="2">
      <c r="A239" s="135" t="str">
        <f t="shared" si="56"/>
        <v>MurreysROLLOFFCPHAUL35</v>
      </c>
      <c r="B239" s="116" t="s">
        <v>620</v>
      </c>
      <c r="C239" s="116" t="s">
        <v>621</v>
      </c>
      <c r="D239" s="155">
        <v>148.21</v>
      </c>
      <c r="E239" s="155">
        <v>148.21</v>
      </c>
      <c r="F239" s="156">
        <v>444.63</v>
      </c>
      <c r="G239" s="156">
        <v>592.84</v>
      </c>
      <c r="H239" s="156">
        <v>592.84</v>
      </c>
      <c r="I239" s="156">
        <v>296.42</v>
      </c>
      <c r="J239" s="156">
        <v>592.84</v>
      </c>
      <c r="K239" s="156">
        <v>592.84</v>
      </c>
      <c r="L239" s="156">
        <v>296.42</v>
      </c>
      <c r="M239" s="156">
        <v>592.84</v>
      </c>
      <c r="N239" s="156">
        <v>148.21</v>
      </c>
      <c r="O239" s="156">
        <v>592.84</v>
      </c>
      <c r="P239" s="156">
        <v>296.42</v>
      </c>
      <c r="Q239" s="156">
        <v>444.63</v>
      </c>
      <c r="R239" s="157">
        <f t="shared" si="57"/>
        <v>5483.77</v>
      </c>
      <c r="S239" s="158">
        <f t="shared" si="62"/>
        <v>3</v>
      </c>
      <c r="T239" s="158">
        <f t="shared" si="62"/>
        <v>4</v>
      </c>
      <c r="U239" s="158">
        <f t="shared" si="62"/>
        <v>4</v>
      </c>
      <c r="V239" s="158">
        <f t="shared" si="62"/>
        <v>2</v>
      </c>
      <c r="W239" s="158">
        <f t="shared" si="62"/>
        <v>4</v>
      </c>
      <c r="X239" s="158">
        <f t="shared" si="63"/>
        <v>4</v>
      </c>
      <c r="Y239" s="158">
        <f t="shared" si="63"/>
        <v>2</v>
      </c>
      <c r="Z239" s="158">
        <f t="shared" si="63"/>
        <v>4</v>
      </c>
      <c r="AA239" s="158">
        <f t="shared" si="63"/>
        <v>1</v>
      </c>
      <c r="AB239" s="158">
        <f t="shared" si="63"/>
        <v>4</v>
      </c>
      <c r="AC239" s="158">
        <f t="shared" si="63"/>
        <v>2</v>
      </c>
      <c r="AD239" s="158">
        <f t="shared" si="63"/>
        <v>3</v>
      </c>
      <c r="AE239" s="157">
        <f t="shared" si="60"/>
        <v>37</v>
      </c>
      <c r="AF239" s="135">
        <f t="shared" si="61"/>
        <v>3.0833333333333335</v>
      </c>
    </row>
    <row r="240" spans="1:32" outlineLevel="2">
      <c r="A240" s="135" t="str">
        <f t="shared" si="56"/>
        <v>MurreysROLLOFFCPHAUL40</v>
      </c>
      <c r="B240" s="116" t="s">
        <v>622</v>
      </c>
      <c r="C240" s="116" t="s">
        <v>623</v>
      </c>
      <c r="D240" s="155">
        <v>154.15</v>
      </c>
      <c r="E240" s="155">
        <v>154.15</v>
      </c>
      <c r="F240" s="156">
        <v>6474.3</v>
      </c>
      <c r="G240" s="156">
        <v>6474.2999999999993</v>
      </c>
      <c r="H240" s="156">
        <v>6782.5999999999995</v>
      </c>
      <c r="I240" s="156">
        <v>6628.45</v>
      </c>
      <c r="J240" s="156">
        <v>5857.7</v>
      </c>
      <c r="K240" s="156">
        <v>6628.45</v>
      </c>
      <c r="L240" s="156">
        <v>5857.7</v>
      </c>
      <c r="M240" s="156">
        <v>6936.75</v>
      </c>
      <c r="N240" s="156">
        <v>5703.55</v>
      </c>
      <c r="O240" s="156">
        <v>5857.7</v>
      </c>
      <c r="P240" s="156">
        <v>6166</v>
      </c>
      <c r="Q240" s="156">
        <v>6166</v>
      </c>
      <c r="R240" s="157">
        <f t="shared" si="57"/>
        <v>75533.5</v>
      </c>
      <c r="S240" s="158">
        <f t="shared" si="62"/>
        <v>42</v>
      </c>
      <c r="T240" s="158">
        <f t="shared" si="62"/>
        <v>41.999999999999993</v>
      </c>
      <c r="U240" s="158">
        <f t="shared" si="62"/>
        <v>43.999999999999993</v>
      </c>
      <c r="V240" s="158">
        <f t="shared" si="62"/>
        <v>43</v>
      </c>
      <c r="W240" s="158">
        <f t="shared" si="62"/>
        <v>38</v>
      </c>
      <c r="X240" s="158">
        <f t="shared" si="63"/>
        <v>43</v>
      </c>
      <c r="Y240" s="158">
        <f t="shared" si="63"/>
        <v>38</v>
      </c>
      <c r="Z240" s="158">
        <f t="shared" si="63"/>
        <v>45</v>
      </c>
      <c r="AA240" s="158">
        <f t="shared" si="63"/>
        <v>37</v>
      </c>
      <c r="AB240" s="158">
        <f t="shared" si="63"/>
        <v>38</v>
      </c>
      <c r="AC240" s="158">
        <f t="shared" si="63"/>
        <v>40</v>
      </c>
      <c r="AD240" s="158">
        <f t="shared" si="63"/>
        <v>40</v>
      </c>
      <c r="AE240" s="157">
        <f t="shared" si="60"/>
        <v>490</v>
      </c>
      <c r="AF240" s="135">
        <f t="shared" si="61"/>
        <v>40.833333333333336</v>
      </c>
    </row>
    <row r="241" spans="1:31" outlineLevel="2">
      <c r="A241" s="135" t="str">
        <f t="shared" si="56"/>
        <v>MurreysROLLOFFRORENT20D</v>
      </c>
      <c r="B241" s="116" t="s">
        <v>624</v>
      </c>
      <c r="C241" s="116" t="s">
        <v>625</v>
      </c>
      <c r="D241" s="155">
        <v>0</v>
      </c>
      <c r="E241" s="155">
        <v>0</v>
      </c>
      <c r="F241" s="156">
        <v>0</v>
      </c>
      <c r="G241" s="156">
        <v>0</v>
      </c>
      <c r="H241" s="156">
        <v>0</v>
      </c>
      <c r="I241" s="156">
        <v>0</v>
      </c>
      <c r="J241" s="156">
        <v>0</v>
      </c>
      <c r="K241" s="156">
        <v>0</v>
      </c>
      <c r="L241" s="156">
        <v>0</v>
      </c>
      <c r="M241" s="156">
        <v>0</v>
      </c>
      <c r="N241" s="156">
        <v>0</v>
      </c>
      <c r="O241" s="156">
        <v>0</v>
      </c>
      <c r="P241" s="156">
        <v>0</v>
      </c>
      <c r="Q241" s="156">
        <v>0</v>
      </c>
      <c r="R241" s="157">
        <f t="shared" si="57"/>
        <v>0</v>
      </c>
      <c r="S241" s="158">
        <f t="shared" si="62"/>
        <v>0</v>
      </c>
      <c r="T241" s="158">
        <f t="shared" si="62"/>
        <v>0</v>
      </c>
      <c r="U241" s="158">
        <f t="shared" si="62"/>
        <v>0</v>
      </c>
      <c r="V241" s="158">
        <f t="shared" si="62"/>
        <v>0</v>
      </c>
      <c r="W241" s="158">
        <f t="shared" si="62"/>
        <v>0</v>
      </c>
      <c r="X241" s="158">
        <f t="shared" si="63"/>
        <v>0</v>
      </c>
      <c r="Y241" s="158">
        <f t="shared" si="63"/>
        <v>0</v>
      </c>
      <c r="Z241" s="158">
        <f t="shared" si="63"/>
        <v>0</v>
      </c>
      <c r="AA241" s="158">
        <f t="shared" si="63"/>
        <v>0</v>
      </c>
      <c r="AB241" s="158">
        <f t="shared" si="63"/>
        <v>0</v>
      </c>
      <c r="AC241" s="158">
        <f t="shared" si="63"/>
        <v>0</v>
      </c>
      <c r="AD241" s="158">
        <f t="shared" si="63"/>
        <v>0</v>
      </c>
      <c r="AE241" s="157">
        <f t="shared" si="60"/>
        <v>0</v>
      </c>
    </row>
    <row r="242" spans="1:31" outlineLevel="2">
      <c r="A242" s="135" t="str">
        <f t="shared" si="56"/>
        <v>MurreysROLLOFFRORENT20P</v>
      </c>
      <c r="B242" s="116" t="s">
        <v>626</v>
      </c>
      <c r="C242" s="116" t="s">
        <v>627</v>
      </c>
      <c r="D242" s="155">
        <v>83.68</v>
      </c>
      <c r="E242" s="155">
        <v>83.68</v>
      </c>
      <c r="F242" s="156">
        <v>4214.6900000000005</v>
      </c>
      <c r="G242" s="156">
        <v>4267.68</v>
      </c>
      <c r="H242" s="156">
        <v>4621.93</v>
      </c>
      <c r="I242" s="156">
        <v>4792.07</v>
      </c>
      <c r="J242" s="156">
        <v>4375.2700000000004</v>
      </c>
      <c r="K242" s="156">
        <v>4234.5700000000006</v>
      </c>
      <c r="L242" s="156">
        <v>4016.6400000000003</v>
      </c>
      <c r="M242" s="156">
        <v>3765.6000000000004</v>
      </c>
      <c r="N242" s="156">
        <v>4052.9100000000003</v>
      </c>
      <c r="O242" s="156">
        <v>4150.5200000000004</v>
      </c>
      <c r="P242" s="156">
        <v>4072.4300000000003</v>
      </c>
      <c r="Q242" s="156">
        <v>4100.32</v>
      </c>
      <c r="R242" s="157">
        <f t="shared" si="57"/>
        <v>50664.630000000005</v>
      </c>
      <c r="S242" s="158">
        <f t="shared" si="62"/>
        <v>50.366754302103253</v>
      </c>
      <c r="T242" s="158">
        <f t="shared" si="62"/>
        <v>51</v>
      </c>
      <c r="U242" s="158">
        <f t="shared" si="62"/>
        <v>55.233389101338432</v>
      </c>
      <c r="V242" s="158">
        <f t="shared" si="62"/>
        <v>57.266610898661561</v>
      </c>
      <c r="W242" s="158">
        <f t="shared" si="62"/>
        <v>52.285731357552585</v>
      </c>
      <c r="X242" s="158">
        <f t="shared" si="63"/>
        <v>50.604326003824092</v>
      </c>
      <c r="Y242" s="158">
        <f t="shared" si="63"/>
        <v>48</v>
      </c>
      <c r="Z242" s="158">
        <f t="shared" si="63"/>
        <v>45</v>
      </c>
      <c r="AA242" s="158">
        <f t="shared" si="63"/>
        <v>48.43343690248566</v>
      </c>
      <c r="AB242" s="158">
        <f t="shared" si="63"/>
        <v>49.599904397705544</v>
      </c>
      <c r="AC242" s="158">
        <f t="shared" si="63"/>
        <v>48.666706500956025</v>
      </c>
      <c r="AD242" s="158">
        <f t="shared" si="63"/>
        <v>48.999999999999993</v>
      </c>
      <c r="AE242" s="157">
        <f t="shared" si="60"/>
        <v>605.45685946462709</v>
      </c>
    </row>
    <row r="243" spans="1:31" outlineLevel="2">
      <c r="A243" s="135" t="str">
        <f t="shared" si="56"/>
        <v>MurreysROLLOFFRORENT20T</v>
      </c>
      <c r="B243" s="116" t="s">
        <v>628</v>
      </c>
      <c r="C243" s="116" t="s">
        <v>629</v>
      </c>
      <c r="D243" s="155">
        <v>142.19999999999999</v>
      </c>
      <c r="E243" s="155">
        <v>142.19999999999999</v>
      </c>
      <c r="F243" s="156">
        <v>3873.8100000000004</v>
      </c>
      <c r="G243" s="156">
        <v>3062.04</v>
      </c>
      <c r="H243" s="156">
        <v>1869.4</v>
      </c>
      <c r="I243" s="156">
        <v>1565.4199999999998</v>
      </c>
      <c r="J243" s="156">
        <v>1022.14</v>
      </c>
      <c r="K243" s="156">
        <v>1675.51</v>
      </c>
      <c r="L243" s="156">
        <v>1919.6999999999998</v>
      </c>
      <c r="M243" s="156">
        <v>2396.77</v>
      </c>
      <c r="N243" s="156">
        <v>2175.66</v>
      </c>
      <c r="O243" s="156">
        <v>2121.23</v>
      </c>
      <c r="P243" s="156">
        <v>1806.85</v>
      </c>
      <c r="Q243" s="156">
        <v>1644.78</v>
      </c>
      <c r="R243" s="157">
        <f t="shared" si="57"/>
        <v>25133.309999999998</v>
      </c>
      <c r="S243" s="158">
        <f t="shared" si="62"/>
        <v>27.241983122362875</v>
      </c>
      <c r="T243" s="158">
        <f t="shared" si="62"/>
        <v>21.533333333333335</v>
      </c>
      <c r="U243" s="158">
        <f t="shared" si="62"/>
        <v>13.146272855133617</v>
      </c>
      <c r="V243" s="158">
        <f t="shared" si="62"/>
        <v>11.008579465541491</v>
      </c>
      <c r="W243" s="158">
        <f t="shared" si="62"/>
        <v>7.1880450070323496</v>
      </c>
      <c r="X243" s="158">
        <f t="shared" si="63"/>
        <v>11.782770745428975</v>
      </c>
      <c r="Y243" s="158">
        <f t="shared" si="63"/>
        <v>13.5</v>
      </c>
      <c r="Z243" s="158">
        <f t="shared" si="63"/>
        <v>16.854922644163153</v>
      </c>
      <c r="AA243" s="158">
        <f t="shared" si="63"/>
        <v>15.3</v>
      </c>
      <c r="AB243" s="158">
        <f t="shared" si="63"/>
        <v>14.917229254571028</v>
      </c>
      <c r="AC243" s="158">
        <f t="shared" si="63"/>
        <v>12.706399437412095</v>
      </c>
      <c r="AD243" s="158">
        <f t="shared" si="63"/>
        <v>11.566666666666668</v>
      </c>
      <c r="AE243" s="157">
        <f t="shared" si="60"/>
        <v>176.74620253164559</v>
      </c>
    </row>
    <row r="244" spans="1:31" outlineLevel="2">
      <c r="A244" s="135" t="str">
        <f t="shared" si="56"/>
        <v>MurreysROLLOFFRORENT25D</v>
      </c>
      <c r="B244" s="116" t="s">
        <v>630</v>
      </c>
      <c r="C244" s="116" t="s">
        <v>631</v>
      </c>
      <c r="D244" s="155">
        <v>0</v>
      </c>
      <c r="E244" s="155">
        <v>0</v>
      </c>
      <c r="F244" s="156">
        <v>0</v>
      </c>
      <c r="G244" s="156">
        <v>0</v>
      </c>
      <c r="H244" s="156">
        <v>0</v>
      </c>
      <c r="I244" s="156">
        <v>0</v>
      </c>
      <c r="J244" s="156">
        <v>0</v>
      </c>
      <c r="K244" s="156">
        <v>0</v>
      </c>
      <c r="L244" s="156">
        <v>0</v>
      </c>
      <c r="M244" s="156">
        <v>0</v>
      </c>
      <c r="N244" s="156">
        <v>0</v>
      </c>
      <c r="O244" s="156">
        <v>0</v>
      </c>
      <c r="P244" s="156">
        <v>0</v>
      </c>
      <c r="Q244" s="156">
        <v>0</v>
      </c>
      <c r="R244" s="157">
        <f t="shared" si="57"/>
        <v>0</v>
      </c>
      <c r="S244" s="158">
        <f t="shared" si="62"/>
        <v>0</v>
      </c>
      <c r="T244" s="158">
        <f t="shared" si="62"/>
        <v>0</v>
      </c>
      <c r="U244" s="158">
        <f t="shared" si="62"/>
        <v>0</v>
      </c>
      <c r="V244" s="158">
        <f t="shared" si="62"/>
        <v>0</v>
      </c>
      <c r="W244" s="158">
        <f t="shared" si="62"/>
        <v>0</v>
      </c>
      <c r="X244" s="158">
        <f t="shared" si="63"/>
        <v>0</v>
      </c>
      <c r="Y244" s="158">
        <f t="shared" si="63"/>
        <v>0</v>
      </c>
      <c r="Z244" s="158">
        <f t="shared" si="63"/>
        <v>0</v>
      </c>
      <c r="AA244" s="158">
        <f t="shared" si="63"/>
        <v>0</v>
      </c>
      <c r="AB244" s="158">
        <f t="shared" si="63"/>
        <v>0</v>
      </c>
      <c r="AC244" s="158">
        <f t="shared" si="63"/>
        <v>0</v>
      </c>
      <c r="AD244" s="158">
        <f t="shared" si="63"/>
        <v>0</v>
      </c>
      <c r="AE244" s="157">
        <f t="shared" si="60"/>
        <v>0</v>
      </c>
    </row>
    <row r="245" spans="1:31" outlineLevel="2">
      <c r="A245" s="135" t="str">
        <f t="shared" si="56"/>
        <v>MurreysROLLOFFRORENT25P</v>
      </c>
      <c r="B245" s="116" t="s">
        <v>632</v>
      </c>
      <c r="C245" s="116" t="s">
        <v>633</v>
      </c>
      <c r="D245" s="155">
        <v>93.76</v>
      </c>
      <c r="E245" s="155">
        <v>93.76</v>
      </c>
      <c r="F245" s="156">
        <v>3155.6800000000003</v>
      </c>
      <c r="G245" s="156">
        <v>3212.84</v>
      </c>
      <c r="H245" s="156">
        <v>3281.6</v>
      </c>
      <c r="I245" s="156">
        <v>3375.3599999999997</v>
      </c>
      <c r="J245" s="156">
        <v>3382.06</v>
      </c>
      <c r="K245" s="156">
        <v>3671.67</v>
      </c>
      <c r="L245" s="156">
        <v>3641.01</v>
      </c>
      <c r="M245" s="156">
        <v>3482.53</v>
      </c>
      <c r="N245" s="156">
        <v>3297.2299999999996</v>
      </c>
      <c r="O245" s="156">
        <v>3247.2200000000003</v>
      </c>
      <c r="P245" s="156">
        <v>3123.02</v>
      </c>
      <c r="Q245" s="156">
        <v>3187.84</v>
      </c>
      <c r="R245" s="157">
        <f t="shared" si="57"/>
        <v>40058.06</v>
      </c>
      <c r="S245" s="158">
        <f t="shared" si="62"/>
        <v>33.656996587030719</v>
      </c>
      <c r="T245" s="158">
        <f t="shared" si="62"/>
        <v>34.266638225255974</v>
      </c>
      <c r="U245" s="158">
        <f t="shared" si="62"/>
        <v>35</v>
      </c>
      <c r="V245" s="158">
        <f t="shared" si="62"/>
        <v>35.999999999999993</v>
      </c>
      <c r="W245" s="158">
        <f t="shared" si="62"/>
        <v>36.071459044368595</v>
      </c>
      <c r="X245" s="158">
        <f t="shared" si="63"/>
        <v>39.16030290102389</v>
      </c>
      <c r="Y245" s="158">
        <f t="shared" si="63"/>
        <v>38.833297781569968</v>
      </c>
      <c r="Z245" s="158">
        <f t="shared" si="63"/>
        <v>37.143024744027301</v>
      </c>
      <c r="AA245" s="158">
        <f t="shared" si="63"/>
        <v>35.166702218430025</v>
      </c>
      <c r="AB245" s="158">
        <f t="shared" si="63"/>
        <v>34.633319112627987</v>
      </c>
      <c r="AC245" s="158">
        <f t="shared" si="63"/>
        <v>33.30866040955631</v>
      </c>
      <c r="AD245" s="158">
        <f t="shared" si="63"/>
        <v>34</v>
      </c>
      <c r="AE245" s="157">
        <f t="shared" si="60"/>
        <v>427.24040102389074</v>
      </c>
    </row>
    <row r="246" spans="1:31" outlineLevel="2">
      <c r="A246" s="135" t="str">
        <f t="shared" si="56"/>
        <v>MurreysROLLOFFRORENT25T</v>
      </c>
      <c r="B246" s="116" t="s">
        <v>634</v>
      </c>
      <c r="C246" s="116" t="s">
        <v>635</v>
      </c>
      <c r="D246" s="155">
        <v>148.19999999999999</v>
      </c>
      <c r="E246" s="155">
        <v>148.19999999999999</v>
      </c>
      <c r="F246" s="156">
        <v>602.69000000000005</v>
      </c>
      <c r="G246" s="156">
        <v>528.58000000000004</v>
      </c>
      <c r="H246" s="156">
        <v>489.06</v>
      </c>
      <c r="I246" s="156">
        <v>632.79999999999995</v>
      </c>
      <c r="J246" s="156">
        <v>1332.3899999999999</v>
      </c>
      <c r="K246" s="156">
        <v>1024.6599999999999</v>
      </c>
      <c r="L246" s="156">
        <v>1141.1399999999999</v>
      </c>
      <c r="M246" s="156">
        <v>563.79</v>
      </c>
      <c r="N246" s="156">
        <v>592.79999999999995</v>
      </c>
      <c r="O246" s="156">
        <v>647.94000000000005</v>
      </c>
      <c r="P246" s="156">
        <v>1003.94</v>
      </c>
      <c r="Q246" s="156">
        <v>1328.8600000000001</v>
      </c>
      <c r="R246" s="157">
        <f t="shared" si="57"/>
        <v>9888.6500000000015</v>
      </c>
      <c r="S246" s="158">
        <f t="shared" si="62"/>
        <v>4.0667341430499331</v>
      </c>
      <c r="T246" s="158">
        <f t="shared" si="62"/>
        <v>3.5666666666666673</v>
      </c>
      <c r="U246" s="158">
        <f t="shared" si="62"/>
        <v>3.3000000000000003</v>
      </c>
      <c r="V246" s="158">
        <f t="shared" si="62"/>
        <v>4.2699055330634277</v>
      </c>
      <c r="W246" s="158">
        <f t="shared" si="62"/>
        <v>8.9904858299595141</v>
      </c>
      <c r="X246" s="158">
        <f t="shared" si="63"/>
        <v>6.9140350877192978</v>
      </c>
      <c r="Y246" s="158">
        <f t="shared" si="63"/>
        <v>7.6999999999999993</v>
      </c>
      <c r="Z246" s="158">
        <f t="shared" si="63"/>
        <v>3.8042510121457491</v>
      </c>
      <c r="AA246" s="158">
        <f t="shared" si="63"/>
        <v>4</v>
      </c>
      <c r="AB246" s="158">
        <f t="shared" si="63"/>
        <v>4.3720647773279362</v>
      </c>
      <c r="AC246" s="158">
        <f t="shared" si="63"/>
        <v>6.7742240215924436</v>
      </c>
      <c r="AD246" s="158">
        <f t="shared" si="63"/>
        <v>8.9666666666666686</v>
      </c>
      <c r="AE246" s="157">
        <f t="shared" si="60"/>
        <v>66.725033738191627</v>
      </c>
    </row>
    <row r="247" spans="1:31" outlineLevel="2">
      <c r="A247" s="135" t="str">
        <f t="shared" si="56"/>
        <v>MurreysROLLOFFRORENT30D</v>
      </c>
      <c r="B247" s="116" t="s">
        <v>636</v>
      </c>
      <c r="C247" s="116" t="s">
        <v>637</v>
      </c>
      <c r="D247" s="155">
        <v>0</v>
      </c>
      <c r="E247" s="155">
        <v>0</v>
      </c>
      <c r="F247" s="156">
        <v>0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56">
        <v>0</v>
      </c>
      <c r="Q247" s="156">
        <v>0</v>
      </c>
      <c r="R247" s="157">
        <f t="shared" si="57"/>
        <v>0</v>
      </c>
      <c r="S247" s="158">
        <f t="shared" si="62"/>
        <v>0</v>
      </c>
      <c r="T247" s="158">
        <f t="shared" si="62"/>
        <v>0</v>
      </c>
      <c r="U247" s="158">
        <f t="shared" si="62"/>
        <v>0</v>
      </c>
      <c r="V247" s="158">
        <f t="shared" si="62"/>
        <v>0</v>
      </c>
      <c r="W247" s="158">
        <f t="shared" si="62"/>
        <v>0</v>
      </c>
      <c r="X247" s="158">
        <f t="shared" si="63"/>
        <v>0</v>
      </c>
      <c r="Y247" s="158">
        <f t="shared" si="63"/>
        <v>0</v>
      </c>
      <c r="Z247" s="158">
        <f t="shared" si="63"/>
        <v>0</v>
      </c>
      <c r="AA247" s="158">
        <f t="shared" si="63"/>
        <v>0</v>
      </c>
      <c r="AB247" s="158">
        <f t="shared" si="63"/>
        <v>0</v>
      </c>
      <c r="AC247" s="158">
        <f t="shared" si="63"/>
        <v>0</v>
      </c>
      <c r="AD247" s="158">
        <f t="shared" si="63"/>
        <v>0</v>
      </c>
      <c r="AE247" s="157">
        <f t="shared" si="60"/>
        <v>0</v>
      </c>
    </row>
    <row r="248" spans="1:31" outlineLevel="2">
      <c r="A248" s="135" t="str">
        <f t="shared" si="56"/>
        <v>MurreysROLLOFFRORENT30P</v>
      </c>
      <c r="B248" s="116" t="s">
        <v>638</v>
      </c>
      <c r="C248" s="116" t="s">
        <v>639</v>
      </c>
      <c r="D248" s="155">
        <v>102.84</v>
      </c>
      <c r="E248" s="155">
        <v>102.84</v>
      </c>
      <c r="F248" s="156">
        <v>10666.38</v>
      </c>
      <c r="G248" s="156">
        <v>10633.66</v>
      </c>
      <c r="H248" s="156">
        <v>10424.550000000001</v>
      </c>
      <c r="I248" s="156">
        <v>10301.14</v>
      </c>
      <c r="J248" s="156">
        <v>10750.21</v>
      </c>
      <c r="K248" s="156">
        <v>10794.77</v>
      </c>
      <c r="L248" s="156">
        <v>11188.99</v>
      </c>
      <c r="M248" s="156">
        <v>10730.63</v>
      </c>
      <c r="N248" s="156">
        <v>10976.45</v>
      </c>
      <c r="O248" s="156">
        <v>10985.08</v>
      </c>
      <c r="P248" s="156">
        <v>11344.130000000001</v>
      </c>
      <c r="Q248" s="156">
        <v>11326.12</v>
      </c>
      <c r="R248" s="157">
        <f t="shared" si="57"/>
        <v>130122.11000000002</v>
      </c>
      <c r="S248" s="158">
        <f t="shared" si="62"/>
        <v>103.71820303383896</v>
      </c>
      <c r="T248" s="158">
        <f t="shared" si="62"/>
        <v>103.40003889537145</v>
      </c>
      <c r="U248" s="158">
        <f t="shared" si="62"/>
        <v>101.3666861143524</v>
      </c>
      <c r="V248" s="158">
        <f t="shared" si="62"/>
        <v>100.16666666666666</v>
      </c>
      <c r="W248" s="158">
        <f t="shared" si="62"/>
        <v>104.53335278101905</v>
      </c>
      <c r="X248" s="158">
        <f t="shared" si="63"/>
        <v>104.96664721898094</v>
      </c>
      <c r="Y248" s="158">
        <f t="shared" si="63"/>
        <v>108.79998055231427</v>
      </c>
      <c r="Z248" s="158">
        <f t="shared" si="63"/>
        <v>104.34295993776739</v>
      </c>
      <c r="AA248" s="158">
        <f t="shared" si="63"/>
        <v>106.73327499027616</v>
      </c>
      <c r="AB248" s="158">
        <f t="shared" si="63"/>
        <v>106.81719175418125</v>
      </c>
      <c r="AC248" s="158">
        <f t="shared" si="63"/>
        <v>110.30853753403346</v>
      </c>
      <c r="AD248" s="158">
        <f t="shared" si="63"/>
        <v>110.13341112407623</v>
      </c>
      <c r="AE248" s="157">
        <f t="shared" si="60"/>
        <v>1265.2869506028783</v>
      </c>
    </row>
    <row r="249" spans="1:31" outlineLevel="2">
      <c r="A249" s="135" t="str">
        <f t="shared" si="56"/>
        <v>MurreysROLLOFFRORENT30T</v>
      </c>
      <c r="B249" s="116" t="s">
        <v>640</v>
      </c>
      <c r="C249" s="116" t="s">
        <v>641</v>
      </c>
      <c r="D249" s="155">
        <v>154.80000000000001</v>
      </c>
      <c r="E249" s="155">
        <v>154.80000000000001</v>
      </c>
      <c r="F249" s="156">
        <v>2662.9</v>
      </c>
      <c r="G249" s="156">
        <v>2977.32</v>
      </c>
      <c r="H249" s="156">
        <v>3101.83</v>
      </c>
      <c r="I249" s="156">
        <v>2887.44</v>
      </c>
      <c r="J249" s="156">
        <v>2136.5999999999995</v>
      </c>
      <c r="K249" s="156">
        <v>2537.89</v>
      </c>
      <c r="L249" s="156">
        <v>1873.08</v>
      </c>
      <c r="M249" s="156">
        <v>2884.3</v>
      </c>
      <c r="N249" s="156">
        <v>2647.08</v>
      </c>
      <c r="O249" s="156">
        <v>1932.8400000000001</v>
      </c>
      <c r="P249" s="156">
        <v>2720.0800000000004</v>
      </c>
      <c r="Q249" s="156">
        <v>2858.64</v>
      </c>
      <c r="R249" s="157">
        <f t="shared" si="57"/>
        <v>31219.999999999996</v>
      </c>
      <c r="S249" s="158">
        <f t="shared" si="62"/>
        <v>17.202196382428941</v>
      </c>
      <c r="T249" s="158">
        <f t="shared" si="62"/>
        <v>19.233333333333334</v>
      </c>
      <c r="U249" s="158">
        <f t="shared" si="62"/>
        <v>20.037661498708008</v>
      </c>
      <c r="V249" s="158">
        <f t="shared" si="62"/>
        <v>18.652713178294572</v>
      </c>
      <c r="W249" s="158">
        <f t="shared" si="62"/>
        <v>13.802325581395344</v>
      </c>
      <c r="X249" s="158">
        <f t="shared" si="63"/>
        <v>16.394638242894054</v>
      </c>
      <c r="Y249" s="158">
        <f t="shared" si="63"/>
        <v>12.099999999999998</v>
      </c>
      <c r="Z249" s="158">
        <f t="shared" si="63"/>
        <v>18.632428940568474</v>
      </c>
      <c r="AA249" s="158">
        <f t="shared" si="63"/>
        <v>17.099999999999998</v>
      </c>
      <c r="AB249" s="158">
        <f t="shared" si="63"/>
        <v>12.486046511627906</v>
      </c>
      <c r="AC249" s="158">
        <f t="shared" si="63"/>
        <v>17.571576227390182</v>
      </c>
      <c r="AD249" s="158">
        <f t="shared" si="63"/>
        <v>18.466666666666665</v>
      </c>
      <c r="AE249" s="157">
        <f t="shared" si="60"/>
        <v>201.67958656330745</v>
      </c>
    </row>
    <row r="250" spans="1:31" outlineLevel="2">
      <c r="A250" s="135" t="str">
        <f t="shared" si="56"/>
        <v>MurreysROLLOFFRORENT40P</v>
      </c>
      <c r="B250" s="116" t="s">
        <v>642</v>
      </c>
      <c r="C250" s="116" t="s">
        <v>643</v>
      </c>
      <c r="D250" s="155">
        <v>104.85</v>
      </c>
      <c r="E250" s="155">
        <v>104.85</v>
      </c>
      <c r="F250" s="156">
        <v>733.95</v>
      </c>
      <c r="G250" s="156">
        <v>733.95</v>
      </c>
      <c r="H250" s="156">
        <v>733.95</v>
      </c>
      <c r="I250" s="156">
        <v>733.95</v>
      </c>
      <c r="J250" s="156">
        <v>733.95</v>
      </c>
      <c r="K250" s="156">
        <v>733.95</v>
      </c>
      <c r="L250" s="156">
        <v>758.42</v>
      </c>
      <c r="M250" s="156">
        <v>838.8</v>
      </c>
      <c r="N250" s="156">
        <v>733.95</v>
      </c>
      <c r="O250" s="156">
        <v>768.9</v>
      </c>
      <c r="P250" s="156">
        <v>838.8</v>
      </c>
      <c r="Q250" s="156">
        <v>733.95</v>
      </c>
      <c r="R250" s="157">
        <f t="shared" si="57"/>
        <v>9076.52</v>
      </c>
      <c r="S250" s="158">
        <f t="shared" si="62"/>
        <v>7.0000000000000009</v>
      </c>
      <c r="T250" s="158">
        <f t="shared" si="62"/>
        <v>7.0000000000000009</v>
      </c>
      <c r="U250" s="158">
        <f t="shared" si="62"/>
        <v>7.0000000000000009</v>
      </c>
      <c r="V250" s="158">
        <f t="shared" si="62"/>
        <v>7.0000000000000009</v>
      </c>
      <c r="W250" s="158">
        <f t="shared" si="62"/>
        <v>7.0000000000000009</v>
      </c>
      <c r="X250" s="158">
        <f t="shared" si="63"/>
        <v>7.0000000000000009</v>
      </c>
      <c r="Y250" s="158">
        <f t="shared" si="63"/>
        <v>7.233381020505484</v>
      </c>
      <c r="Z250" s="158">
        <f t="shared" si="63"/>
        <v>8</v>
      </c>
      <c r="AA250" s="158">
        <f t="shared" si="63"/>
        <v>7.0000000000000009</v>
      </c>
      <c r="AB250" s="158">
        <f t="shared" si="63"/>
        <v>7.3333333333333339</v>
      </c>
      <c r="AC250" s="158">
        <f t="shared" si="63"/>
        <v>8</v>
      </c>
      <c r="AD250" s="158">
        <f t="shared" si="63"/>
        <v>7.0000000000000009</v>
      </c>
      <c r="AE250" s="157">
        <f t="shared" si="60"/>
        <v>86.566714353838819</v>
      </c>
    </row>
    <row r="251" spans="1:31" outlineLevel="2">
      <c r="A251" s="135" t="str">
        <f t="shared" si="56"/>
        <v>MurreysROLLOFFRORENT40T</v>
      </c>
      <c r="B251" s="116" t="s">
        <v>644</v>
      </c>
      <c r="C251" s="116" t="s">
        <v>645</v>
      </c>
      <c r="D251" s="155">
        <v>187.5</v>
      </c>
      <c r="E251" s="155">
        <v>187.5</v>
      </c>
      <c r="F251" s="156">
        <v>12.5</v>
      </c>
      <c r="G251" s="156">
        <v>200</v>
      </c>
      <c r="H251" s="156">
        <v>846.17</v>
      </c>
      <c r="I251" s="156">
        <v>937.5</v>
      </c>
      <c r="J251" s="156">
        <v>-362.5</v>
      </c>
      <c r="K251" s="156">
        <v>-418.95</v>
      </c>
      <c r="L251" s="156">
        <v>200</v>
      </c>
      <c r="M251" s="156">
        <v>187.5</v>
      </c>
      <c r="N251" s="156">
        <v>187.5</v>
      </c>
      <c r="O251" s="156">
        <v>187.5</v>
      </c>
      <c r="P251" s="156">
        <v>187.5</v>
      </c>
      <c r="Q251" s="156">
        <v>187.5</v>
      </c>
      <c r="R251" s="157">
        <f t="shared" si="57"/>
        <v>2352.2200000000003</v>
      </c>
      <c r="S251" s="158">
        <f t="shared" si="62"/>
        <v>6.6666666666666666E-2</v>
      </c>
      <c r="T251" s="158">
        <f t="shared" si="62"/>
        <v>1.0666666666666667</v>
      </c>
      <c r="U251" s="158">
        <f t="shared" si="62"/>
        <v>4.5129066666666668</v>
      </c>
      <c r="V251" s="158">
        <f t="shared" si="62"/>
        <v>5</v>
      </c>
      <c r="W251" s="158">
        <f t="shared" si="62"/>
        <v>-1.9333333333333333</v>
      </c>
      <c r="X251" s="158">
        <f t="shared" si="63"/>
        <v>-2.2343999999999999</v>
      </c>
      <c r="Y251" s="158">
        <f t="shared" si="63"/>
        <v>1.0666666666666667</v>
      </c>
      <c r="Z251" s="158">
        <f t="shared" si="63"/>
        <v>1</v>
      </c>
      <c r="AA251" s="158">
        <f t="shared" si="63"/>
        <v>1</v>
      </c>
      <c r="AB251" s="158">
        <f t="shared" si="63"/>
        <v>1</v>
      </c>
      <c r="AC251" s="158">
        <f t="shared" si="63"/>
        <v>1</v>
      </c>
      <c r="AD251" s="158">
        <f t="shared" si="63"/>
        <v>1</v>
      </c>
      <c r="AE251" s="157">
        <f t="shared" si="60"/>
        <v>12.545173333333334</v>
      </c>
    </row>
    <row r="252" spans="1:31" outlineLevel="2">
      <c r="A252" s="135" t="str">
        <f t="shared" si="56"/>
        <v>MurreysROLLOFFRECYHAUL10</v>
      </c>
      <c r="B252" s="116" t="s">
        <v>646</v>
      </c>
      <c r="C252" s="116" t="s">
        <v>647</v>
      </c>
      <c r="D252" s="155">
        <v>0</v>
      </c>
      <c r="E252" s="155">
        <v>0</v>
      </c>
      <c r="F252" s="156">
        <v>0</v>
      </c>
      <c r="G252" s="156">
        <v>0</v>
      </c>
      <c r="H252" s="156">
        <v>0</v>
      </c>
      <c r="I252" s="156">
        <v>0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156">
        <v>0</v>
      </c>
      <c r="P252" s="156">
        <v>0</v>
      </c>
      <c r="Q252" s="156">
        <v>0</v>
      </c>
      <c r="R252" s="157">
        <f t="shared" si="57"/>
        <v>0</v>
      </c>
      <c r="S252" s="158">
        <f t="shared" si="62"/>
        <v>0</v>
      </c>
      <c r="T252" s="158">
        <f t="shared" si="62"/>
        <v>0</v>
      </c>
      <c r="U252" s="158">
        <f t="shared" si="62"/>
        <v>0</v>
      </c>
      <c r="V252" s="158">
        <f t="shared" si="62"/>
        <v>0</v>
      </c>
      <c r="W252" s="158">
        <f t="shared" si="62"/>
        <v>0</v>
      </c>
      <c r="X252" s="158">
        <f t="shared" si="63"/>
        <v>0</v>
      </c>
      <c r="Y252" s="158">
        <f t="shared" si="63"/>
        <v>0</v>
      </c>
      <c r="Z252" s="158">
        <f t="shared" si="63"/>
        <v>0</v>
      </c>
      <c r="AA252" s="158">
        <f t="shared" si="63"/>
        <v>0</v>
      </c>
      <c r="AB252" s="158">
        <f t="shared" si="63"/>
        <v>0</v>
      </c>
      <c r="AC252" s="158">
        <f t="shared" si="63"/>
        <v>0</v>
      </c>
      <c r="AD252" s="158">
        <f t="shared" si="63"/>
        <v>0</v>
      </c>
      <c r="AE252" s="157">
        <f t="shared" si="60"/>
        <v>0</v>
      </c>
    </row>
    <row r="253" spans="1:31" outlineLevel="2">
      <c r="A253" s="135" t="str">
        <f t="shared" ref="A253:A284" si="64">+$A$5&amp;$A$220&amp;B253</f>
        <v>MurreysROLLOFFRECYHAUL12</v>
      </c>
      <c r="B253" s="116" t="s">
        <v>648</v>
      </c>
      <c r="C253" s="116" t="s">
        <v>649</v>
      </c>
      <c r="D253" s="155">
        <v>0</v>
      </c>
      <c r="E253" s="155">
        <v>0</v>
      </c>
      <c r="F253" s="156">
        <v>0</v>
      </c>
      <c r="G253" s="156">
        <v>0</v>
      </c>
      <c r="H253" s="156">
        <v>0</v>
      </c>
      <c r="I253" s="156">
        <v>0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56">
        <v>0</v>
      </c>
      <c r="P253" s="156">
        <v>0</v>
      </c>
      <c r="Q253" s="156">
        <v>0</v>
      </c>
      <c r="R253" s="157">
        <f t="shared" si="57"/>
        <v>0</v>
      </c>
      <c r="S253" s="158">
        <f t="shared" si="62"/>
        <v>0</v>
      </c>
      <c r="T253" s="158">
        <f t="shared" si="62"/>
        <v>0</v>
      </c>
      <c r="U253" s="158">
        <f t="shared" si="62"/>
        <v>0</v>
      </c>
      <c r="V253" s="158">
        <f t="shared" si="62"/>
        <v>0</v>
      </c>
      <c r="W253" s="158">
        <f t="shared" si="62"/>
        <v>0</v>
      </c>
      <c r="X253" s="158">
        <f t="shared" si="63"/>
        <v>0</v>
      </c>
      <c r="Y253" s="158">
        <f t="shared" si="63"/>
        <v>0</v>
      </c>
      <c r="Z253" s="158">
        <f t="shared" si="63"/>
        <v>0</v>
      </c>
      <c r="AA253" s="158">
        <f t="shared" si="63"/>
        <v>0</v>
      </c>
      <c r="AB253" s="158">
        <f t="shared" si="63"/>
        <v>0</v>
      </c>
      <c r="AC253" s="158">
        <f t="shared" si="63"/>
        <v>0</v>
      </c>
      <c r="AD253" s="158">
        <f t="shared" si="63"/>
        <v>0</v>
      </c>
      <c r="AE253" s="157">
        <f t="shared" si="60"/>
        <v>0</v>
      </c>
    </row>
    <row r="254" spans="1:31" outlineLevel="2">
      <c r="A254" s="135" t="str">
        <f t="shared" si="64"/>
        <v>MurreysROLLOFFRECYHAUL15</v>
      </c>
      <c r="B254" s="116" t="s">
        <v>650</v>
      </c>
      <c r="C254" s="116" t="s">
        <v>651</v>
      </c>
      <c r="D254" s="155">
        <v>0</v>
      </c>
      <c r="E254" s="155"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56">
        <v>0</v>
      </c>
      <c r="Q254" s="156">
        <v>0</v>
      </c>
      <c r="R254" s="157">
        <f t="shared" si="57"/>
        <v>0</v>
      </c>
      <c r="S254" s="158">
        <f t="shared" si="62"/>
        <v>0</v>
      </c>
      <c r="T254" s="158">
        <f t="shared" si="62"/>
        <v>0</v>
      </c>
      <c r="U254" s="158">
        <f t="shared" si="62"/>
        <v>0</v>
      </c>
      <c r="V254" s="158">
        <f t="shared" si="62"/>
        <v>0</v>
      </c>
      <c r="W254" s="158">
        <f t="shared" si="62"/>
        <v>0</v>
      </c>
      <c r="X254" s="158">
        <f t="shared" si="63"/>
        <v>0</v>
      </c>
      <c r="Y254" s="158">
        <f t="shared" si="63"/>
        <v>0</v>
      </c>
      <c r="Z254" s="158">
        <f t="shared" si="63"/>
        <v>0</v>
      </c>
      <c r="AA254" s="158">
        <f t="shared" si="63"/>
        <v>0</v>
      </c>
      <c r="AB254" s="158">
        <f t="shared" si="63"/>
        <v>0</v>
      </c>
      <c r="AC254" s="158">
        <f t="shared" si="63"/>
        <v>0</v>
      </c>
      <c r="AD254" s="158">
        <f t="shared" si="63"/>
        <v>0</v>
      </c>
      <c r="AE254" s="157">
        <f t="shared" si="60"/>
        <v>0</v>
      </c>
    </row>
    <row r="255" spans="1:31" outlineLevel="2">
      <c r="A255" s="135" t="str">
        <f t="shared" si="64"/>
        <v>MurreysROLLOFFRECYHAUL20</v>
      </c>
      <c r="B255" s="116" t="s">
        <v>652</v>
      </c>
      <c r="C255" s="116" t="s">
        <v>653</v>
      </c>
      <c r="D255" s="155">
        <v>0</v>
      </c>
      <c r="E255" s="155">
        <v>0</v>
      </c>
      <c r="F255" s="156">
        <v>0</v>
      </c>
      <c r="G255" s="156">
        <v>0</v>
      </c>
      <c r="H255" s="156">
        <v>0</v>
      </c>
      <c r="I255" s="156">
        <v>0</v>
      </c>
      <c r="J255" s="156">
        <v>0</v>
      </c>
      <c r="K255" s="156">
        <v>0</v>
      </c>
      <c r="L255" s="156">
        <v>0</v>
      </c>
      <c r="M255" s="156">
        <v>0</v>
      </c>
      <c r="N255" s="156">
        <v>0</v>
      </c>
      <c r="O255" s="156">
        <v>0</v>
      </c>
      <c r="P255" s="156">
        <v>0</v>
      </c>
      <c r="Q255" s="156">
        <v>0</v>
      </c>
      <c r="R255" s="157">
        <f t="shared" si="57"/>
        <v>0</v>
      </c>
      <c r="S255" s="158">
        <f t="shared" si="62"/>
        <v>0</v>
      </c>
      <c r="T255" s="158">
        <f t="shared" si="62"/>
        <v>0</v>
      </c>
      <c r="U255" s="158">
        <f t="shared" si="62"/>
        <v>0</v>
      </c>
      <c r="V255" s="158">
        <f t="shared" si="62"/>
        <v>0</v>
      </c>
      <c r="W255" s="158">
        <f t="shared" si="62"/>
        <v>0</v>
      </c>
      <c r="X255" s="158">
        <f t="shared" si="63"/>
        <v>0</v>
      </c>
      <c r="Y255" s="158">
        <f t="shared" si="63"/>
        <v>0</v>
      </c>
      <c r="Z255" s="158">
        <f t="shared" si="63"/>
        <v>0</v>
      </c>
      <c r="AA255" s="158">
        <f t="shared" si="63"/>
        <v>0</v>
      </c>
      <c r="AB255" s="158">
        <f t="shared" si="63"/>
        <v>0</v>
      </c>
      <c r="AC255" s="158">
        <f t="shared" si="63"/>
        <v>0</v>
      </c>
      <c r="AD255" s="158">
        <f t="shared" si="63"/>
        <v>0</v>
      </c>
      <c r="AE255" s="157">
        <f t="shared" si="60"/>
        <v>0</v>
      </c>
    </row>
    <row r="256" spans="1:31" outlineLevel="2">
      <c r="A256" s="135" t="str">
        <f t="shared" si="64"/>
        <v>MurreysROLLOFFRECYHAUL25</v>
      </c>
      <c r="B256" s="116" t="s">
        <v>654</v>
      </c>
      <c r="C256" s="116" t="s">
        <v>655</v>
      </c>
      <c r="D256" s="155">
        <v>0</v>
      </c>
      <c r="E256" s="155">
        <v>0</v>
      </c>
      <c r="F256" s="156">
        <v>0</v>
      </c>
      <c r="G256" s="156">
        <v>0</v>
      </c>
      <c r="H256" s="156">
        <v>0</v>
      </c>
      <c r="I256" s="156">
        <v>0</v>
      </c>
      <c r="J256" s="156">
        <v>0</v>
      </c>
      <c r="K256" s="156">
        <v>0</v>
      </c>
      <c r="L256" s="156">
        <v>0</v>
      </c>
      <c r="M256" s="156">
        <v>0</v>
      </c>
      <c r="N256" s="156">
        <v>0</v>
      </c>
      <c r="O256" s="156">
        <v>0</v>
      </c>
      <c r="P256" s="156">
        <v>0</v>
      </c>
      <c r="Q256" s="156">
        <v>0</v>
      </c>
      <c r="R256" s="157">
        <f t="shared" si="57"/>
        <v>0</v>
      </c>
      <c r="S256" s="158">
        <f t="shared" si="62"/>
        <v>0</v>
      </c>
      <c r="T256" s="158">
        <f t="shared" si="62"/>
        <v>0</v>
      </c>
      <c r="U256" s="158">
        <f t="shared" si="62"/>
        <v>0</v>
      </c>
      <c r="V256" s="158">
        <f t="shared" si="62"/>
        <v>0</v>
      </c>
      <c r="W256" s="158">
        <f t="shared" si="62"/>
        <v>0</v>
      </c>
      <c r="X256" s="158">
        <f t="shared" si="63"/>
        <v>0</v>
      </c>
      <c r="Y256" s="158">
        <f t="shared" si="63"/>
        <v>0</v>
      </c>
      <c r="Z256" s="158">
        <f t="shared" si="63"/>
        <v>0</v>
      </c>
      <c r="AA256" s="158">
        <f t="shared" si="63"/>
        <v>0</v>
      </c>
      <c r="AB256" s="158">
        <f t="shared" si="63"/>
        <v>0</v>
      </c>
      <c r="AC256" s="158">
        <f t="shared" si="63"/>
        <v>0</v>
      </c>
      <c r="AD256" s="158">
        <f t="shared" si="63"/>
        <v>0</v>
      </c>
      <c r="AE256" s="157">
        <f t="shared" si="60"/>
        <v>0</v>
      </c>
    </row>
    <row r="257" spans="1:31" outlineLevel="2">
      <c r="A257" s="135" t="str">
        <f t="shared" si="64"/>
        <v>MurreysROLLOFFRECYHAUL30</v>
      </c>
      <c r="B257" s="116" t="s">
        <v>656</v>
      </c>
      <c r="C257" s="116" t="s">
        <v>657</v>
      </c>
      <c r="D257" s="155">
        <v>0</v>
      </c>
      <c r="E257" s="155">
        <v>0</v>
      </c>
      <c r="F257" s="156">
        <v>0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56">
        <v>0</v>
      </c>
      <c r="Q257" s="156">
        <v>0</v>
      </c>
      <c r="R257" s="157">
        <f t="shared" si="57"/>
        <v>0</v>
      </c>
      <c r="S257" s="158">
        <f t="shared" si="62"/>
        <v>0</v>
      </c>
      <c r="T257" s="158">
        <f t="shared" si="62"/>
        <v>0</v>
      </c>
      <c r="U257" s="158">
        <f t="shared" si="62"/>
        <v>0</v>
      </c>
      <c r="V257" s="158">
        <f t="shared" si="62"/>
        <v>0</v>
      </c>
      <c r="W257" s="158">
        <f t="shared" si="62"/>
        <v>0</v>
      </c>
      <c r="X257" s="158">
        <f t="shared" si="63"/>
        <v>0</v>
      </c>
      <c r="Y257" s="158">
        <f t="shared" si="63"/>
        <v>0</v>
      </c>
      <c r="Z257" s="158">
        <f t="shared" si="63"/>
        <v>0</v>
      </c>
      <c r="AA257" s="158">
        <f t="shared" si="63"/>
        <v>0</v>
      </c>
      <c r="AB257" s="158">
        <f t="shared" si="63"/>
        <v>0</v>
      </c>
      <c r="AC257" s="158">
        <f t="shared" si="63"/>
        <v>0</v>
      </c>
      <c r="AD257" s="158">
        <f t="shared" si="63"/>
        <v>0</v>
      </c>
      <c r="AE257" s="157">
        <f t="shared" si="60"/>
        <v>0</v>
      </c>
    </row>
    <row r="258" spans="1:31" outlineLevel="2">
      <c r="A258" s="135" t="str">
        <f t="shared" si="64"/>
        <v>MurreysROLLOFFRECYHAUL40</v>
      </c>
      <c r="B258" s="116" t="s">
        <v>658</v>
      </c>
      <c r="C258" s="116" t="s">
        <v>659</v>
      </c>
      <c r="D258" s="155">
        <v>60</v>
      </c>
      <c r="E258" s="155">
        <v>60</v>
      </c>
      <c r="F258" s="156">
        <v>0</v>
      </c>
      <c r="G258" s="156">
        <v>0</v>
      </c>
      <c r="H258" s="156">
        <v>120</v>
      </c>
      <c r="I258" s="156">
        <v>-117.8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156">
        <v>0</v>
      </c>
      <c r="P258" s="156">
        <v>0</v>
      </c>
      <c r="Q258" s="156">
        <v>0</v>
      </c>
      <c r="R258" s="157">
        <f t="shared" si="57"/>
        <v>2.2000000000000028</v>
      </c>
      <c r="S258" s="158">
        <f t="shared" si="62"/>
        <v>0</v>
      </c>
      <c r="T258" s="158">
        <f t="shared" si="62"/>
        <v>0</v>
      </c>
      <c r="U258" s="158">
        <f t="shared" si="62"/>
        <v>2</v>
      </c>
      <c r="V258" s="158">
        <f t="shared" si="62"/>
        <v>-1.9633333333333334</v>
      </c>
      <c r="W258" s="158">
        <f t="shared" si="62"/>
        <v>0</v>
      </c>
      <c r="X258" s="158">
        <f t="shared" si="63"/>
        <v>0</v>
      </c>
      <c r="Y258" s="158">
        <f t="shared" si="63"/>
        <v>0</v>
      </c>
      <c r="Z258" s="158">
        <f t="shared" si="63"/>
        <v>0</v>
      </c>
      <c r="AA258" s="158">
        <f t="shared" si="63"/>
        <v>0</v>
      </c>
      <c r="AB258" s="158">
        <f t="shared" si="63"/>
        <v>0</v>
      </c>
      <c r="AC258" s="158">
        <f t="shared" si="63"/>
        <v>0</v>
      </c>
      <c r="AD258" s="158">
        <f t="shared" si="63"/>
        <v>0</v>
      </c>
      <c r="AE258" s="157">
        <f t="shared" si="60"/>
        <v>3.6666666666666625E-2</v>
      </c>
    </row>
    <row r="259" spans="1:31" outlineLevel="2">
      <c r="A259" s="135" t="str">
        <f t="shared" si="64"/>
        <v>MurreysROLLOFFRECYHAUL50</v>
      </c>
      <c r="B259" s="116" t="s">
        <v>660</v>
      </c>
      <c r="C259" s="116" t="s">
        <v>661</v>
      </c>
      <c r="D259" s="155">
        <v>0</v>
      </c>
      <c r="E259" s="155">
        <v>0</v>
      </c>
      <c r="F259" s="156">
        <v>0</v>
      </c>
      <c r="G259" s="156">
        <v>0</v>
      </c>
      <c r="H259" s="156">
        <v>0</v>
      </c>
      <c r="I259" s="156">
        <v>0</v>
      </c>
      <c r="J259" s="156">
        <v>0</v>
      </c>
      <c r="K259" s="156">
        <v>0</v>
      </c>
      <c r="L259" s="156">
        <v>0</v>
      </c>
      <c r="M259" s="156">
        <v>0</v>
      </c>
      <c r="N259" s="156">
        <v>0</v>
      </c>
      <c r="O259" s="156">
        <v>0</v>
      </c>
      <c r="P259" s="156">
        <v>0</v>
      </c>
      <c r="Q259" s="156">
        <v>0</v>
      </c>
      <c r="R259" s="157">
        <f t="shared" si="57"/>
        <v>0</v>
      </c>
      <c r="S259" s="158">
        <f t="shared" si="62"/>
        <v>0</v>
      </c>
      <c r="T259" s="158">
        <f t="shared" si="62"/>
        <v>0</v>
      </c>
      <c r="U259" s="158">
        <f t="shared" si="62"/>
        <v>0</v>
      </c>
      <c r="V259" s="158">
        <f t="shared" si="62"/>
        <v>0</v>
      </c>
      <c r="W259" s="158">
        <f t="shared" si="62"/>
        <v>0</v>
      </c>
      <c r="X259" s="158">
        <f t="shared" si="63"/>
        <v>0</v>
      </c>
      <c r="Y259" s="158">
        <f t="shared" si="63"/>
        <v>0</v>
      </c>
      <c r="Z259" s="158">
        <f t="shared" si="63"/>
        <v>0</v>
      </c>
      <c r="AA259" s="158">
        <f t="shared" si="63"/>
        <v>0</v>
      </c>
      <c r="AB259" s="158">
        <f t="shared" si="63"/>
        <v>0</v>
      </c>
      <c r="AC259" s="158">
        <f t="shared" si="63"/>
        <v>0</v>
      </c>
      <c r="AD259" s="158">
        <f t="shared" si="63"/>
        <v>0</v>
      </c>
      <c r="AE259" s="157">
        <f t="shared" si="60"/>
        <v>0</v>
      </c>
    </row>
    <row r="260" spans="1:31" outlineLevel="2">
      <c r="A260" s="135" t="str">
        <f t="shared" si="64"/>
        <v>MurreysROLLOFFRECYHAULCOMP</v>
      </c>
      <c r="B260" s="116" t="s">
        <v>662</v>
      </c>
      <c r="C260" s="116" t="s">
        <v>663</v>
      </c>
      <c r="D260" s="155">
        <v>0</v>
      </c>
      <c r="E260" s="155">
        <v>0</v>
      </c>
      <c r="F260" s="156">
        <v>0</v>
      </c>
      <c r="G260" s="156">
        <v>0</v>
      </c>
      <c r="H260" s="156">
        <v>0</v>
      </c>
      <c r="I260" s="156">
        <v>0</v>
      </c>
      <c r="J260" s="156">
        <v>0</v>
      </c>
      <c r="K260" s="156">
        <v>0</v>
      </c>
      <c r="L260" s="156">
        <v>0</v>
      </c>
      <c r="M260" s="156">
        <v>0</v>
      </c>
      <c r="N260" s="156">
        <v>0</v>
      </c>
      <c r="O260" s="156">
        <v>0</v>
      </c>
      <c r="P260" s="156">
        <v>0</v>
      </c>
      <c r="Q260" s="156">
        <v>0</v>
      </c>
      <c r="R260" s="157">
        <f t="shared" si="57"/>
        <v>0</v>
      </c>
      <c r="S260" s="158">
        <f t="shared" si="62"/>
        <v>0</v>
      </c>
      <c r="T260" s="158">
        <f t="shared" si="62"/>
        <v>0</v>
      </c>
      <c r="U260" s="158">
        <f t="shared" si="62"/>
        <v>0</v>
      </c>
      <c r="V260" s="158">
        <f t="shared" si="62"/>
        <v>0</v>
      </c>
      <c r="W260" s="158">
        <f t="shared" si="62"/>
        <v>0</v>
      </c>
      <c r="X260" s="158">
        <f t="shared" si="63"/>
        <v>0</v>
      </c>
      <c r="Y260" s="158">
        <f t="shared" si="63"/>
        <v>0</v>
      </c>
      <c r="Z260" s="158">
        <f t="shared" si="63"/>
        <v>0</v>
      </c>
      <c r="AA260" s="158">
        <f t="shared" si="63"/>
        <v>0</v>
      </c>
      <c r="AB260" s="158">
        <f t="shared" si="63"/>
        <v>0</v>
      </c>
      <c r="AC260" s="158">
        <f t="shared" si="63"/>
        <v>0</v>
      </c>
      <c r="AD260" s="158">
        <f t="shared" si="63"/>
        <v>0</v>
      </c>
      <c r="AE260" s="157">
        <f t="shared" si="60"/>
        <v>0</v>
      </c>
    </row>
    <row r="261" spans="1:31" outlineLevel="2">
      <c r="A261" s="135" t="str">
        <f t="shared" si="64"/>
        <v>MurreysROLLOFFRECYRENT12</v>
      </c>
      <c r="B261" s="116" t="s">
        <v>664</v>
      </c>
      <c r="C261" s="116" t="s">
        <v>665</v>
      </c>
      <c r="D261" s="155">
        <v>0</v>
      </c>
      <c r="E261" s="155">
        <v>0</v>
      </c>
      <c r="F261" s="156">
        <v>0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56">
        <v>0</v>
      </c>
      <c r="Q261" s="156">
        <v>0</v>
      </c>
      <c r="R261" s="157">
        <f t="shared" si="57"/>
        <v>0</v>
      </c>
      <c r="S261" s="158">
        <f t="shared" si="62"/>
        <v>0</v>
      </c>
      <c r="T261" s="158">
        <f t="shared" si="62"/>
        <v>0</v>
      </c>
      <c r="U261" s="158">
        <f t="shared" si="62"/>
        <v>0</v>
      </c>
      <c r="V261" s="158">
        <f t="shared" si="62"/>
        <v>0</v>
      </c>
      <c r="W261" s="158">
        <f t="shared" si="62"/>
        <v>0</v>
      </c>
      <c r="X261" s="158">
        <f t="shared" si="63"/>
        <v>0</v>
      </c>
      <c r="Y261" s="158">
        <f t="shared" si="63"/>
        <v>0</v>
      </c>
      <c r="Z261" s="158">
        <f t="shared" si="63"/>
        <v>0</v>
      </c>
      <c r="AA261" s="158">
        <f t="shared" si="63"/>
        <v>0</v>
      </c>
      <c r="AB261" s="158">
        <f t="shared" si="63"/>
        <v>0</v>
      </c>
      <c r="AC261" s="158">
        <f t="shared" si="63"/>
        <v>0</v>
      </c>
      <c r="AD261" s="158">
        <f t="shared" si="63"/>
        <v>0</v>
      </c>
      <c r="AE261" s="157">
        <f t="shared" si="60"/>
        <v>0</v>
      </c>
    </row>
    <row r="262" spans="1:31" outlineLevel="2">
      <c r="A262" s="135" t="str">
        <f t="shared" si="64"/>
        <v>MurreysROLLOFFRECYRENT15</v>
      </c>
      <c r="B262" s="116" t="s">
        <v>666</v>
      </c>
      <c r="C262" s="116" t="s">
        <v>667</v>
      </c>
      <c r="D262" s="155">
        <v>0</v>
      </c>
      <c r="E262" s="155">
        <v>0</v>
      </c>
      <c r="F262" s="156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56">
        <v>0</v>
      </c>
      <c r="Q262" s="156">
        <v>0</v>
      </c>
      <c r="R262" s="157">
        <f t="shared" si="57"/>
        <v>0</v>
      </c>
      <c r="S262" s="158">
        <f t="shared" si="62"/>
        <v>0</v>
      </c>
      <c r="T262" s="158">
        <f t="shared" si="62"/>
        <v>0</v>
      </c>
      <c r="U262" s="158">
        <f t="shared" si="62"/>
        <v>0</v>
      </c>
      <c r="V262" s="158">
        <f t="shared" si="62"/>
        <v>0</v>
      </c>
      <c r="W262" s="158">
        <f t="shared" si="62"/>
        <v>0</v>
      </c>
      <c r="X262" s="158">
        <f t="shared" si="63"/>
        <v>0</v>
      </c>
      <c r="Y262" s="158">
        <f t="shared" si="63"/>
        <v>0</v>
      </c>
      <c r="Z262" s="158">
        <f t="shared" si="63"/>
        <v>0</v>
      </c>
      <c r="AA262" s="158">
        <f t="shared" si="63"/>
        <v>0</v>
      </c>
      <c r="AB262" s="158">
        <f t="shared" si="63"/>
        <v>0</v>
      </c>
      <c r="AC262" s="158">
        <f t="shared" si="63"/>
        <v>0</v>
      </c>
      <c r="AD262" s="158">
        <f t="shared" si="63"/>
        <v>0</v>
      </c>
      <c r="AE262" s="157">
        <f t="shared" si="60"/>
        <v>0</v>
      </c>
    </row>
    <row r="263" spans="1:31" outlineLevel="2">
      <c r="A263" s="135" t="str">
        <f t="shared" si="64"/>
        <v>MurreysROLLOFFRECYRENT20</v>
      </c>
      <c r="B263" s="116" t="s">
        <v>668</v>
      </c>
      <c r="C263" s="116" t="s">
        <v>669</v>
      </c>
      <c r="D263" s="155">
        <v>0</v>
      </c>
      <c r="E263" s="155"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56">
        <v>0</v>
      </c>
      <c r="Q263" s="156">
        <v>0</v>
      </c>
      <c r="R263" s="157">
        <f t="shared" si="57"/>
        <v>0</v>
      </c>
      <c r="S263" s="158">
        <f t="shared" si="62"/>
        <v>0</v>
      </c>
      <c r="T263" s="158">
        <f t="shared" si="62"/>
        <v>0</v>
      </c>
      <c r="U263" s="158">
        <f t="shared" si="62"/>
        <v>0</v>
      </c>
      <c r="V263" s="158">
        <f t="shared" si="62"/>
        <v>0</v>
      </c>
      <c r="W263" s="158">
        <f t="shared" si="62"/>
        <v>0</v>
      </c>
      <c r="X263" s="158">
        <f t="shared" si="63"/>
        <v>0</v>
      </c>
      <c r="Y263" s="158">
        <f t="shared" si="63"/>
        <v>0</v>
      </c>
      <c r="Z263" s="158">
        <f t="shared" si="63"/>
        <v>0</v>
      </c>
      <c r="AA263" s="158">
        <f t="shared" si="63"/>
        <v>0</v>
      </c>
      <c r="AB263" s="158">
        <f t="shared" si="63"/>
        <v>0</v>
      </c>
      <c r="AC263" s="158">
        <f t="shared" si="63"/>
        <v>0</v>
      </c>
      <c r="AD263" s="158">
        <f t="shared" si="63"/>
        <v>0</v>
      </c>
      <c r="AE263" s="157">
        <f t="shared" si="60"/>
        <v>0</v>
      </c>
    </row>
    <row r="264" spans="1:31" outlineLevel="2">
      <c r="A264" s="135" t="str">
        <f t="shared" si="64"/>
        <v>MurreysROLLOFFRECYRENT25</v>
      </c>
      <c r="B264" s="116" t="s">
        <v>670</v>
      </c>
      <c r="C264" s="116" t="s">
        <v>671</v>
      </c>
      <c r="D264" s="155">
        <v>0</v>
      </c>
      <c r="E264" s="155"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56">
        <v>0</v>
      </c>
      <c r="Q264" s="156">
        <v>0</v>
      </c>
      <c r="R264" s="157">
        <f t="shared" si="57"/>
        <v>0</v>
      </c>
      <c r="S264" s="158">
        <f t="shared" si="62"/>
        <v>0</v>
      </c>
      <c r="T264" s="158">
        <f t="shared" si="62"/>
        <v>0</v>
      </c>
      <c r="U264" s="158">
        <f t="shared" si="62"/>
        <v>0</v>
      </c>
      <c r="V264" s="158">
        <f t="shared" si="62"/>
        <v>0</v>
      </c>
      <c r="W264" s="158">
        <f t="shared" si="62"/>
        <v>0</v>
      </c>
      <c r="X264" s="158">
        <f t="shared" si="63"/>
        <v>0</v>
      </c>
      <c r="Y264" s="158">
        <f t="shared" si="63"/>
        <v>0</v>
      </c>
      <c r="Z264" s="158">
        <f t="shared" si="63"/>
        <v>0</v>
      </c>
      <c r="AA264" s="158">
        <f t="shared" si="63"/>
        <v>0</v>
      </c>
      <c r="AB264" s="158">
        <f t="shared" si="63"/>
        <v>0</v>
      </c>
      <c r="AC264" s="158">
        <f t="shared" si="63"/>
        <v>0</v>
      </c>
      <c r="AD264" s="158">
        <f t="shared" si="63"/>
        <v>0</v>
      </c>
      <c r="AE264" s="157">
        <f t="shared" si="60"/>
        <v>0</v>
      </c>
    </row>
    <row r="265" spans="1:31" outlineLevel="2">
      <c r="A265" s="135" t="str">
        <f t="shared" si="64"/>
        <v>MurreysROLLOFFRECYRENT30</v>
      </c>
      <c r="B265" s="116" t="s">
        <v>672</v>
      </c>
      <c r="C265" s="116" t="s">
        <v>673</v>
      </c>
      <c r="D265" s="155">
        <v>0</v>
      </c>
      <c r="E265" s="155">
        <v>0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56">
        <v>0</v>
      </c>
      <c r="Q265" s="156">
        <v>0</v>
      </c>
      <c r="R265" s="157">
        <f t="shared" si="57"/>
        <v>0</v>
      </c>
      <c r="S265" s="158">
        <f t="shared" si="62"/>
        <v>0</v>
      </c>
      <c r="T265" s="158">
        <f t="shared" si="62"/>
        <v>0</v>
      </c>
      <c r="U265" s="158">
        <f t="shared" si="62"/>
        <v>0</v>
      </c>
      <c r="V265" s="158">
        <f t="shared" si="62"/>
        <v>0</v>
      </c>
      <c r="W265" s="158">
        <f t="shared" si="62"/>
        <v>0</v>
      </c>
      <c r="X265" s="158">
        <f t="shared" si="63"/>
        <v>0</v>
      </c>
      <c r="Y265" s="158">
        <f t="shared" si="63"/>
        <v>0</v>
      </c>
      <c r="Z265" s="158">
        <f t="shared" si="63"/>
        <v>0</v>
      </c>
      <c r="AA265" s="158">
        <f t="shared" si="63"/>
        <v>0</v>
      </c>
      <c r="AB265" s="158">
        <f t="shared" si="63"/>
        <v>0</v>
      </c>
      <c r="AC265" s="158">
        <f t="shared" si="63"/>
        <v>0</v>
      </c>
      <c r="AD265" s="158">
        <f t="shared" si="63"/>
        <v>0</v>
      </c>
      <c r="AE265" s="157">
        <f t="shared" si="60"/>
        <v>0</v>
      </c>
    </row>
    <row r="266" spans="1:31" outlineLevel="2">
      <c r="A266" s="135" t="str">
        <f t="shared" si="64"/>
        <v>MurreysROLLOFFRECYRENT40</v>
      </c>
      <c r="B266" s="116" t="s">
        <v>674</v>
      </c>
      <c r="C266" s="116" t="s">
        <v>675</v>
      </c>
      <c r="D266" s="155">
        <v>0</v>
      </c>
      <c r="E266" s="155">
        <v>0</v>
      </c>
      <c r="F266" s="156">
        <v>0</v>
      </c>
      <c r="G266" s="156">
        <v>0</v>
      </c>
      <c r="H266" s="156">
        <v>0</v>
      </c>
      <c r="I266" s="156">
        <v>0</v>
      </c>
      <c r="J266" s="156">
        <v>0</v>
      </c>
      <c r="K266" s="156">
        <v>0</v>
      </c>
      <c r="L266" s="156">
        <v>0</v>
      </c>
      <c r="M266" s="156">
        <v>0</v>
      </c>
      <c r="N266" s="156">
        <v>0</v>
      </c>
      <c r="O266" s="156">
        <v>0</v>
      </c>
      <c r="P266" s="156">
        <v>0</v>
      </c>
      <c r="Q266" s="156">
        <v>0</v>
      </c>
      <c r="R266" s="157">
        <f t="shared" si="57"/>
        <v>0</v>
      </c>
      <c r="S266" s="158">
        <f t="shared" si="62"/>
        <v>0</v>
      </c>
      <c r="T266" s="158">
        <f t="shared" si="62"/>
        <v>0</v>
      </c>
      <c r="U266" s="158">
        <f t="shared" si="62"/>
        <v>0</v>
      </c>
      <c r="V266" s="158">
        <f t="shared" si="62"/>
        <v>0</v>
      </c>
      <c r="W266" s="158">
        <f t="shared" si="62"/>
        <v>0</v>
      </c>
      <c r="X266" s="158">
        <f t="shared" si="63"/>
        <v>0</v>
      </c>
      <c r="Y266" s="158">
        <f t="shared" si="63"/>
        <v>0</v>
      </c>
      <c r="Z266" s="158">
        <f t="shared" si="63"/>
        <v>0</v>
      </c>
      <c r="AA266" s="158">
        <f t="shared" si="63"/>
        <v>0</v>
      </c>
      <c r="AB266" s="158">
        <f t="shared" si="63"/>
        <v>0</v>
      </c>
      <c r="AC266" s="158">
        <f t="shared" si="63"/>
        <v>0</v>
      </c>
      <c r="AD266" s="158">
        <f t="shared" si="63"/>
        <v>0</v>
      </c>
      <c r="AE266" s="157">
        <f t="shared" si="60"/>
        <v>0</v>
      </c>
    </row>
    <row r="267" spans="1:31" outlineLevel="2">
      <c r="A267" s="135" t="str">
        <f t="shared" si="64"/>
        <v>MurreysROLLOFFRECYRENT50</v>
      </c>
      <c r="B267" s="116" t="s">
        <v>676</v>
      </c>
      <c r="C267" s="116" t="s">
        <v>677</v>
      </c>
      <c r="D267" s="155">
        <v>0</v>
      </c>
      <c r="E267" s="155">
        <v>0</v>
      </c>
      <c r="F267" s="156">
        <v>0</v>
      </c>
      <c r="G267" s="156">
        <v>0</v>
      </c>
      <c r="H267" s="156">
        <v>0</v>
      </c>
      <c r="I267" s="156">
        <v>0</v>
      </c>
      <c r="J267" s="156">
        <v>0</v>
      </c>
      <c r="K267" s="156">
        <v>0</v>
      </c>
      <c r="L267" s="156">
        <v>0</v>
      </c>
      <c r="M267" s="156">
        <v>0</v>
      </c>
      <c r="N267" s="156">
        <v>0</v>
      </c>
      <c r="O267" s="156">
        <v>0</v>
      </c>
      <c r="P267" s="156">
        <v>0</v>
      </c>
      <c r="Q267" s="156">
        <v>0</v>
      </c>
      <c r="R267" s="157">
        <f t="shared" si="57"/>
        <v>0</v>
      </c>
      <c r="S267" s="158">
        <f t="shared" si="62"/>
        <v>0</v>
      </c>
      <c r="T267" s="158">
        <f t="shared" si="62"/>
        <v>0</v>
      </c>
      <c r="U267" s="158">
        <f t="shared" si="62"/>
        <v>0</v>
      </c>
      <c r="V267" s="158">
        <f t="shared" si="62"/>
        <v>0</v>
      </c>
      <c r="W267" s="158">
        <f t="shared" si="62"/>
        <v>0</v>
      </c>
      <c r="X267" s="158">
        <f t="shared" si="63"/>
        <v>0</v>
      </c>
      <c r="Y267" s="158">
        <f t="shared" si="63"/>
        <v>0</v>
      </c>
      <c r="Z267" s="158">
        <f t="shared" si="63"/>
        <v>0</v>
      </c>
      <c r="AA267" s="158">
        <f t="shared" si="63"/>
        <v>0</v>
      </c>
      <c r="AB267" s="158">
        <f t="shared" si="63"/>
        <v>0</v>
      </c>
      <c r="AC267" s="158">
        <f t="shared" si="63"/>
        <v>0</v>
      </c>
      <c r="AD267" s="158">
        <f t="shared" si="63"/>
        <v>0</v>
      </c>
      <c r="AE267" s="157">
        <f t="shared" si="60"/>
        <v>0</v>
      </c>
    </row>
    <row r="268" spans="1:31" outlineLevel="2">
      <c r="A268" s="135" t="str">
        <f t="shared" si="64"/>
        <v>MurreysROLLOFFRECYWPROC100</v>
      </c>
      <c r="B268" s="116" t="s">
        <v>678</v>
      </c>
      <c r="C268" s="116" t="s">
        <v>679</v>
      </c>
      <c r="D268" s="155">
        <v>0</v>
      </c>
      <c r="E268" s="155">
        <v>0</v>
      </c>
      <c r="F268" s="156">
        <v>0</v>
      </c>
      <c r="G268" s="156">
        <v>0</v>
      </c>
      <c r="H268" s="156">
        <v>0</v>
      </c>
      <c r="I268" s="156">
        <v>0</v>
      </c>
      <c r="J268" s="156">
        <v>0</v>
      </c>
      <c r="K268" s="156">
        <v>0</v>
      </c>
      <c r="L268" s="156">
        <v>0</v>
      </c>
      <c r="M268" s="156">
        <v>0</v>
      </c>
      <c r="N268" s="156">
        <v>0</v>
      </c>
      <c r="O268" s="156">
        <v>0</v>
      </c>
      <c r="P268" s="156">
        <v>0</v>
      </c>
      <c r="Q268" s="156">
        <v>0</v>
      </c>
      <c r="R268" s="157">
        <f t="shared" si="57"/>
        <v>0</v>
      </c>
      <c r="S268" s="158">
        <f t="shared" si="62"/>
        <v>0</v>
      </c>
      <c r="T268" s="158">
        <f t="shared" si="62"/>
        <v>0</v>
      </c>
      <c r="U268" s="158">
        <f t="shared" si="62"/>
        <v>0</v>
      </c>
      <c r="V268" s="158">
        <f t="shared" si="62"/>
        <v>0</v>
      </c>
      <c r="W268" s="158">
        <f t="shared" si="62"/>
        <v>0</v>
      </c>
      <c r="X268" s="158">
        <f t="shared" si="63"/>
        <v>0</v>
      </c>
      <c r="Y268" s="158">
        <f t="shared" si="63"/>
        <v>0</v>
      </c>
      <c r="Z268" s="158">
        <f t="shared" si="63"/>
        <v>0</v>
      </c>
      <c r="AA268" s="158">
        <f t="shared" si="63"/>
        <v>0</v>
      </c>
      <c r="AB268" s="158">
        <f t="shared" si="63"/>
        <v>0</v>
      </c>
      <c r="AC268" s="158">
        <f t="shared" si="63"/>
        <v>0</v>
      </c>
      <c r="AD268" s="158">
        <f t="shared" si="63"/>
        <v>0</v>
      </c>
      <c r="AE268" s="157">
        <f t="shared" si="60"/>
        <v>0</v>
      </c>
    </row>
    <row r="269" spans="1:31" outlineLevel="2">
      <c r="A269" s="135" t="str">
        <f t="shared" si="64"/>
        <v>MurreysROLLOFFRECYWPROC100N</v>
      </c>
      <c r="B269" s="116" t="s">
        <v>680</v>
      </c>
      <c r="C269" s="116" t="s">
        <v>679</v>
      </c>
      <c r="D269" s="155">
        <v>0</v>
      </c>
      <c r="E269" s="155">
        <v>0</v>
      </c>
      <c r="F269" s="156">
        <v>0</v>
      </c>
      <c r="G269" s="156">
        <v>0</v>
      </c>
      <c r="H269" s="156">
        <v>0</v>
      </c>
      <c r="I269" s="156">
        <v>0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56">
        <v>0</v>
      </c>
      <c r="Q269" s="156">
        <v>0</v>
      </c>
      <c r="R269" s="157">
        <f t="shared" si="57"/>
        <v>0</v>
      </c>
      <c r="S269" s="158">
        <f t="shared" si="62"/>
        <v>0</v>
      </c>
      <c r="T269" s="158">
        <f t="shared" si="62"/>
        <v>0</v>
      </c>
      <c r="U269" s="158">
        <f t="shared" si="62"/>
        <v>0</v>
      </c>
      <c r="V269" s="158">
        <f t="shared" si="62"/>
        <v>0</v>
      </c>
      <c r="W269" s="158">
        <f t="shared" si="62"/>
        <v>0</v>
      </c>
      <c r="X269" s="158">
        <f t="shared" si="63"/>
        <v>0</v>
      </c>
      <c r="Y269" s="158">
        <f t="shared" si="63"/>
        <v>0</v>
      </c>
      <c r="Z269" s="158">
        <f t="shared" si="63"/>
        <v>0</v>
      </c>
      <c r="AA269" s="158">
        <f t="shared" si="63"/>
        <v>0</v>
      </c>
      <c r="AB269" s="158">
        <f t="shared" si="63"/>
        <v>0</v>
      </c>
      <c r="AC269" s="158">
        <f t="shared" si="63"/>
        <v>0</v>
      </c>
      <c r="AD269" s="158">
        <f t="shared" si="63"/>
        <v>0</v>
      </c>
      <c r="AE269" s="157">
        <f t="shared" si="60"/>
        <v>0</v>
      </c>
    </row>
    <row r="270" spans="1:31" outlineLevel="2">
      <c r="A270" s="135" t="str">
        <f t="shared" si="64"/>
        <v>MurreysROLLOFFRECYWPROC100D</v>
      </c>
      <c r="B270" s="116" t="s">
        <v>681</v>
      </c>
      <c r="C270" s="116" t="s">
        <v>679</v>
      </c>
      <c r="D270" s="155">
        <v>0</v>
      </c>
      <c r="E270" s="155">
        <v>0</v>
      </c>
      <c r="F270" s="156">
        <v>0</v>
      </c>
      <c r="G270" s="156">
        <v>0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56">
        <v>0</v>
      </c>
      <c r="Q270" s="156">
        <v>0</v>
      </c>
      <c r="R270" s="157">
        <f t="shared" si="57"/>
        <v>0</v>
      </c>
      <c r="S270" s="158">
        <f t="shared" si="62"/>
        <v>0</v>
      </c>
      <c r="T270" s="158">
        <f t="shared" si="62"/>
        <v>0</v>
      </c>
      <c r="U270" s="158">
        <f t="shared" si="62"/>
        <v>0</v>
      </c>
      <c r="V270" s="158">
        <f t="shared" si="62"/>
        <v>0</v>
      </c>
      <c r="W270" s="158">
        <f t="shared" si="62"/>
        <v>0</v>
      </c>
      <c r="X270" s="158">
        <f t="shared" si="63"/>
        <v>0</v>
      </c>
      <c r="Y270" s="158">
        <f t="shared" si="63"/>
        <v>0</v>
      </c>
      <c r="Z270" s="158">
        <f t="shared" si="63"/>
        <v>0</v>
      </c>
      <c r="AA270" s="158">
        <f t="shared" si="63"/>
        <v>0</v>
      </c>
      <c r="AB270" s="158">
        <f t="shared" si="63"/>
        <v>0</v>
      </c>
      <c r="AC270" s="158">
        <f t="shared" si="63"/>
        <v>0</v>
      </c>
      <c r="AD270" s="158">
        <f t="shared" si="63"/>
        <v>0</v>
      </c>
      <c r="AE270" s="157">
        <f t="shared" si="60"/>
        <v>0</v>
      </c>
    </row>
    <row r="271" spans="1:31" outlineLevel="2">
      <c r="A271" s="135" t="str">
        <f t="shared" si="64"/>
        <v>MurreysROLLOFFRECYWPROC20</v>
      </c>
      <c r="B271" s="116" t="s">
        <v>682</v>
      </c>
      <c r="C271" s="116" t="s">
        <v>683</v>
      </c>
      <c r="D271" s="155">
        <v>0</v>
      </c>
      <c r="E271" s="155">
        <v>0</v>
      </c>
      <c r="F271" s="156">
        <v>0</v>
      </c>
      <c r="G271" s="156">
        <v>0</v>
      </c>
      <c r="H271" s="156">
        <v>0</v>
      </c>
      <c r="I271" s="156">
        <v>0</v>
      </c>
      <c r="J271" s="156">
        <v>0</v>
      </c>
      <c r="K271" s="156">
        <v>0</v>
      </c>
      <c r="L271" s="156">
        <v>0</v>
      </c>
      <c r="M271" s="156">
        <v>0</v>
      </c>
      <c r="N271" s="156">
        <v>0</v>
      </c>
      <c r="O271" s="156">
        <v>0</v>
      </c>
      <c r="P271" s="156">
        <v>0</v>
      </c>
      <c r="Q271" s="156">
        <v>0</v>
      </c>
      <c r="R271" s="157">
        <f t="shared" si="57"/>
        <v>0</v>
      </c>
      <c r="S271" s="158">
        <f t="shared" si="62"/>
        <v>0</v>
      </c>
      <c r="T271" s="158">
        <f t="shared" si="62"/>
        <v>0</v>
      </c>
      <c r="U271" s="158">
        <f t="shared" si="62"/>
        <v>0</v>
      </c>
      <c r="V271" s="158">
        <f t="shared" si="62"/>
        <v>0</v>
      </c>
      <c r="W271" s="158">
        <f t="shared" si="62"/>
        <v>0</v>
      </c>
      <c r="X271" s="158">
        <f t="shared" si="63"/>
        <v>0</v>
      </c>
      <c r="Y271" s="158">
        <f t="shared" si="63"/>
        <v>0</v>
      </c>
      <c r="Z271" s="158">
        <f t="shared" si="63"/>
        <v>0</v>
      </c>
      <c r="AA271" s="158">
        <f t="shared" si="63"/>
        <v>0</v>
      </c>
      <c r="AB271" s="158">
        <f t="shared" si="63"/>
        <v>0</v>
      </c>
      <c r="AC271" s="158">
        <f t="shared" si="63"/>
        <v>0</v>
      </c>
      <c r="AD271" s="158">
        <f t="shared" si="63"/>
        <v>0</v>
      </c>
      <c r="AE271" s="157">
        <f t="shared" si="60"/>
        <v>0</v>
      </c>
    </row>
    <row r="272" spans="1:31" outlineLevel="2">
      <c r="A272" s="135" t="str">
        <f t="shared" si="64"/>
        <v>MurreysROLLOFFRECYWPROC25</v>
      </c>
      <c r="B272" s="116" t="s">
        <v>684</v>
      </c>
      <c r="C272" s="116" t="s">
        <v>685</v>
      </c>
      <c r="D272" s="155">
        <v>0</v>
      </c>
      <c r="E272" s="155">
        <v>0</v>
      </c>
      <c r="F272" s="156">
        <v>0</v>
      </c>
      <c r="G272" s="156">
        <v>0</v>
      </c>
      <c r="H272" s="156">
        <v>0</v>
      </c>
      <c r="I272" s="156">
        <v>0</v>
      </c>
      <c r="J272" s="156">
        <v>0</v>
      </c>
      <c r="K272" s="156">
        <v>0</v>
      </c>
      <c r="L272" s="156">
        <v>0</v>
      </c>
      <c r="M272" s="156">
        <v>0</v>
      </c>
      <c r="N272" s="156">
        <v>0</v>
      </c>
      <c r="O272" s="156">
        <v>0</v>
      </c>
      <c r="P272" s="156">
        <v>0</v>
      </c>
      <c r="Q272" s="156">
        <v>0</v>
      </c>
      <c r="R272" s="157">
        <f t="shared" si="57"/>
        <v>0</v>
      </c>
      <c r="S272" s="158">
        <f t="shared" si="62"/>
        <v>0</v>
      </c>
      <c r="T272" s="158">
        <f t="shared" si="62"/>
        <v>0</v>
      </c>
      <c r="U272" s="158">
        <f t="shared" si="62"/>
        <v>0</v>
      </c>
      <c r="V272" s="158">
        <f t="shared" si="62"/>
        <v>0</v>
      </c>
      <c r="W272" s="158">
        <f t="shared" si="62"/>
        <v>0</v>
      </c>
      <c r="X272" s="158">
        <f t="shared" si="63"/>
        <v>0</v>
      </c>
      <c r="Y272" s="158">
        <f t="shared" si="63"/>
        <v>0</v>
      </c>
      <c r="Z272" s="158">
        <f t="shared" si="63"/>
        <v>0</v>
      </c>
      <c r="AA272" s="158">
        <f t="shared" si="63"/>
        <v>0</v>
      </c>
      <c r="AB272" s="158">
        <f t="shared" si="63"/>
        <v>0</v>
      </c>
      <c r="AC272" s="158">
        <f t="shared" si="63"/>
        <v>0</v>
      </c>
      <c r="AD272" s="158">
        <f t="shared" si="63"/>
        <v>0</v>
      </c>
      <c r="AE272" s="157">
        <f t="shared" si="60"/>
        <v>0</v>
      </c>
    </row>
    <row r="273" spans="1:31" outlineLevel="2">
      <c r="A273" s="135" t="str">
        <f t="shared" si="64"/>
        <v>MurreysROLLOFFRECYWPROC30</v>
      </c>
      <c r="B273" s="116" t="s">
        <v>686</v>
      </c>
      <c r="C273" s="116" t="s">
        <v>687</v>
      </c>
      <c r="D273" s="155">
        <v>0</v>
      </c>
      <c r="E273" s="155">
        <v>0</v>
      </c>
      <c r="F273" s="156">
        <v>0</v>
      </c>
      <c r="G273" s="156">
        <v>0</v>
      </c>
      <c r="H273" s="156">
        <v>0</v>
      </c>
      <c r="I273" s="156">
        <v>0</v>
      </c>
      <c r="J273" s="156">
        <v>0</v>
      </c>
      <c r="K273" s="156">
        <v>0</v>
      </c>
      <c r="L273" s="156">
        <v>0</v>
      </c>
      <c r="M273" s="156">
        <v>0</v>
      </c>
      <c r="N273" s="156">
        <v>0</v>
      </c>
      <c r="O273" s="156">
        <v>0</v>
      </c>
      <c r="P273" s="156">
        <v>0</v>
      </c>
      <c r="Q273" s="156">
        <v>0</v>
      </c>
      <c r="R273" s="157">
        <f t="shared" si="57"/>
        <v>0</v>
      </c>
      <c r="S273" s="158">
        <f t="shared" si="62"/>
        <v>0</v>
      </c>
      <c r="T273" s="158">
        <f t="shared" si="62"/>
        <v>0</v>
      </c>
      <c r="U273" s="158">
        <f t="shared" si="62"/>
        <v>0</v>
      </c>
      <c r="V273" s="158">
        <f t="shared" si="62"/>
        <v>0</v>
      </c>
      <c r="W273" s="158">
        <f t="shared" si="62"/>
        <v>0</v>
      </c>
      <c r="X273" s="158">
        <f t="shared" si="63"/>
        <v>0</v>
      </c>
      <c r="Y273" s="158">
        <f t="shared" si="63"/>
        <v>0</v>
      </c>
      <c r="Z273" s="158">
        <f t="shared" si="63"/>
        <v>0</v>
      </c>
      <c r="AA273" s="158">
        <f t="shared" ref="AA273:AD299" si="65">+IFERROR(N273/$E273,0)</f>
        <v>0</v>
      </c>
      <c r="AB273" s="158">
        <f t="shared" si="65"/>
        <v>0</v>
      </c>
      <c r="AC273" s="158">
        <f t="shared" si="65"/>
        <v>0</v>
      </c>
      <c r="AD273" s="158">
        <f t="shared" si="65"/>
        <v>0</v>
      </c>
      <c r="AE273" s="157">
        <f t="shared" si="60"/>
        <v>0</v>
      </c>
    </row>
    <row r="274" spans="1:31" outlineLevel="2">
      <c r="A274" s="135" t="str">
        <f t="shared" si="64"/>
        <v>MurreysROLLOFFRECYWPROC40</v>
      </c>
      <c r="B274" s="116" t="s">
        <v>688</v>
      </c>
      <c r="C274" s="116" t="s">
        <v>689</v>
      </c>
      <c r="D274" s="155">
        <v>0</v>
      </c>
      <c r="E274" s="155">
        <v>0</v>
      </c>
      <c r="F274" s="156">
        <v>0</v>
      </c>
      <c r="G274" s="156">
        <v>0</v>
      </c>
      <c r="H274" s="156">
        <v>0</v>
      </c>
      <c r="I274" s="156">
        <v>0</v>
      </c>
      <c r="J274" s="156">
        <v>0</v>
      </c>
      <c r="K274" s="156">
        <v>0</v>
      </c>
      <c r="L274" s="156">
        <v>0</v>
      </c>
      <c r="M274" s="156">
        <v>0</v>
      </c>
      <c r="N274" s="156">
        <v>0</v>
      </c>
      <c r="O274" s="156">
        <v>0</v>
      </c>
      <c r="P274" s="156">
        <v>0</v>
      </c>
      <c r="Q274" s="156">
        <v>0</v>
      </c>
      <c r="R274" s="157">
        <f t="shared" si="57"/>
        <v>0</v>
      </c>
      <c r="S274" s="158">
        <f t="shared" si="62"/>
        <v>0</v>
      </c>
      <c r="T274" s="158">
        <f t="shared" si="62"/>
        <v>0</v>
      </c>
      <c r="U274" s="158">
        <f t="shared" si="62"/>
        <v>0</v>
      </c>
      <c r="V274" s="158">
        <f t="shared" si="62"/>
        <v>0</v>
      </c>
      <c r="W274" s="158">
        <f t="shared" si="62"/>
        <v>0</v>
      </c>
      <c r="X274" s="158">
        <f t="shared" ref="X274:Z299" si="66">+IFERROR(K274/$E274,0)</f>
        <v>0</v>
      </c>
      <c r="Y274" s="158">
        <f t="shared" si="66"/>
        <v>0</v>
      </c>
      <c r="Z274" s="158">
        <f t="shared" si="66"/>
        <v>0</v>
      </c>
      <c r="AA274" s="158">
        <f t="shared" si="65"/>
        <v>0</v>
      </c>
      <c r="AB274" s="158">
        <f t="shared" si="65"/>
        <v>0</v>
      </c>
      <c r="AC274" s="158">
        <f t="shared" si="65"/>
        <v>0</v>
      </c>
      <c r="AD274" s="158">
        <f t="shared" si="65"/>
        <v>0</v>
      </c>
      <c r="AE274" s="157">
        <f t="shared" si="60"/>
        <v>0</v>
      </c>
    </row>
    <row r="275" spans="1:31" outlineLevel="2">
      <c r="A275" s="135" t="str">
        <f t="shared" si="64"/>
        <v>MurreysROLLOFFRECYWPROC50</v>
      </c>
      <c r="B275" s="116" t="s">
        <v>690</v>
      </c>
      <c r="C275" s="116" t="s">
        <v>691</v>
      </c>
      <c r="D275" s="155">
        <v>0</v>
      </c>
      <c r="E275" s="155">
        <v>0</v>
      </c>
      <c r="F275" s="156">
        <v>0</v>
      </c>
      <c r="G275" s="156">
        <v>0</v>
      </c>
      <c r="H275" s="156">
        <v>0</v>
      </c>
      <c r="I275" s="156">
        <v>0</v>
      </c>
      <c r="J275" s="156">
        <v>0</v>
      </c>
      <c r="K275" s="156">
        <v>0</v>
      </c>
      <c r="L275" s="156">
        <v>0</v>
      </c>
      <c r="M275" s="156">
        <v>0</v>
      </c>
      <c r="N275" s="156">
        <v>0</v>
      </c>
      <c r="O275" s="156">
        <v>0</v>
      </c>
      <c r="P275" s="156">
        <v>0</v>
      </c>
      <c r="Q275" s="156">
        <v>0</v>
      </c>
      <c r="R275" s="157">
        <f t="shared" si="57"/>
        <v>0</v>
      </c>
      <c r="S275" s="158">
        <f t="shared" si="62"/>
        <v>0</v>
      </c>
      <c r="T275" s="158">
        <f t="shared" si="62"/>
        <v>0</v>
      </c>
      <c r="U275" s="158">
        <f t="shared" si="62"/>
        <v>0</v>
      </c>
      <c r="V275" s="158">
        <f t="shared" si="62"/>
        <v>0</v>
      </c>
      <c r="W275" s="158">
        <f t="shared" si="62"/>
        <v>0</v>
      </c>
      <c r="X275" s="158">
        <f t="shared" si="66"/>
        <v>0</v>
      </c>
      <c r="Y275" s="158">
        <f t="shared" si="66"/>
        <v>0</v>
      </c>
      <c r="Z275" s="158">
        <f t="shared" si="66"/>
        <v>0</v>
      </c>
      <c r="AA275" s="158">
        <f t="shared" si="65"/>
        <v>0</v>
      </c>
      <c r="AB275" s="158">
        <f t="shared" si="65"/>
        <v>0</v>
      </c>
      <c r="AC275" s="158">
        <f t="shared" si="65"/>
        <v>0</v>
      </c>
      <c r="AD275" s="158">
        <f t="shared" si="65"/>
        <v>0</v>
      </c>
      <c r="AE275" s="157">
        <f t="shared" si="60"/>
        <v>0</v>
      </c>
    </row>
    <row r="276" spans="1:31" outlineLevel="2">
      <c r="A276" s="135" t="str">
        <f t="shared" si="64"/>
        <v>MurreysROLLOFFRECYWPROCASB</v>
      </c>
      <c r="B276" s="116" t="s">
        <v>692</v>
      </c>
      <c r="C276" s="116" t="s">
        <v>693</v>
      </c>
      <c r="D276" s="155">
        <v>0</v>
      </c>
      <c r="E276" s="155">
        <v>0</v>
      </c>
      <c r="F276" s="156">
        <v>0</v>
      </c>
      <c r="G276" s="156">
        <v>0</v>
      </c>
      <c r="H276" s="156">
        <v>0</v>
      </c>
      <c r="I276" s="156">
        <v>0</v>
      </c>
      <c r="J276" s="156">
        <v>0</v>
      </c>
      <c r="K276" s="156">
        <v>0</v>
      </c>
      <c r="L276" s="156">
        <v>0</v>
      </c>
      <c r="M276" s="156">
        <v>0</v>
      </c>
      <c r="N276" s="156">
        <v>0</v>
      </c>
      <c r="O276" s="156">
        <v>0</v>
      </c>
      <c r="P276" s="156">
        <v>0</v>
      </c>
      <c r="Q276" s="156">
        <v>0</v>
      </c>
      <c r="R276" s="157">
        <f t="shared" si="57"/>
        <v>0</v>
      </c>
      <c r="S276" s="158">
        <f t="shared" si="62"/>
        <v>0</v>
      </c>
      <c r="T276" s="158">
        <f t="shared" si="62"/>
        <v>0</v>
      </c>
      <c r="U276" s="158">
        <f t="shared" si="62"/>
        <v>0</v>
      </c>
      <c r="V276" s="158">
        <f t="shared" si="62"/>
        <v>0</v>
      </c>
      <c r="W276" s="158">
        <f t="shared" si="62"/>
        <v>0</v>
      </c>
      <c r="X276" s="158">
        <f t="shared" si="66"/>
        <v>0</v>
      </c>
      <c r="Y276" s="158">
        <f t="shared" si="66"/>
        <v>0</v>
      </c>
      <c r="Z276" s="158">
        <f t="shared" si="66"/>
        <v>0</v>
      </c>
      <c r="AA276" s="158">
        <f t="shared" si="65"/>
        <v>0</v>
      </c>
      <c r="AB276" s="158">
        <f t="shared" si="65"/>
        <v>0</v>
      </c>
      <c r="AC276" s="158">
        <f t="shared" si="65"/>
        <v>0</v>
      </c>
      <c r="AD276" s="158">
        <f t="shared" si="65"/>
        <v>0</v>
      </c>
      <c r="AE276" s="157">
        <f t="shared" si="60"/>
        <v>0</v>
      </c>
    </row>
    <row r="277" spans="1:31" outlineLevel="2">
      <c r="A277" s="135" t="str">
        <f t="shared" si="64"/>
        <v>MurreysROLLOFFRECYWPROCSD</v>
      </c>
      <c r="B277" s="116" t="s">
        <v>694</v>
      </c>
      <c r="C277" s="116" t="s">
        <v>695</v>
      </c>
      <c r="D277" s="155">
        <v>0</v>
      </c>
      <c r="E277" s="155">
        <v>0</v>
      </c>
      <c r="F277" s="156">
        <v>0</v>
      </c>
      <c r="G277" s="156">
        <v>0</v>
      </c>
      <c r="H277" s="156">
        <v>0</v>
      </c>
      <c r="I277" s="156">
        <v>0</v>
      </c>
      <c r="J277" s="156">
        <v>0</v>
      </c>
      <c r="K277" s="156">
        <v>0</v>
      </c>
      <c r="L277" s="156">
        <v>0</v>
      </c>
      <c r="M277" s="156">
        <v>0</v>
      </c>
      <c r="N277" s="156">
        <v>0</v>
      </c>
      <c r="O277" s="156">
        <v>0</v>
      </c>
      <c r="P277" s="156">
        <v>0</v>
      </c>
      <c r="Q277" s="156">
        <v>0</v>
      </c>
      <c r="R277" s="157">
        <f t="shared" si="57"/>
        <v>0</v>
      </c>
      <c r="S277" s="158">
        <f t="shared" si="62"/>
        <v>0</v>
      </c>
      <c r="T277" s="158">
        <f t="shared" si="62"/>
        <v>0</v>
      </c>
      <c r="U277" s="158">
        <f t="shared" si="62"/>
        <v>0</v>
      </c>
      <c r="V277" s="158">
        <f t="shared" si="62"/>
        <v>0</v>
      </c>
      <c r="W277" s="158">
        <f t="shared" si="62"/>
        <v>0</v>
      </c>
      <c r="X277" s="158">
        <f t="shared" si="66"/>
        <v>0</v>
      </c>
      <c r="Y277" s="158">
        <f t="shared" si="66"/>
        <v>0</v>
      </c>
      <c r="Z277" s="158">
        <f t="shared" si="66"/>
        <v>0</v>
      </c>
      <c r="AA277" s="158">
        <f t="shared" si="65"/>
        <v>0</v>
      </c>
      <c r="AB277" s="158">
        <f t="shared" si="65"/>
        <v>0</v>
      </c>
      <c r="AC277" s="158">
        <f t="shared" si="65"/>
        <v>0</v>
      </c>
      <c r="AD277" s="158">
        <f t="shared" si="65"/>
        <v>0</v>
      </c>
      <c r="AE277" s="157">
        <f t="shared" si="60"/>
        <v>0</v>
      </c>
    </row>
    <row r="278" spans="1:31" outlineLevel="2">
      <c r="A278" s="135" t="str">
        <f t="shared" si="64"/>
        <v>MurreysROLLOFFRORHAULHR12</v>
      </c>
      <c r="B278" s="116" t="s">
        <v>696</v>
      </c>
      <c r="C278" s="116" t="s">
        <v>697</v>
      </c>
      <c r="D278" s="155">
        <v>0</v>
      </c>
      <c r="E278" s="155">
        <v>0</v>
      </c>
      <c r="F278" s="156">
        <v>0</v>
      </c>
      <c r="G278" s="156">
        <v>0</v>
      </c>
      <c r="H278" s="156">
        <v>0</v>
      </c>
      <c r="I278" s="156">
        <v>0</v>
      </c>
      <c r="J278" s="156">
        <v>0</v>
      </c>
      <c r="K278" s="156">
        <v>0</v>
      </c>
      <c r="L278" s="156">
        <v>0</v>
      </c>
      <c r="M278" s="156">
        <v>0</v>
      </c>
      <c r="N278" s="156">
        <v>0</v>
      </c>
      <c r="O278" s="156">
        <v>0</v>
      </c>
      <c r="P278" s="156">
        <v>0</v>
      </c>
      <c r="Q278" s="156">
        <v>0</v>
      </c>
      <c r="R278" s="157">
        <f t="shared" si="57"/>
        <v>0</v>
      </c>
      <c r="S278" s="158">
        <f t="shared" si="62"/>
        <v>0</v>
      </c>
      <c r="T278" s="158">
        <f t="shared" si="62"/>
        <v>0</v>
      </c>
      <c r="U278" s="158">
        <f t="shared" si="62"/>
        <v>0</v>
      </c>
      <c r="V278" s="158">
        <f t="shared" si="62"/>
        <v>0</v>
      </c>
      <c r="W278" s="158">
        <f t="shared" si="62"/>
        <v>0</v>
      </c>
      <c r="X278" s="158">
        <f t="shared" si="66"/>
        <v>0</v>
      </c>
      <c r="Y278" s="158">
        <f t="shared" si="66"/>
        <v>0</v>
      </c>
      <c r="Z278" s="158">
        <f t="shared" si="66"/>
        <v>0</v>
      </c>
      <c r="AA278" s="158">
        <f t="shared" si="65"/>
        <v>0</v>
      </c>
      <c r="AB278" s="158">
        <f t="shared" si="65"/>
        <v>0</v>
      </c>
      <c r="AC278" s="158">
        <f t="shared" si="65"/>
        <v>0</v>
      </c>
      <c r="AD278" s="158">
        <f t="shared" si="65"/>
        <v>0</v>
      </c>
      <c r="AE278" s="157">
        <f t="shared" si="60"/>
        <v>0</v>
      </c>
    </row>
    <row r="279" spans="1:31" outlineLevel="2">
      <c r="A279" s="135" t="str">
        <f t="shared" si="64"/>
        <v>MurreysROLLOFFRORHAULHR15</v>
      </c>
      <c r="B279" s="116" t="s">
        <v>698</v>
      </c>
      <c r="C279" s="116" t="s">
        <v>699</v>
      </c>
      <c r="D279" s="155">
        <v>0</v>
      </c>
      <c r="E279" s="155">
        <v>0</v>
      </c>
      <c r="F279" s="156">
        <v>0</v>
      </c>
      <c r="G279" s="156">
        <v>0</v>
      </c>
      <c r="H279" s="156">
        <v>0</v>
      </c>
      <c r="I279" s="156">
        <v>0</v>
      </c>
      <c r="J279" s="156">
        <v>0</v>
      </c>
      <c r="K279" s="156">
        <v>0</v>
      </c>
      <c r="L279" s="156">
        <v>0</v>
      </c>
      <c r="M279" s="156">
        <v>0</v>
      </c>
      <c r="N279" s="156">
        <v>0</v>
      </c>
      <c r="O279" s="156">
        <v>0</v>
      </c>
      <c r="P279" s="156">
        <v>0</v>
      </c>
      <c r="Q279" s="156">
        <v>0</v>
      </c>
      <c r="R279" s="157">
        <f t="shared" si="57"/>
        <v>0</v>
      </c>
      <c r="S279" s="158">
        <f t="shared" si="62"/>
        <v>0</v>
      </c>
      <c r="T279" s="158">
        <f t="shared" si="62"/>
        <v>0</v>
      </c>
      <c r="U279" s="158">
        <f t="shared" si="62"/>
        <v>0</v>
      </c>
      <c r="V279" s="158">
        <f t="shared" si="62"/>
        <v>0</v>
      </c>
      <c r="W279" s="158">
        <f t="shared" si="62"/>
        <v>0</v>
      </c>
      <c r="X279" s="158">
        <f t="shared" si="66"/>
        <v>0</v>
      </c>
      <c r="Y279" s="158">
        <f t="shared" si="66"/>
        <v>0</v>
      </c>
      <c r="Z279" s="158">
        <f t="shared" si="66"/>
        <v>0</v>
      </c>
      <c r="AA279" s="158">
        <f t="shared" si="65"/>
        <v>0</v>
      </c>
      <c r="AB279" s="158">
        <f t="shared" si="65"/>
        <v>0</v>
      </c>
      <c r="AC279" s="158">
        <f t="shared" si="65"/>
        <v>0</v>
      </c>
      <c r="AD279" s="158">
        <f t="shared" si="65"/>
        <v>0</v>
      </c>
      <c r="AE279" s="157">
        <f t="shared" si="60"/>
        <v>0</v>
      </c>
    </row>
    <row r="280" spans="1:31" outlineLevel="2">
      <c r="A280" s="135" t="str">
        <f t="shared" si="64"/>
        <v>MurreysROLLOFFRORHAULHR20</v>
      </c>
      <c r="B280" s="116" t="s">
        <v>700</v>
      </c>
      <c r="C280" s="116" t="s">
        <v>701</v>
      </c>
      <c r="D280" s="155">
        <v>0</v>
      </c>
      <c r="E280" s="155">
        <v>0</v>
      </c>
      <c r="F280" s="156">
        <v>0</v>
      </c>
      <c r="G280" s="156">
        <v>0</v>
      </c>
      <c r="H280" s="156">
        <v>0</v>
      </c>
      <c r="I280" s="156">
        <v>0</v>
      </c>
      <c r="J280" s="156">
        <v>0</v>
      </c>
      <c r="K280" s="156">
        <v>0</v>
      </c>
      <c r="L280" s="156">
        <v>0</v>
      </c>
      <c r="M280" s="156">
        <v>0</v>
      </c>
      <c r="N280" s="156">
        <v>0</v>
      </c>
      <c r="O280" s="156">
        <v>0</v>
      </c>
      <c r="P280" s="156">
        <v>0</v>
      </c>
      <c r="Q280" s="156">
        <v>0</v>
      </c>
      <c r="R280" s="157">
        <f t="shared" si="57"/>
        <v>0</v>
      </c>
      <c r="S280" s="158">
        <f t="shared" si="62"/>
        <v>0</v>
      </c>
      <c r="T280" s="158">
        <f t="shared" si="62"/>
        <v>0</v>
      </c>
      <c r="U280" s="158">
        <f t="shared" si="62"/>
        <v>0</v>
      </c>
      <c r="V280" s="158">
        <f t="shared" si="62"/>
        <v>0</v>
      </c>
      <c r="W280" s="158">
        <f t="shared" si="62"/>
        <v>0</v>
      </c>
      <c r="X280" s="158">
        <f t="shared" si="66"/>
        <v>0</v>
      </c>
      <c r="Y280" s="158">
        <f t="shared" si="66"/>
        <v>0</v>
      </c>
      <c r="Z280" s="158">
        <f t="shared" si="66"/>
        <v>0</v>
      </c>
      <c r="AA280" s="158">
        <f t="shared" si="65"/>
        <v>0</v>
      </c>
      <c r="AB280" s="158">
        <f t="shared" si="65"/>
        <v>0</v>
      </c>
      <c r="AC280" s="158">
        <f t="shared" si="65"/>
        <v>0</v>
      </c>
      <c r="AD280" s="158">
        <f t="shared" si="65"/>
        <v>0</v>
      </c>
      <c r="AE280" s="157">
        <f t="shared" si="60"/>
        <v>0</v>
      </c>
    </row>
    <row r="281" spans="1:31" outlineLevel="2">
      <c r="A281" s="135" t="str">
        <f t="shared" si="64"/>
        <v>MurreysROLLOFFRORHAULHR25</v>
      </c>
      <c r="B281" s="116" t="s">
        <v>702</v>
      </c>
      <c r="C281" s="116" t="s">
        <v>703</v>
      </c>
      <c r="D281" s="155">
        <v>0</v>
      </c>
      <c r="E281" s="155">
        <v>0</v>
      </c>
      <c r="F281" s="156">
        <v>0</v>
      </c>
      <c r="G281" s="156">
        <v>0</v>
      </c>
      <c r="H281" s="156">
        <v>0</v>
      </c>
      <c r="I281" s="156">
        <v>0</v>
      </c>
      <c r="J281" s="156">
        <v>0</v>
      </c>
      <c r="K281" s="156">
        <v>0</v>
      </c>
      <c r="L281" s="156">
        <v>0</v>
      </c>
      <c r="M281" s="156">
        <v>0</v>
      </c>
      <c r="N281" s="156">
        <v>0</v>
      </c>
      <c r="O281" s="156">
        <v>0</v>
      </c>
      <c r="P281" s="156">
        <v>0</v>
      </c>
      <c r="Q281" s="156">
        <v>0</v>
      </c>
      <c r="R281" s="157">
        <f t="shared" si="57"/>
        <v>0</v>
      </c>
      <c r="S281" s="158">
        <f t="shared" si="62"/>
        <v>0</v>
      </c>
      <c r="T281" s="158">
        <f t="shared" si="62"/>
        <v>0</v>
      </c>
      <c r="U281" s="158">
        <f t="shared" si="62"/>
        <v>0</v>
      </c>
      <c r="V281" s="158">
        <f t="shared" si="62"/>
        <v>0</v>
      </c>
      <c r="W281" s="158">
        <f t="shared" si="62"/>
        <v>0</v>
      </c>
      <c r="X281" s="158">
        <f t="shared" si="66"/>
        <v>0</v>
      </c>
      <c r="Y281" s="158">
        <f t="shared" si="66"/>
        <v>0</v>
      </c>
      <c r="Z281" s="158">
        <f t="shared" si="66"/>
        <v>0</v>
      </c>
      <c r="AA281" s="158">
        <f t="shared" si="65"/>
        <v>0</v>
      </c>
      <c r="AB281" s="158">
        <f t="shared" si="65"/>
        <v>0</v>
      </c>
      <c r="AC281" s="158">
        <f t="shared" si="65"/>
        <v>0</v>
      </c>
      <c r="AD281" s="158">
        <f t="shared" si="65"/>
        <v>0</v>
      </c>
      <c r="AE281" s="157">
        <f t="shared" si="60"/>
        <v>0</v>
      </c>
    </row>
    <row r="282" spans="1:31" outlineLevel="2">
      <c r="A282" s="135" t="str">
        <f t="shared" si="64"/>
        <v>MurreysROLLOFFRORHAULHR30</v>
      </c>
      <c r="B282" s="116" t="s">
        <v>704</v>
      </c>
      <c r="C282" s="116" t="s">
        <v>705</v>
      </c>
      <c r="D282" s="155">
        <v>0</v>
      </c>
      <c r="E282" s="155">
        <v>0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56">
        <v>0</v>
      </c>
      <c r="Q282" s="156">
        <v>0</v>
      </c>
      <c r="R282" s="157">
        <f t="shared" si="57"/>
        <v>0</v>
      </c>
      <c r="S282" s="158">
        <f t="shared" si="62"/>
        <v>0</v>
      </c>
      <c r="T282" s="158">
        <f t="shared" si="62"/>
        <v>0</v>
      </c>
      <c r="U282" s="158">
        <f t="shared" si="62"/>
        <v>0</v>
      </c>
      <c r="V282" s="158">
        <f t="shared" si="62"/>
        <v>0</v>
      </c>
      <c r="W282" s="158">
        <f t="shared" si="62"/>
        <v>0</v>
      </c>
      <c r="X282" s="158">
        <f t="shared" si="66"/>
        <v>0</v>
      </c>
      <c r="Y282" s="158">
        <f t="shared" si="66"/>
        <v>0</v>
      </c>
      <c r="Z282" s="158">
        <f t="shared" si="66"/>
        <v>0</v>
      </c>
      <c r="AA282" s="158">
        <f t="shared" si="65"/>
        <v>0</v>
      </c>
      <c r="AB282" s="158">
        <f t="shared" si="65"/>
        <v>0</v>
      </c>
      <c r="AC282" s="158">
        <f t="shared" si="65"/>
        <v>0</v>
      </c>
      <c r="AD282" s="158">
        <f t="shared" si="65"/>
        <v>0</v>
      </c>
      <c r="AE282" s="157">
        <f t="shared" si="60"/>
        <v>0</v>
      </c>
    </row>
    <row r="283" spans="1:31" outlineLevel="2">
      <c r="A283" s="135" t="str">
        <f t="shared" si="64"/>
        <v>MurreysROLLOFFRORHAULHR40</v>
      </c>
      <c r="B283" s="116" t="s">
        <v>706</v>
      </c>
      <c r="C283" s="116" t="s">
        <v>707</v>
      </c>
      <c r="D283" s="155">
        <v>0</v>
      </c>
      <c r="E283" s="155">
        <v>0</v>
      </c>
      <c r="F283" s="156">
        <v>0</v>
      </c>
      <c r="G283" s="156">
        <v>0</v>
      </c>
      <c r="H283" s="156">
        <v>445.5</v>
      </c>
      <c r="I283" s="156">
        <v>-445.5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56">
        <v>0</v>
      </c>
      <c r="Q283" s="156">
        <v>0</v>
      </c>
      <c r="R283" s="157">
        <f t="shared" si="57"/>
        <v>0</v>
      </c>
      <c r="S283" s="158">
        <f t="shared" si="62"/>
        <v>0</v>
      </c>
      <c r="T283" s="158">
        <f t="shared" si="62"/>
        <v>0</v>
      </c>
      <c r="U283" s="158">
        <f t="shared" si="62"/>
        <v>0</v>
      </c>
      <c r="V283" s="158">
        <f t="shared" si="62"/>
        <v>0</v>
      </c>
      <c r="W283" s="158">
        <f t="shared" si="62"/>
        <v>0</v>
      </c>
      <c r="X283" s="158">
        <f t="shared" si="66"/>
        <v>0</v>
      </c>
      <c r="Y283" s="158">
        <f t="shared" si="66"/>
        <v>0</v>
      </c>
      <c r="Z283" s="158">
        <f t="shared" si="66"/>
        <v>0</v>
      </c>
      <c r="AA283" s="158">
        <f t="shared" si="65"/>
        <v>0</v>
      </c>
      <c r="AB283" s="158">
        <f t="shared" si="65"/>
        <v>0</v>
      </c>
      <c r="AC283" s="158">
        <f t="shared" si="65"/>
        <v>0</v>
      </c>
      <c r="AD283" s="158">
        <f t="shared" si="65"/>
        <v>0</v>
      </c>
      <c r="AE283" s="157">
        <f t="shared" si="60"/>
        <v>0</v>
      </c>
    </row>
    <row r="284" spans="1:31" outlineLevel="2">
      <c r="A284" s="135" t="str">
        <f t="shared" si="64"/>
        <v>MurreysROLLOFFRORHAULHR50</v>
      </c>
      <c r="B284" s="116" t="s">
        <v>708</v>
      </c>
      <c r="C284" s="116" t="s">
        <v>709</v>
      </c>
      <c r="D284" s="155">
        <v>0</v>
      </c>
      <c r="E284" s="155">
        <v>0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0</v>
      </c>
      <c r="M284" s="156">
        <v>0</v>
      </c>
      <c r="N284" s="156">
        <v>0</v>
      </c>
      <c r="O284" s="156">
        <v>0</v>
      </c>
      <c r="P284" s="156">
        <v>0</v>
      </c>
      <c r="Q284" s="156">
        <v>0</v>
      </c>
      <c r="R284" s="157">
        <f t="shared" si="57"/>
        <v>0</v>
      </c>
      <c r="S284" s="158">
        <f t="shared" si="62"/>
        <v>0</v>
      </c>
      <c r="T284" s="158">
        <f t="shared" si="62"/>
        <v>0</v>
      </c>
      <c r="U284" s="158">
        <f t="shared" si="62"/>
        <v>0</v>
      </c>
      <c r="V284" s="158">
        <f t="shared" si="62"/>
        <v>0</v>
      </c>
      <c r="W284" s="158">
        <f t="shared" si="62"/>
        <v>0</v>
      </c>
      <c r="X284" s="158">
        <f t="shared" si="66"/>
        <v>0</v>
      </c>
      <c r="Y284" s="158">
        <f t="shared" si="66"/>
        <v>0</v>
      </c>
      <c r="Z284" s="158">
        <f t="shared" si="66"/>
        <v>0</v>
      </c>
      <c r="AA284" s="158">
        <f t="shared" si="65"/>
        <v>0</v>
      </c>
      <c r="AB284" s="158">
        <f t="shared" si="65"/>
        <v>0</v>
      </c>
      <c r="AC284" s="158">
        <f t="shared" si="65"/>
        <v>0</v>
      </c>
      <c r="AD284" s="158">
        <f t="shared" si="65"/>
        <v>0</v>
      </c>
      <c r="AE284" s="157">
        <f t="shared" si="60"/>
        <v>0</v>
      </c>
    </row>
    <row r="285" spans="1:31" outlineLevel="2">
      <c r="A285" s="135" t="str">
        <f t="shared" ref="A285:A299" si="67">+$A$5&amp;$A$220&amp;B285</f>
        <v>MurreysROLLOFFRORHAULHRTL</v>
      </c>
      <c r="B285" s="116" t="s">
        <v>710</v>
      </c>
      <c r="C285" s="116" t="s">
        <v>711</v>
      </c>
      <c r="D285" s="155">
        <v>0</v>
      </c>
      <c r="E285" s="155">
        <v>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0</v>
      </c>
      <c r="M285" s="156">
        <v>0</v>
      </c>
      <c r="N285" s="156">
        <v>0</v>
      </c>
      <c r="O285" s="156">
        <v>0</v>
      </c>
      <c r="P285" s="156">
        <v>0</v>
      </c>
      <c r="Q285" s="156">
        <v>0</v>
      </c>
      <c r="R285" s="157">
        <f t="shared" ref="R285:R301" si="68">SUM(F285:Q285)</f>
        <v>0</v>
      </c>
      <c r="S285" s="158">
        <f t="shared" si="62"/>
        <v>0</v>
      </c>
      <c r="T285" s="158">
        <f t="shared" si="62"/>
        <v>0</v>
      </c>
      <c r="U285" s="158">
        <f t="shared" si="62"/>
        <v>0</v>
      </c>
      <c r="V285" s="158">
        <f t="shared" si="62"/>
        <v>0</v>
      </c>
      <c r="W285" s="158">
        <f t="shared" si="62"/>
        <v>0</v>
      </c>
      <c r="X285" s="158">
        <f t="shared" si="66"/>
        <v>0</v>
      </c>
      <c r="Y285" s="158">
        <f t="shared" si="66"/>
        <v>0</v>
      </c>
      <c r="Z285" s="158">
        <f t="shared" si="66"/>
        <v>0</v>
      </c>
      <c r="AA285" s="158">
        <f t="shared" si="65"/>
        <v>0</v>
      </c>
      <c r="AB285" s="158">
        <f t="shared" si="65"/>
        <v>0</v>
      </c>
      <c r="AC285" s="158">
        <f t="shared" si="65"/>
        <v>0</v>
      </c>
      <c r="AD285" s="158">
        <f t="shared" si="65"/>
        <v>0</v>
      </c>
      <c r="AE285" s="157">
        <f t="shared" ref="AE285:AE299" si="69">+SUM(S285:AD285)/$AB$3</f>
        <v>0</v>
      </c>
    </row>
    <row r="286" spans="1:31" outlineLevel="2">
      <c r="A286" s="135" t="str">
        <f t="shared" si="67"/>
        <v>MurreysROLLOFFROSPC</v>
      </c>
      <c r="B286" s="116" t="s">
        <v>712</v>
      </c>
      <c r="C286" s="116" t="s">
        <v>713</v>
      </c>
      <c r="D286" s="155">
        <v>0</v>
      </c>
      <c r="E286" s="155">
        <v>0</v>
      </c>
      <c r="F286" s="156">
        <v>2729.7299999999996</v>
      </c>
      <c r="G286" s="156">
        <v>862.02</v>
      </c>
      <c r="H286" s="156">
        <v>1053.58</v>
      </c>
      <c r="I286" s="156">
        <v>1101.47</v>
      </c>
      <c r="J286" s="156">
        <v>1436.7000000000003</v>
      </c>
      <c r="K286" s="156">
        <v>2993.13</v>
      </c>
      <c r="L286" s="156">
        <v>1628.2600000000002</v>
      </c>
      <c r="M286" s="156">
        <v>1915.62</v>
      </c>
      <c r="N286" s="156">
        <v>909.91</v>
      </c>
      <c r="O286" s="156">
        <v>957.8</v>
      </c>
      <c r="P286" s="156">
        <v>1053.58</v>
      </c>
      <c r="Q286" s="156">
        <v>862.02</v>
      </c>
      <c r="R286" s="157">
        <f t="shared" si="68"/>
        <v>17503.820000000003</v>
      </c>
      <c r="S286" s="158">
        <f t="shared" si="62"/>
        <v>0</v>
      </c>
      <c r="T286" s="158">
        <f t="shared" si="62"/>
        <v>0</v>
      </c>
      <c r="U286" s="158">
        <f t="shared" si="62"/>
        <v>0</v>
      </c>
      <c r="V286" s="158">
        <f t="shared" si="62"/>
        <v>0</v>
      </c>
      <c r="W286" s="158">
        <f t="shared" si="62"/>
        <v>0</v>
      </c>
      <c r="X286" s="158">
        <f t="shared" si="66"/>
        <v>0</v>
      </c>
      <c r="Y286" s="158">
        <f t="shared" si="66"/>
        <v>0</v>
      </c>
      <c r="Z286" s="158">
        <f t="shared" si="66"/>
        <v>0</v>
      </c>
      <c r="AA286" s="158">
        <f t="shared" si="65"/>
        <v>0</v>
      </c>
      <c r="AB286" s="158">
        <f t="shared" si="65"/>
        <v>0</v>
      </c>
      <c r="AC286" s="158">
        <f t="shared" si="65"/>
        <v>0</v>
      </c>
      <c r="AD286" s="158">
        <f t="shared" si="65"/>
        <v>0</v>
      </c>
      <c r="AE286" s="157">
        <f t="shared" si="69"/>
        <v>0</v>
      </c>
    </row>
    <row r="287" spans="1:31" outlineLevel="2">
      <c r="A287" s="135" t="str">
        <f t="shared" si="67"/>
        <v>MurreysROLLOFFROTA</v>
      </c>
      <c r="B287" s="116" t="s">
        <v>714</v>
      </c>
      <c r="C287" s="116" t="s">
        <v>715</v>
      </c>
      <c r="D287" s="155">
        <v>20.16</v>
      </c>
      <c r="E287" s="155">
        <v>20.16</v>
      </c>
      <c r="F287" s="156">
        <v>3808.43</v>
      </c>
      <c r="G287" s="156">
        <v>3733.27</v>
      </c>
      <c r="H287" s="156">
        <v>4220.7800000000007</v>
      </c>
      <c r="I287" s="156">
        <v>3711.3</v>
      </c>
      <c r="J287" s="156">
        <v>3377.73</v>
      </c>
      <c r="K287" s="156">
        <v>4281.9399999999996</v>
      </c>
      <c r="L287" s="156">
        <v>3656.3</v>
      </c>
      <c r="M287" s="156">
        <v>3901.8900000000003</v>
      </c>
      <c r="N287" s="156">
        <v>3229.27</v>
      </c>
      <c r="O287" s="156">
        <v>3326.4</v>
      </c>
      <c r="P287" s="156">
        <v>3744.96</v>
      </c>
      <c r="Q287" s="156">
        <v>3353.9</v>
      </c>
      <c r="R287" s="157">
        <f t="shared" si="68"/>
        <v>44346.17</v>
      </c>
      <c r="S287" s="158">
        <f t="shared" si="62"/>
        <v>188.91021825396825</v>
      </c>
      <c r="T287" s="158">
        <f t="shared" si="62"/>
        <v>185.18204365079364</v>
      </c>
      <c r="U287" s="158">
        <f t="shared" si="62"/>
        <v>209.36408730158735</v>
      </c>
      <c r="V287" s="158">
        <f t="shared" si="62"/>
        <v>184.09226190476193</v>
      </c>
      <c r="W287" s="158">
        <f t="shared" si="62"/>
        <v>167.54613095238096</v>
      </c>
      <c r="X287" s="158">
        <f t="shared" si="66"/>
        <v>212.39781746031744</v>
      </c>
      <c r="Y287" s="158">
        <f t="shared" si="66"/>
        <v>181.36408730158732</v>
      </c>
      <c r="Z287" s="158">
        <f t="shared" si="66"/>
        <v>193.54613095238096</v>
      </c>
      <c r="AA287" s="158">
        <f t="shared" si="65"/>
        <v>160.18204365079364</v>
      </c>
      <c r="AB287" s="158">
        <f t="shared" si="65"/>
        <v>165</v>
      </c>
      <c r="AC287" s="158">
        <f t="shared" si="65"/>
        <v>185.76190476190476</v>
      </c>
      <c r="AD287" s="158">
        <f t="shared" si="65"/>
        <v>166.36408730158732</v>
      </c>
      <c r="AE287" s="157">
        <f t="shared" si="69"/>
        <v>2199.7108134920636</v>
      </c>
    </row>
    <row r="288" spans="1:31" outlineLevel="2">
      <c r="A288" s="135" t="str">
        <f t="shared" si="67"/>
        <v>MurreysROLLOFFROWAIT</v>
      </c>
      <c r="B288" s="116" t="s">
        <v>716</v>
      </c>
      <c r="C288" s="116" t="s">
        <v>717</v>
      </c>
      <c r="D288" s="155">
        <v>86.71</v>
      </c>
      <c r="E288" s="155">
        <v>86.71</v>
      </c>
      <c r="F288" s="156">
        <v>325.19000000000005</v>
      </c>
      <c r="G288" s="156">
        <v>418.84000000000003</v>
      </c>
      <c r="H288" s="156">
        <v>180.36</v>
      </c>
      <c r="I288" s="156">
        <v>397.16</v>
      </c>
      <c r="J288" s="156">
        <v>281.84000000000003</v>
      </c>
      <c r="K288" s="156">
        <v>260.16000000000003</v>
      </c>
      <c r="L288" s="156">
        <v>260.15999999999997</v>
      </c>
      <c r="M288" s="156">
        <v>303.52</v>
      </c>
      <c r="N288" s="156">
        <v>130.08000000000001</v>
      </c>
      <c r="O288" s="156">
        <v>260.14999999999998</v>
      </c>
      <c r="P288" s="156">
        <v>281.83</v>
      </c>
      <c r="Q288" s="156">
        <v>238.48000000000002</v>
      </c>
      <c r="R288" s="157">
        <f t="shared" si="68"/>
        <v>3337.7700000000004</v>
      </c>
      <c r="S288" s="158">
        <f t="shared" ref="S288:W299" si="70">+IFERROR(F288/$D288,0)</f>
        <v>3.7503171491177496</v>
      </c>
      <c r="T288" s="158">
        <f t="shared" si="70"/>
        <v>4.8303540537423606</v>
      </c>
      <c r="U288" s="158">
        <f t="shared" si="70"/>
        <v>2.080036904624611</v>
      </c>
      <c r="V288" s="158">
        <f t="shared" si="70"/>
        <v>4.5803252220043831</v>
      </c>
      <c r="W288" s="158">
        <f t="shared" si="70"/>
        <v>3.2503748125937038</v>
      </c>
      <c r="X288" s="158">
        <f t="shared" si="66"/>
        <v>3.0003459808557267</v>
      </c>
      <c r="Y288" s="158">
        <f t="shared" si="66"/>
        <v>3.0003459808557258</v>
      </c>
      <c r="Z288" s="158">
        <f t="shared" si="66"/>
        <v>3.5004036443316804</v>
      </c>
      <c r="AA288" s="158">
        <f t="shared" si="65"/>
        <v>1.5001729904278633</v>
      </c>
      <c r="AB288" s="158">
        <f t="shared" si="65"/>
        <v>3.0002306539038175</v>
      </c>
      <c r="AC288" s="158">
        <f t="shared" si="65"/>
        <v>3.2502594856417946</v>
      </c>
      <c r="AD288" s="158">
        <f t="shared" si="65"/>
        <v>2.7503171491177492</v>
      </c>
      <c r="AE288" s="157">
        <f t="shared" si="69"/>
        <v>38.493484027217164</v>
      </c>
    </row>
    <row r="289" spans="1:31" outlineLevel="2">
      <c r="A289" s="135" t="str">
        <f t="shared" si="67"/>
        <v>MurreysROLLOFFRTRIP-RO</v>
      </c>
      <c r="B289" s="116" t="s">
        <v>718</v>
      </c>
      <c r="C289" s="116" t="s">
        <v>719</v>
      </c>
      <c r="D289" s="155">
        <v>89.73</v>
      </c>
      <c r="E289" s="155">
        <v>89.73</v>
      </c>
      <c r="F289" s="156">
        <v>0</v>
      </c>
      <c r="G289" s="156">
        <v>0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0</v>
      </c>
      <c r="O289" s="156">
        <v>0</v>
      </c>
      <c r="P289" s="156">
        <v>0</v>
      </c>
      <c r="Q289" s="156">
        <v>0</v>
      </c>
      <c r="R289" s="157">
        <f t="shared" si="68"/>
        <v>0</v>
      </c>
      <c r="S289" s="158">
        <f t="shared" si="70"/>
        <v>0</v>
      </c>
      <c r="T289" s="158">
        <f t="shared" si="70"/>
        <v>0</v>
      </c>
      <c r="U289" s="158">
        <f t="shared" si="70"/>
        <v>0</v>
      </c>
      <c r="V289" s="158">
        <f t="shared" si="70"/>
        <v>0</v>
      </c>
      <c r="W289" s="158">
        <f t="shared" si="70"/>
        <v>0</v>
      </c>
      <c r="X289" s="158">
        <f t="shared" si="66"/>
        <v>0</v>
      </c>
      <c r="Y289" s="158">
        <f t="shared" si="66"/>
        <v>0</v>
      </c>
      <c r="Z289" s="158">
        <f t="shared" si="66"/>
        <v>0</v>
      </c>
      <c r="AA289" s="158">
        <f t="shared" si="65"/>
        <v>0</v>
      </c>
      <c r="AB289" s="158">
        <f t="shared" si="65"/>
        <v>0</v>
      </c>
      <c r="AC289" s="158">
        <f t="shared" si="65"/>
        <v>0</v>
      </c>
      <c r="AD289" s="158">
        <f t="shared" si="65"/>
        <v>0</v>
      </c>
      <c r="AE289" s="157">
        <f t="shared" si="69"/>
        <v>0</v>
      </c>
    </row>
    <row r="290" spans="1:31" outlineLevel="2">
      <c r="A290" s="135" t="str">
        <f t="shared" si="67"/>
        <v>MurreysROLLOFFTHOUR</v>
      </c>
      <c r="B290" s="116" t="s">
        <v>720</v>
      </c>
      <c r="C290" s="116" t="s">
        <v>721</v>
      </c>
      <c r="D290" s="155">
        <v>0</v>
      </c>
      <c r="E290" s="155">
        <v>0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56">
        <v>0</v>
      </c>
      <c r="Q290" s="156">
        <v>0</v>
      </c>
      <c r="R290" s="157">
        <f t="shared" si="68"/>
        <v>0</v>
      </c>
      <c r="S290" s="158">
        <f t="shared" si="70"/>
        <v>0</v>
      </c>
      <c r="T290" s="158">
        <f t="shared" si="70"/>
        <v>0</v>
      </c>
      <c r="U290" s="158">
        <f t="shared" si="70"/>
        <v>0</v>
      </c>
      <c r="V290" s="158">
        <f t="shared" si="70"/>
        <v>0</v>
      </c>
      <c r="W290" s="158">
        <f t="shared" si="70"/>
        <v>0</v>
      </c>
      <c r="X290" s="158">
        <f t="shared" si="66"/>
        <v>0</v>
      </c>
      <c r="Y290" s="158">
        <f t="shared" si="66"/>
        <v>0</v>
      </c>
      <c r="Z290" s="158">
        <f t="shared" si="66"/>
        <v>0</v>
      </c>
      <c r="AA290" s="158">
        <f t="shared" si="65"/>
        <v>0</v>
      </c>
      <c r="AB290" s="158">
        <f t="shared" si="65"/>
        <v>0</v>
      </c>
      <c r="AC290" s="158">
        <f t="shared" si="65"/>
        <v>0</v>
      </c>
      <c r="AD290" s="158">
        <f t="shared" si="65"/>
        <v>0</v>
      </c>
      <c r="AE290" s="157">
        <f t="shared" si="69"/>
        <v>0</v>
      </c>
    </row>
    <row r="291" spans="1:31" outlineLevel="2">
      <c r="A291" s="135" t="str">
        <f t="shared" si="67"/>
        <v>MurreysROLLOFFADJRO</v>
      </c>
      <c r="B291" s="116" t="s">
        <v>722</v>
      </c>
      <c r="C291" s="116" t="s">
        <v>723</v>
      </c>
      <c r="D291" s="155">
        <v>0</v>
      </c>
      <c r="E291" s="155">
        <v>0</v>
      </c>
      <c r="F291" s="156">
        <v>-7.84</v>
      </c>
      <c r="G291" s="156">
        <v>0</v>
      </c>
      <c r="H291" s="156">
        <v>-79.23</v>
      </c>
      <c r="I291" s="156">
        <v>0</v>
      </c>
      <c r="J291" s="156">
        <v>0</v>
      </c>
      <c r="K291" s="156">
        <v>0</v>
      </c>
      <c r="L291" s="156">
        <v>0</v>
      </c>
      <c r="M291" s="156">
        <v>0</v>
      </c>
      <c r="N291" s="156">
        <v>7.84</v>
      </c>
      <c r="O291" s="156">
        <v>0</v>
      </c>
      <c r="P291" s="156">
        <v>0</v>
      </c>
      <c r="Q291" s="156">
        <v>-6.2</v>
      </c>
      <c r="R291" s="157">
        <f t="shared" si="68"/>
        <v>-85.43</v>
      </c>
      <c r="S291" s="158">
        <f t="shared" si="70"/>
        <v>0</v>
      </c>
      <c r="T291" s="158">
        <f t="shared" si="70"/>
        <v>0</v>
      </c>
      <c r="U291" s="158">
        <f t="shared" si="70"/>
        <v>0</v>
      </c>
      <c r="V291" s="158">
        <f t="shared" si="70"/>
        <v>0</v>
      </c>
      <c r="W291" s="158">
        <f t="shared" si="70"/>
        <v>0</v>
      </c>
      <c r="X291" s="158">
        <f t="shared" si="66"/>
        <v>0</v>
      </c>
      <c r="Y291" s="158">
        <f t="shared" si="66"/>
        <v>0</v>
      </c>
      <c r="Z291" s="158">
        <f t="shared" si="66"/>
        <v>0</v>
      </c>
      <c r="AA291" s="158">
        <f t="shared" si="65"/>
        <v>0</v>
      </c>
      <c r="AB291" s="158">
        <f t="shared" si="65"/>
        <v>0</v>
      </c>
      <c r="AC291" s="158">
        <f t="shared" si="65"/>
        <v>0</v>
      </c>
      <c r="AD291" s="158">
        <f t="shared" si="65"/>
        <v>0</v>
      </c>
      <c r="AE291" s="157">
        <f t="shared" si="69"/>
        <v>0</v>
      </c>
    </row>
    <row r="292" spans="1:31" outlineLevel="2">
      <c r="A292" s="135" t="str">
        <f t="shared" si="67"/>
        <v>MurreysROLLOFFCPCONNECT</v>
      </c>
      <c r="B292" s="116" t="s">
        <v>724</v>
      </c>
      <c r="C292" s="116" t="s">
        <v>725</v>
      </c>
      <c r="D292" s="155">
        <v>6.6</v>
      </c>
      <c r="E292" s="155">
        <v>6.6</v>
      </c>
      <c r="F292" s="156">
        <v>1267.2</v>
      </c>
      <c r="G292" s="156">
        <v>1320</v>
      </c>
      <c r="H292" s="156">
        <v>1372.8</v>
      </c>
      <c r="I292" s="156">
        <v>1320</v>
      </c>
      <c r="J292" s="156">
        <v>1181.4000000000001</v>
      </c>
      <c r="K292" s="156">
        <v>1339.8000000000002</v>
      </c>
      <c r="L292" s="156">
        <v>1254</v>
      </c>
      <c r="M292" s="156">
        <v>1412.3999999999999</v>
      </c>
      <c r="N292" s="156">
        <v>1221</v>
      </c>
      <c r="O292" s="156">
        <v>1260.5999999999999</v>
      </c>
      <c r="P292" s="156">
        <v>1366.2</v>
      </c>
      <c r="Q292" s="156">
        <v>1207.8</v>
      </c>
      <c r="R292" s="157">
        <f t="shared" si="68"/>
        <v>15523.2</v>
      </c>
      <c r="S292" s="158">
        <f t="shared" si="70"/>
        <v>192.00000000000003</v>
      </c>
      <c r="T292" s="158">
        <f t="shared" si="70"/>
        <v>200</v>
      </c>
      <c r="U292" s="158">
        <f t="shared" si="70"/>
        <v>208</v>
      </c>
      <c r="V292" s="158">
        <f t="shared" si="70"/>
        <v>200</v>
      </c>
      <c r="W292" s="158">
        <f t="shared" si="70"/>
        <v>179.00000000000003</v>
      </c>
      <c r="X292" s="158">
        <f t="shared" si="66"/>
        <v>203.00000000000003</v>
      </c>
      <c r="Y292" s="158">
        <f t="shared" si="66"/>
        <v>190</v>
      </c>
      <c r="Z292" s="158">
        <f t="shared" si="66"/>
        <v>214</v>
      </c>
      <c r="AA292" s="158">
        <f t="shared" si="65"/>
        <v>185</v>
      </c>
      <c r="AB292" s="158">
        <f t="shared" si="65"/>
        <v>191</v>
      </c>
      <c r="AC292" s="158">
        <f t="shared" si="65"/>
        <v>207.00000000000003</v>
      </c>
      <c r="AD292" s="158">
        <f t="shared" si="65"/>
        <v>183</v>
      </c>
      <c r="AE292" s="157">
        <f t="shared" si="69"/>
        <v>2352</v>
      </c>
    </row>
    <row r="293" spans="1:31" outlineLevel="2">
      <c r="A293" s="135" t="str">
        <f t="shared" si="67"/>
        <v>MurreysROLLOFFDELREC-RO</v>
      </c>
      <c r="B293" s="116" t="s">
        <v>726</v>
      </c>
      <c r="C293" s="116" t="s">
        <v>727</v>
      </c>
      <c r="D293" s="155">
        <v>0</v>
      </c>
      <c r="E293" s="155">
        <v>0</v>
      </c>
      <c r="F293" s="156">
        <v>0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0</v>
      </c>
      <c r="O293" s="156">
        <v>0</v>
      </c>
      <c r="P293" s="156">
        <v>0</v>
      </c>
      <c r="Q293" s="156">
        <v>0</v>
      </c>
      <c r="R293" s="157">
        <f t="shared" si="68"/>
        <v>0</v>
      </c>
      <c r="S293" s="158">
        <f t="shared" si="70"/>
        <v>0</v>
      </c>
      <c r="T293" s="158">
        <f t="shared" si="70"/>
        <v>0</v>
      </c>
      <c r="U293" s="158">
        <f t="shared" si="70"/>
        <v>0</v>
      </c>
      <c r="V293" s="158">
        <f t="shared" si="70"/>
        <v>0</v>
      </c>
      <c r="W293" s="158">
        <f t="shared" si="70"/>
        <v>0</v>
      </c>
      <c r="X293" s="158">
        <f t="shared" si="66"/>
        <v>0</v>
      </c>
      <c r="Y293" s="158">
        <f t="shared" si="66"/>
        <v>0</v>
      </c>
      <c r="Z293" s="158">
        <f t="shared" si="66"/>
        <v>0</v>
      </c>
      <c r="AA293" s="158">
        <f t="shared" si="65"/>
        <v>0</v>
      </c>
      <c r="AB293" s="158">
        <f t="shared" si="65"/>
        <v>0</v>
      </c>
      <c r="AC293" s="158">
        <f t="shared" si="65"/>
        <v>0</v>
      </c>
      <c r="AD293" s="158">
        <f t="shared" si="65"/>
        <v>0</v>
      </c>
      <c r="AE293" s="157">
        <f t="shared" si="69"/>
        <v>0</v>
      </c>
    </row>
    <row r="294" spans="1:31" s="137" customFormat="1" outlineLevel="2">
      <c r="A294" s="135" t="str">
        <f t="shared" si="67"/>
        <v>MurreysROLLOFFFERRY</v>
      </c>
      <c r="B294" s="116" t="s">
        <v>728</v>
      </c>
      <c r="C294" s="116" t="s">
        <v>729</v>
      </c>
      <c r="D294" s="155">
        <v>0</v>
      </c>
      <c r="E294" s="155">
        <v>0</v>
      </c>
      <c r="F294" s="156">
        <v>0</v>
      </c>
      <c r="G294" s="156">
        <v>0</v>
      </c>
      <c r="H294" s="156">
        <v>0</v>
      </c>
      <c r="I294" s="156">
        <v>0</v>
      </c>
      <c r="J294" s="156">
        <v>0</v>
      </c>
      <c r="K294" s="156">
        <v>0</v>
      </c>
      <c r="L294" s="156">
        <v>0</v>
      </c>
      <c r="M294" s="156">
        <v>0</v>
      </c>
      <c r="N294" s="156">
        <v>0</v>
      </c>
      <c r="O294" s="156">
        <v>0</v>
      </c>
      <c r="P294" s="156">
        <v>0</v>
      </c>
      <c r="Q294" s="156">
        <v>0</v>
      </c>
      <c r="R294" s="157">
        <f t="shared" si="68"/>
        <v>0</v>
      </c>
      <c r="S294" s="158">
        <f t="shared" si="70"/>
        <v>0</v>
      </c>
      <c r="T294" s="158">
        <f t="shared" si="70"/>
        <v>0</v>
      </c>
      <c r="U294" s="158">
        <f t="shared" si="70"/>
        <v>0</v>
      </c>
      <c r="V294" s="158">
        <f t="shared" si="70"/>
        <v>0</v>
      </c>
      <c r="W294" s="158">
        <f t="shared" si="70"/>
        <v>0</v>
      </c>
      <c r="X294" s="158">
        <f t="shared" si="66"/>
        <v>0</v>
      </c>
      <c r="Y294" s="158">
        <f t="shared" si="66"/>
        <v>0</v>
      </c>
      <c r="Z294" s="158">
        <f t="shared" si="66"/>
        <v>0</v>
      </c>
      <c r="AA294" s="158">
        <f t="shared" si="65"/>
        <v>0</v>
      </c>
      <c r="AB294" s="158">
        <f t="shared" si="65"/>
        <v>0</v>
      </c>
      <c r="AC294" s="158">
        <f t="shared" si="65"/>
        <v>0</v>
      </c>
      <c r="AD294" s="158">
        <f t="shared" si="65"/>
        <v>0</v>
      </c>
      <c r="AE294" s="157">
        <f t="shared" si="69"/>
        <v>0</v>
      </c>
    </row>
    <row r="295" spans="1:31" outlineLevel="2">
      <c r="A295" s="135" t="str">
        <f t="shared" si="67"/>
        <v>MurreysROLLOFFRECYWPROCTRL</v>
      </c>
      <c r="B295" s="116" t="s">
        <v>730</v>
      </c>
      <c r="C295" s="116" t="s">
        <v>731</v>
      </c>
      <c r="D295" s="155">
        <v>0</v>
      </c>
      <c r="E295" s="155">
        <v>0</v>
      </c>
      <c r="F295" s="156">
        <v>0</v>
      </c>
      <c r="G295" s="156">
        <v>0</v>
      </c>
      <c r="H295" s="156">
        <v>0</v>
      </c>
      <c r="I295" s="156">
        <v>0</v>
      </c>
      <c r="J295" s="156">
        <v>0</v>
      </c>
      <c r="K295" s="156">
        <v>0</v>
      </c>
      <c r="L295" s="156">
        <v>0</v>
      </c>
      <c r="M295" s="156">
        <v>0</v>
      </c>
      <c r="N295" s="156">
        <v>0</v>
      </c>
      <c r="O295" s="156">
        <v>0</v>
      </c>
      <c r="P295" s="156">
        <v>0</v>
      </c>
      <c r="Q295" s="156">
        <v>0</v>
      </c>
      <c r="R295" s="157">
        <f t="shared" si="68"/>
        <v>0</v>
      </c>
      <c r="S295" s="158">
        <f t="shared" si="70"/>
        <v>0</v>
      </c>
      <c r="T295" s="158">
        <f t="shared" si="70"/>
        <v>0</v>
      </c>
      <c r="U295" s="158">
        <f t="shared" si="70"/>
        <v>0</v>
      </c>
      <c r="V295" s="158">
        <f t="shared" si="70"/>
        <v>0</v>
      </c>
      <c r="W295" s="158">
        <f t="shared" si="70"/>
        <v>0</v>
      </c>
      <c r="X295" s="158">
        <f t="shared" si="66"/>
        <v>0</v>
      </c>
      <c r="Y295" s="158">
        <f t="shared" si="66"/>
        <v>0</v>
      </c>
      <c r="Z295" s="158">
        <f t="shared" si="66"/>
        <v>0</v>
      </c>
      <c r="AA295" s="158">
        <f t="shared" si="65"/>
        <v>0</v>
      </c>
      <c r="AB295" s="158">
        <f t="shared" si="65"/>
        <v>0</v>
      </c>
      <c r="AC295" s="158">
        <f t="shared" si="65"/>
        <v>0</v>
      </c>
      <c r="AD295" s="158">
        <f t="shared" si="65"/>
        <v>0</v>
      </c>
      <c r="AE295" s="157">
        <f t="shared" si="69"/>
        <v>0</v>
      </c>
    </row>
    <row r="296" spans="1:31" outlineLevel="2">
      <c r="A296" s="135" t="str">
        <f t="shared" si="67"/>
        <v>MurreysROLLOFFROCLEAN</v>
      </c>
      <c r="B296" s="116" t="s">
        <v>732</v>
      </c>
      <c r="C296" s="116" t="s">
        <v>733</v>
      </c>
      <c r="D296" s="155">
        <v>20.87</v>
      </c>
      <c r="E296" s="155">
        <v>7.16</v>
      </c>
      <c r="F296" s="156">
        <v>376.05</v>
      </c>
      <c r="G296" s="156">
        <v>0</v>
      </c>
      <c r="H296" s="156">
        <v>0</v>
      </c>
      <c r="I296" s="156">
        <v>0</v>
      </c>
      <c r="J296" s="156">
        <v>214.8</v>
      </c>
      <c r="K296" s="156">
        <v>0</v>
      </c>
      <c r="L296" s="156">
        <v>0</v>
      </c>
      <c r="M296" s="156">
        <v>0</v>
      </c>
      <c r="N296" s="156">
        <v>172.5</v>
      </c>
      <c r="O296" s="156">
        <v>0</v>
      </c>
      <c r="P296" s="156">
        <v>417</v>
      </c>
      <c r="Q296" s="156">
        <v>0</v>
      </c>
      <c r="R296" s="157">
        <f t="shared" si="68"/>
        <v>1180.3499999999999</v>
      </c>
      <c r="S296" s="158">
        <f t="shared" si="70"/>
        <v>18.018687110685192</v>
      </c>
      <c r="T296" s="158">
        <f t="shared" si="70"/>
        <v>0</v>
      </c>
      <c r="U296" s="158">
        <f t="shared" si="70"/>
        <v>0</v>
      </c>
      <c r="V296" s="158">
        <f t="shared" si="70"/>
        <v>0</v>
      </c>
      <c r="W296" s="158">
        <f t="shared" si="70"/>
        <v>10.292285577383804</v>
      </c>
      <c r="X296" s="158">
        <f t="shared" si="66"/>
        <v>0</v>
      </c>
      <c r="Y296" s="158">
        <f t="shared" si="66"/>
        <v>0</v>
      </c>
      <c r="Z296" s="158">
        <f t="shared" si="66"/>
        <v>0</v>
      </c>
      <c r="AA296" s="158">
        <f t="shared" si="65"/>
        <v>24.092178770949719</v>
      </c>
      <c r="AB296" s="158">
        <f t="shared" si="65"/>
        <v>0</v>
      </c>
      <c r="AC296" s="158">
        <f t="shared" si="65"/>
        <v>58.240223463687151</v>
      </c>
      <c r="AD296" s="158">
        <f t="shared" si="65"/>
        <v>0</v>
      </c>
      <c r="AE296" s="157">
        <f t="shared" si="69"/>
        <v>110.64337492270587</v>
      </c>
    </row>
    <row r="297" spans="1:31" outlineLevel="2">
      <c r="A297" s="135" t="str">
        <f t="shared" si="67"/>
        <v>MurreysROLLOFFRODEL</v>
      </c>
      <c r="B297" s="116" t="s">
        <v>734</v>
      </c>
      <c r="C297" s="116" t="s">
        <v>735</v>
      </c>
      <c r="D297" s="155">
        <v>89.73</v>
      </c>
      <c r="E297" s="155">
        <v>89.73</v>
      </c>
      <c r="F297" s="156">
        <v>4845.42</v>
      </c>
      <c r="G297" s="156">
        <v>4127.58</v>
      </c>
      <c r="H297" s="156">
        <v>3230.2799999999997</v>
      </c>
      <c r="I297" s="156">
        <v>2602.17</v>
      </c>
      <c r="J297" s="156">
        <v>2602.17</v>
      </c>
      <c r="K297" s="156">
        <v>5294.07</v>
      </c>
      <c r="L297" s="156">
        <v>4576.2299999999996</v>
      </c>
      <c r="M297" s="156">
        <v>5204.34</v>
      </c>
      <c r="N297" s="156">
        <v>3678.9300000000003</v>
      </c>
      <c r="O297" s="156">
        <v>4486.5</v>
      </c>
      <c r="P297" s="156">
        <v>6101.6399999999994</v>
      </c>
      <c r="Q297" s="156">
        <v>3768.66</v>
      </c>
      <c r="R297" s="157">
        <f t="shared" si="68"/>
        <v>50517.990000000005</v>
      </c>
      <c r="S297" s="158">
        <f t="shared" si="70"/>
        <v>54</v>
      </c>
      <c r="T297" s="158">
        <f t="shared" si="70"/>
        <v>46</v>
      </c>
      <c r="U297" s="158">
        <f t="shared" si="70"/>
        <v>35.999999999999993</v>
      </c>
      <c r="V297" s="158">
        <f t="shared" si="70"/>
        <v>29</v>
      </c>
      <c r="W297" s="158">
        <f t="shared" si="70"/>
        <v>29</v>
      </c>
      <c r="X297" s="158">
        <f t="shared" si="66"/>
        <v>58.999999999999993</v>
      </c>
      <c r="Y297" s="158">
        <f t="shared" si="66"/>
        <v>50.999999999999993</v>
      </c>
      <c r="Z297" s="158">
        <f t="shared" si="66"/>
        <v>58</v>
      </c>
      <c r="AA297" s="158">
        <f t="shared" si="65"/>
        <v>41</v>
      </c>
      <c r="AB297" s="158">
        <f t="shared" si="65"/>
        <v>50</v>
      </c>
      <c r="AC297" s="158">
        <f t="shared" si="65"/>
        <v>67.999999999999986</v>
      </c>
      <c r="AD297" s="158">
        <f t="shared" si="65"/>
        <v>42</v>
      </c>
      <c r="AE297" s="157">
        <f t="shared" si="69"/>
        <v>563</v>
      </c>
    </row>
    <row r="298" spans="1:31" outlineLevel="2">
      <c r="A298" s="135" t="str">
        <f t="shared" si="67"/>
        <v>MurreysROLLOFFROMILE</v>
      </c>
      <c r="B298" s="116" t="s">
        <v>736</v>
      </c>
      <c r="C298" s="116" t="s">
        <v>737</v>
      </c>
      <c r="D298" s="155">
        <v>3.53</v>
      </c>
      <c r="E298" s="155">
        <v>3.53</v>
      </c>
      <c r="F298" s="156">
        <v>38755.870000000003</v>
      </c>
      <c r="G298" s="156">
        <v>36058.949999999997</v>
      </c>
      <c r="H298" s="156">
        <v>35536.51</v>
      </c>
      <c r="I298" s="156">
        <v>36764.949999999997</v>
      </c>
      <c r="J298" s="156">
        <v>32433.64</v>
      </c>
      <c r="K298" s="156">
        <v>40933.879999999997</v>
      </c>
      <c r="L298" s="156">
        <v>37608.619999999995</v>
      </c>
      <c r="M298" s="156">
        <v>42112.9</v>
      </c>
      <c r="N298" s="156">
        <v>35778.32</v>
      </c>
      <c r="O298" s="156">
        <v>37530.959999999999</v>
      </c>
      <c r="P298" s="156">
        <v>43133.07</v>
      </c>
      <c r="Q298" s="156">
        <v>37177.960000000006</v>
      </c>
      <c r="R298" s="157">
        <f t="shared" si="68"/>
        <v>453825.63000000012</v>
      </c>
      <c r="S298" s="158">
        <f t="shared" si="70"/>
        <v>10979.000000000002</v>
      </c>
      <c r="T298" s="158">
        <f t="shared" si="70"/>
        <v>10215</v>
      </c>
      <c r="U298" s="158">
        <f t="shared" si="70"/>
        <v>10067.000000000002</v>
      </c>
      <c r="V298" s="158">
        <f t="shared" si="70"/>
        <v>10415</v>
      </c>
      <c r="W298" s="158">
        <f t="shared" si="70"/>
        <v>9188</v>
      </c>
      <c r="X298" s="158">
        <f t="shared" si="66"/>
        <v>11596</v>
      </c>
      <c r="Y298" s="158">
        <f t="shared" si="66"/>
        <v>10654</v>
      </c>
      <c r="Z298" s="158">
        <f t="shared" si="66"/>
        <v>11930.000000000002</v>
      </c>
      <c r="AA298" s="158">
        <f t="shared" si="65"/>
        <v>10135.501416430596</v>
      </c>
      <c r="AB298" s="158">
        <f t="shared" si="65"/>
        <v>10632</v>
      </c>
      <c r="AC298" s="158">
        <f t="shared" si="65"/>
        <v>12219</v>
      </c>
      <c r="AD298" s="158">
        <f t="shared" si="65"/>
        <v>10532.000000000002</v>
      </c>
      <c r="AE298" s="157">
        <f t="shared" si="69"/>
        <v>128562.50141643059</v>
      </c>
    </row>
    <row r="299" spans="1:31" outlineLevel="2">
      <c r="A299" s="135" t="str">
        <f t="shared" si="67"/>
        <v>MurreysROLLOFFRORELOCATE</v>
      </c>
      <c r="B299" s="116" t="s">
        <v>738</v>
      </c>
      <c r="C299" s="116" t="s">
        <v>739</v>
      </c>
      <c r="D299" s="155">
        <v>89.73</v>
      </c>
      <c r="E299" s="155">
        <v>89.73</v>
      </c>
      <c r="F299" s="156">
        <v>89.73</v>
      </c>
      <c r="G299" s="156">
        <v>0</v>
      </c>
      <c r="H299" s="156">
        <v>95</v>
      </c>
      <c r="I299" s="156">
        <v>89.73</v>
      </c>
      <c r="J299" s="156">
        <v>89.73</v>
      </c>
      <c r="K299" s="156">
        <v>358.92</v>
      </c>
      <c r="L299" s="156">
        <v>179.46</v>
      </c>
      <c r="M299" s="156">
        <v>269.19</v>
      </c>
      <c r="N299" s="156">
        <v>179.46</v>
      </c>
      <c r="O299" s="156">
        <v>358.92</v>
      </c>
      <c r="P299" s="156">
        <v>179.46</v>
      </c>
      <c r="Q299" s="156">
        <v>0</v>
      </c>
      <c r="R299" s="157">
        <f t="shared" si="68"/>
        <v>1889.6000000000004</v>
      </c>
      <c r="S299" s="158">
        <f t="shared" si="70"/>
        <v>1</v>
      </c>
      <c r="T299" s="158">
        <f t="shared" si="70"/>
        <v>0</v>
      </c>
      <c r="U299" s="158">
        <f t="shared" si="70"/>
        <v>1.0587317508079794</v>
      </c>
      <c r="V299" s="158">
        <f t="shared" si="70"/>
        <v>1</v>
      </c>
      <c r="W299" s="158">
        <f t="shared" si="70"/>
        <v>1</v>
      </c>
      <c r="X299" s="158">
        <f t="shared" si="66"/>
        <v>4</v>
      </c>
      <c r="Y299" s="158">
        <f t="shared" si="66"/>
        <v>2</v>
      </c>
      <c r="Z299" s="158">
        <f t="shared" si="66"/>
        <v>3</v>
      </c>
      <c r="AA299" s="158">
        <f t="shared" si="65"/>
        <v>2</v>
      </c>
      <c r="AB299" s="158">
        <f t="shared" si="65"/>
        <v>4</v>
      </c>
      <c r="AC299" s="158">
        <f t="shared" si="65"/>
        <v>2</v>
      </c>
      <c r="AD299" s="158">
        <f t="shared" si="65"/>
        <v>0</v>
      </c>
      <c r="AE299" s="157">
        <f t="shared" si="69"/>
        <v>21.058731750807979</v>
      </c>
    </row>
    <row r="300" spans="1:31" outlineLevel="2">
      <c r="B300" s="116"/>
      <c r="C300" s="116"/>
      <c r="D300" s="155"/>
      <c r="E300" s="155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7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7"/>
    </row>
    <row r="301" spans="1:31" outlineLevel="1">
      <c r="B301" s="116"/>
      <c r="C301" s="159" t="s">
        <v>740</v>
      </c>
      <c r="D301" s="155"/>
      <c r="E301" s="155"/>
      <c r="F301" s="162">
        <f>SUM(F221:F300)</f>
        <v>167438.46000000002</v>
      </c>
      <c r="G301" s="162">
        <f t="shared" ref="G301:Q301" si="71">SUM(G221:G300)</f>
        <v>154725.72000000003</v>
      </c>
      <c r="H301" s="162">
        <f t="shared" si="71"/>
        <v>156468.28000000003</v>
      </c>
      <c r="I301" s="162">
        <f t="shared" si="71"/>
        <v>153800.86000000002</v>
      </c>
      <c r="J301" s="162">
        <f t="shared" si="71"/>
        <v>139700.9</v>
      </c>
      <c r="K301" s="162">
        <f t="shared" si="71"/>
        <v>171166.59000000003</v>
      </c>
      <c r="L301" s="162">
        <f t="shared" si="71"/>
        <v>158578.76999999999</v>
      </c>
      <c r="M301" s="162">
        <f t="shared" si="71"/>
        <v>177268.54</v>
      </c>
      <c r="N301" s="162">
        <f t="shared" si="71"/>
        <v>155152.62000000002</v>
      </c>
      <c r="O301" s="162">
        <f t="shared" si="71"/>
        <v>159827.91</v>
      </c>
      <c r="P301" s="162">
        <f t="shared" si="71"/>
        <v>180694.79000000007</v>
      </c>
      <c r="Q301" s="162">
        <f t="shared" si="71"/>
        <v>158373.14000000001</v>
      </c>
      <c r="R301" s="163">
        <f t="shared" si="68"/>
        <v>1933196.58</v>
      </c>
      <c r="S301" s="162">
        <f t="shared" ref="S301:AD301" si="72">SUM(S241:S251,S261:S267)</f>
        <v>243.31953423748135</v>
      </c>
      <c r="T301" s="162">
        <f t="shared" si="72"/>
        <v>241.06667712062745</v>
      </c>
      <c r="U301" s="162">
        <f>SUM(U241:U251,U261:U267)</f>
        <v>239.59691623619915</v>
      </c>
      <c r="V301" s="162">
        <f t="shared" si="72"/>
        <v>239.36447574222768</v>
      </c>
      <c r="W301" s="162">
        <f t="shared" si="72"/>
        <v>227.93806626799409</v>
      </c>
      <c r="X301" s="162">
        <f t="shared" si="72"/>
        <v>234.58832019987125</v>
      </c>
      <c r="Y301" s="162">
        <f t="shared" si="72"/>
        <v>237.23332602105637</v>
      </c>
      <c r="Z301" s="162">
        <f t="shared" si="72"/>
        <v>234.77758727867209</v>
      </c>
      <c r="AA301" s="162">
        <f t="shared" si="72"/>
        <v>234.73341411119185</v>
      </c>
      <c r="AB301" s="162">
        <f t="shared" si="72"/>
        <v>231.15908914137498</v>
      </c>
      <c r="AC301" s="162">
        <f>SUM(AC241:AC251,AC261:AC267)</f>
        <v>238.33610413094053</v>
      </c>
      <c r="AD301" s="162">
        <f t="shared" si="72"/>
        <v>240.13341112407622</v>
      </c>
      <c r="AE301" s="163">
        <f>SUM(AE241:AE251,AE261:AE267)</f>
        <v>2842.2469216117133</v>
      </c>
    </row>
    <row r="302" spans="1:31" outlineLevel="1">
      <c r="B302" s="116"/>
      <c r="C302" s="116"/>
      <c r="D302" s="155"/>
      <c r="E302" s="155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7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7"/>
    </row>
    <row r="303" spans="1:31" outlineLevel="2">
      <c r="B303" s="164" t="s">
        <v>741</v>
      </c>
      <c r="C303" s="116"/>
      <c r="D303" s="155"/>
      <c r="E303" s="155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7">
        <f t="shared" ref="R303:R308" si="73">SUM(F303:Q303)</f>
        <v>0</v>
      </c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7"/>
    </row>
    <row r="304" spans="1:31" outlineLevel="2">
      <c r="A304" s="135" t="str">
        <f>+$A$5&amp;$A$220&amp;B304</f>
        <v>MurreysROLLOFFDISP</v>
      </c>
      <c r="B304" s="116" t="s">
        <v>742</v>
      </c>
      <c r="C304" s="116" t="s">
        <v>743</v>
      </c>
      <c r="D304" s="155">
        <v>153.47999999999999</v>
      </c>
      <c r="E304" s="155">
        <v>157.38</v>
      </c>
      <c r="F304" s="156">
        <v>333822.46000000002</v>
      </c>
      <c r="G304" s="156">
        <v>313961.26999999996</v>
      </c>
      <c r="H304" s="156">
        <v>297156.02999999997</v>
      </c>
      <c r="I304" s="156">
        <v>329667.63999999996</v>
      </c>
      <c r="J304" s="156">
        <v>283222.89</v>
      </c>
      <c r="K304" s="156">
        <v>347913.35</v>
      </c>
      <c r="L304" s="156">
        <v>322741.18999999994</v>
      </c>
      <c r="M304" s="156">
        <v>360655.64</v>
      </c>
      <c r="N304" s="156">
        <v>309566.99</v>
      </c>
      <c r="O304" s="156">
        <v>312059.74</v>
      </c>
      <c r="P304" s="156">
        <v>353941.76000000001</v>
      </c>
      <c r="Q304" s="156">
        <v>314790.36</v>
      </c>
      <c r="R304" s="157">
        <f t="shared" si="73"/>
        <v>3879499.32</v>
      </c>
      <c r="S304" s="158">
        <f t="shared" ref="S304:W308" si="74">+IFERROR(F304/$D304,0)</f>
        <v>2175.0225436538967</v>
      </c>
      <c r="T304" s="158">
        <f t="shared" si="74"/>
        <v>2045.6168230388323</v>
      </c>
      <c r="U304" s="158">
        <f t="shared" si="74"/>
        <v>1936.1221657544957</v>
      </c>
      <c r="V304" s="158">
        <f t="shared" si="74"/>
        <v>2147.9517852488921</v>
      </c>
      <c r="W304" s="158">
        <f t="shared" si="74"/>
        <v>1845.3406958561379</v>
      </c>
      <c r="X304" s="158">
        <f t="shared" ref="X304:AD308" si="75">+IFERROR(K304/$E304,0)</f>
        <v>2210.6579616215527</v>
      </c>
      <c r="Y304" s="158">
        <f t="shared" si="75"/>
        <v>2050.7128605921971</v>
      </c>
      <c r="Z304" s="158">
        <f t="shared" si="75"/>
        <v>2291.6230779006228</v>
      </c>
      <c r="AA304" s="158">
        <f t="shared" si="75"/>
        <v>1967.0033676451899</v>
      </c>
      <c r="AB304" s="158">
        <f t="shared" si="75"/>
        <v>1982.8424196212989</v>
      </c>
      <c r="AC304" s="158">
        <f t="shared" si="75"/>
        <v>2248.9627652814843</v>
      </c>
      <c r="AD304" s="158">
        <f t="shared" si="75"/>
        <v>2000.1929088829584</v>
      </c>
      <c r="AE304" s="157">
        <f>+SUM(S304:AD304)/$AB$3</f>
        <v>24902.049375097558</v>
      </c>
    </row>
    <row r="305" spans="1:31" outlineLevel="2">
      <c r="A305" s="135" t="str">
        <f>+$A$5&amp;$A$220&amp;B305</f>
        <v>MurreysROLLOFFDISP-ASB</v>
      </c>
      <c r="B305" s="116" t="s">
        <v>744</v>
      </c>
      <c r="C305" s="116" t="s">
        <v>745</v>
      </c>
      <c r="D305" s="155">
        <v>144.79</v>
      </c>
      <c r="E305" s="155">
        <v>144.79</v>
      </c>
      <c r="F305" s="156">
        <v>0</v>
      </c>
      <c r="G305" s="156">
        <v>0</v>
      </c>
      <c r="H305" s="156">
        <v>0</v>
      </c>
      <c r="I305" s="156">
        <v>0</v>
      </c>
      <c r="J305" s="156">
        <v>0</v>
      </c>
      <c r="K305" s="156">
        <v>0</v>
      </c>
      <c r="L305" s="156">
        <v>0</v>
      </c>
      <c r="M305" s="156">
        <v>0</v>
      </c>
      <c r="N305" s="156">
        <v>0</v>
      </c>
      <c r="O305" s="156">
        <v>0</v>
      </c>
      <c r="P305" s="156">
        <v>0</v>
      </c>
      <c r="Q305" s="156">
        <v>0</v>
      </c>
      <c r="R305" s="157">
        <f t="shared" si="73"/>
        <v>0</v>
      </c>
      <c r="S305" s="158">
        <f t="shared" si="74"/>
        <v>0</v>
      </c>
      <c r="T305" s="158">
        <f t="shared" si="74"/>
        <v>0</v>
      </c>
      <c r="U305" s="158">
        <f t="shared" si="74"/>
        <v>0</v>
      </c>
      <c r="V305" s="158">
        <f t="shared" si="74"/>
        <v>0</v>
      </c>
      <c r="W305" s="158">
        <f t="shared" si="74"/>
        <v>0</v>
      </c>
      <c r="X305" s="158">
        <f t="shared" si="75"/>
        <v>0</v>
      </c>
      <c r="Y305" s="158">
        <f t="shared" si="75"/>
        <v>0</v>
      </c>
      <c r="Z305" s="158">
        <f t="shared" si="75"/>
        <v>0</v>
      </c>
      <c r="AA305" s="158">
        <f t="shared" si="75"/>
        <v>0</v>
      </c>
      <c r="AB305" s="158">
        <f t="shared" si="75"/>
        <v>0</v>
      </c>
      <c r="AC305" s="158">
        <f t="shared" si="75"/>
        <v>0</v>
      </c>
      <c r="AD305" s="158">
        <f t="shared" si="75"/>
        <v>0</v>
      </c>
      <c r="AE305" s="157">
        <f>+SUM(S305:AD305)/$AB$3</f>
        <v>0</v>
      </c>
    </row>
    <row r="306" spans="1:31" outlineLevel="2">
      <c r="A306" s="135" t="str">
        <f>+$A$5&amp;$A$220&amp;B306</f>
        <v>MurreysROLLOFFDISP-MAN</v>
      </c>
      <c r="B306" s="116" t="s">
        <v>746</v>
      </c>
      <c r="C306" s="116" t="s">
        <v>747</v>
      </c>
      <c r="D306" s="155">
        <v>0</v>
      </c>
      <c r="E306" s="155">
        <v>0</v>
      </c>
      <c r="F306" s="156">
        <v>0</v>
      </c>
      <c r="G306" s="156">
        <v>0</v>
      </c>
      <c r="H306" s="156">
        <v>0</v>
      </c>
      <c r="I306" s="156">
        <v>0</v>
      </c>
      <c r="J306" s="156">
        <v>0</v>
      </c>
      <c r="K306" s="156">
        <v>0</v>
      </c>
      <c r="L306" s="156">
        <v>0</v>
      </c>
      <c r="M306" s="156">
        <v>0</v>
      </c>
      <c r="N306" s="156">
        <v>0</v>
      </c>
      <c r="O306" s="156">
        <v>0</v>
      </c>
      <c r="P306" s="156">
        <v>0</v>
      </c>
      <c r="Q306" s="156">
        <v>0</v>
      </c>
      <c r="R306" s="157">
        <f t="shared" si="73"/>
        <v>0</v>
      </c>
      <c r="S306" s="158">
        <f t="shared" si="74"/>
        <v>0</v>
      </c>
      <c r="T306" s="158">
        <f t="shared" si="74"/>
        <v>0</v>
      </c>
      <c r="U306" s="158">
        <f t="shared" si="74"/>
        <v>0</v>
      </c>
      <c r="V306" s="158">
        <f t="shared" si="74"/>
        <v>0</v>
      </c>
      <c r="W306" s="158">
        <f t="shared" si="74"/>
        <v>0</v>
      </c>
      <c r="X306" s="158">
        <f t="shared" si="75"/>
        <v>0</v>
      </c>
      <c r="Y306" s="158">
        <f t="shared" si="75"/>
        <v>0</v>
      </c>
      <c r="Z306" s="158">
        <f t="shared" si="75"/>
        <v>0</v>
      </c>
      <c r="AA306" s="158">
        <f t="shared" si="75"/>
        <v>0</v>
      </c>
      <c r="AB306" s="158">
        <f t="shared" si="75"/>
        <v>0</v>
      </c>
      <c r="AC306" s="158">
        <f t="shared" si="75"/>
        <v>0</v>
      </c>
      <c r="AD306" s="158">
        <f t="shared" si="75"/>
        <v>0</v>
      </c>
      <c r="AE306" s="157">
        <f>+SUM(S306:AD306)/$AB$3</f>
        <v>0</v>
      </c>
    </row>
    <row r="307" spans="1:31" outlineLevel="2">
      <c r="A307" s="135" t="str">
        <f>+$A$5&amp;$A$220&amp;B307</f>
        <v>MurreysROLLOFFDISP-RECY</v>
      </c>
      <c r="B307" s="116" t="s">
        <v>748</v>
      </c>
      <c r="C307" s="116" t="s">
        <v>749</v>
      </c>
      <c r="D307" s="155">
        <v>0</v>
      </c>
      <c r="E307" s="155">
        <v>0</v>
      </c>
      <c r="F307" s="156">
        <v>0</v>
      </c>
      <c r="G307" s="156">
        <v>0</v>
      </c>
      <c r="H307" s="156">
        <v>0</v>
      </c>
      <c r="I307" s="156">
        <v>0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56">
        <v>0</v>
      </c>
      <c r="Q307" s="156">
        <v>0</v>
      </c>
      <c r="R307" s="157">
        <f t="shared" si="73"/>
        <v>0</v>
      </c>
      <c r="S307" s="158">
        <f t="shared" si="74"/>
        <v>0</v>
      </c>
      <c r="T307" s="158">
        <f t="shared" si="74"/>
        <v>0</v>
      </c>
      <c r="U307" s="158">
        <f t="shared" si="74"/>
        <v>0</v>
      </c>
      <c r="V307" s="158">
        <f t="shared" si="74"/>
        <v>0</v>
      </c>
      <c r="W307" s="158">
        <f t="shared" si="74"/>
        <v>0</v>
      </c>
      <c r="X307" s="158">
        <f t="shared" si="75"/>
        <v>0</v>
      </c>
      <c r="Y307" s="158">
        <f t="shared" si="75"/>
        <v>0</v>
      </c>
      <c r="Z307" s="158">
        <f t="shared" si="75"/>
        <v>0</v>
      </c>
      <c r="AA307" s="158">
        <f t="shared" si="75"/>
        <v>0</v>
      </c>
      <c r="AB307" s="158">
        <f t="shared" si="75"/>
        <v>0</v>
      </c>
      <c r="AC307" s="158">
        <f t="shared" si="75"/>
        <v>0</v>
      </c>
      <c r="AD307" s="158">
        <f t="shared" si="75"/>
        <v>0</v>
      </c>
      <c r="AE307" s="157">
        <f>+SUM(S307:AD307)/$AB$3</f>
        <v>0</v>
      </c>
    </row>
    <row r="308" spans="1:31" outlineLevel="2">
      <c r="A308" s="135" t="str">
        <f>+$A$5&amp;$A$220&amp;B308</f>
        <v>MurreysROLLOFFDISP-WD</v>
      </c>
      <c r="B308" s="116" t="s">
        <v>750</v>
      </c>
      <c r="C308" s="116" t="s">
        <v>751</v>
      </c>
      <c r="D308" s="155">
        <v>19</v>
      </c>
      <c r="E308" s="155">
        <v>19</v>
      </c>
      <c r="F308" s="156">
        <v>0</v>
      </c>
      <c r="G308" s="156">
        <v>0</v>
      </c>
      <c r="H308" s="156">
        <v>65.28</v>
      </c>
      <c r="I308" s="156">
        <v>-34</v>
      </c>
      <c r="J308" s="156">
        <v>-31.28</v>
      </c>
      <c r="K308" s="156">
        <v>0</v>
      </c>
      <c r="L308" s="156">
        <v>0</v>
      </c>
      <c r="M308" s="156">
        <v>0</v>
      </c>
      <c r="N308" s="156">
        <v>0</v>
      </c>
      <c r="O308" s="156">
        <v>0</v>
      </c>
      <c r="P308" s="156">
        <v>0</v>
      </c>
      <c r="Q308" s="156">
        <v>0</v>
      </c>
      <c r="R308" s="157">
        <f t="shared" si="73"/>
        <v>0</v>
      </c>
      <c r="S308" s="158">
        <f t="shared" si="74"/>
        <v>0</v>
      </c>
      <c r="T308" s="158">
        <f t="shared" si="74"/>
        <v>0</v>
      </c>
      <c r="U308" s="158">
        <f t="shared" si="74"/>
        <v>3.4357894736842107</v>
      </c>
      <c r="V308" s="158">
        <f t="shared" si="74"/>
        <v>-1.7894736842105263</v>
      </c>
      <c r="W308" s="158">
        <f t="shared" si="74"/>
        <v>-1.6463157894736842</v>
      </c>
      <c r="X308" s="158">
        <f t="shared" si="75"/>
        <v>0</v>
      </c>
      <c r="Y308" s="158">
        <f t="shared" si="75"/>
        <v>0</v>
      </c>
      <c r="Z308" s="158">
        <f t="shared" si="75"/>
        <v>0</v>
      </c>
      <c r="AA308" s="158">
        <f t="shared" si="75"/>
        <v>0</v>
      </c>
      <c r="AB308" s="158">
        <f t="shared" si="75"/>
        <v>0</v>
      </c>
      <c r="AC308" s="158">
        <f t="shared" si="75"/>
        <v>0</v>
      </c>
      <c r="AD308" s="158">
        <f t="shared" si="75"/>
        <v>0</v>
      </c>
      <c r="AE308" s="157">
        <f>+SUM(S308:AD308)/$AB$3</f>
        <v>2.2204460492503131E-16</v>
      </c>
    </row>
    <row r="309" spans="1:31" outlineLevel="2">
      <c r="B309" s="116"/>
      <c r="C309" s="116"/>
      <c r="D309" s="155"/>
      <c r="E309" s="155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7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7"/>
    </row>
    <row r="310" spans="1:31" outlineLevel="1">
      <c r="B310" s="116"/>
      <c r="C310" s="159" t="s">
        <v>752</v>
      </c>
      <c r="D310" s="155"/>
      <c r="E310" s="155"/>
      <c r="F310" s="162">
        <f t="shared" ref="F310:Q310" si="76">SUM(F304:F309)</f>
        <v>333822.46000000002</v>
      </c>
      <c r="G310" s="162">
        <f t="shared" si="76"/>
        <v>313961.26999999996</v>
      </c>
      <c r="H310" s="162">
        <f t="shared" si="76"/>
        <v>297221.31</v>
      </c>
      <c r="I310" s="162">
        <f t="shared" si="76"/>
        <v>329633.63999999996</v>
      </c>
      <c r="J310" s="162">
        <f t="shared" si="76"/>
        <v>283191.61</v>
      </c>
      <c r="K310" s="162">
        <f t="shared" si="76"/>
        <v>347913.35</v>
      </c>
      <c r="L310" s="162">
        <f t="shared" si="76"/>
        <v>322741.18999999994</v>
      </c>
      <c r="M310" s="162">
        <f t="shared" si="76"/>
        <v>360655.64</v>
      </c>
      <c r="N310" s="162">
        <f t="shared" si="76"/>
        <v>309566.99</v>
      </c>
      <c r="O310" s="162">
        <f t="shared" si="76"/>
        <v>312059.74</v>
      </c>
      <c r="P310" s="162">
        <f t="shared" si="76"/>
        <v>353941.76000000001</v>
      </c>
      <c r="Q310" s="162">
        <f t="shared" si="76"/>
        <v>314790.36</v>
      </c>
      <c r="R310" s="163">
        <f>SUM(F310:Q310)</f>
        <v>3879499.32</v>
      </c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3"/>
    </row>
    <row r="311" spans="1:31" outlineLevel="1">
      <c r="B311" s="116"/>
      <c r="D311" s="155"/>
      <c r="E311" s="155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7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7"/>
    </row>
    <row r="312" spans="1:31" outlineLevel="1">
      <c r="D312" s="155"/>
      <c r="E312" s="155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7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7"/>
    </row>
    <row r="313" spans="1:31" s="172" customFormat="1">
      <c r="B313" s="136" t="s">
        <v>753</v>
      </c>
      <c r="C313" s="136"/>
      <c r="D313" s="155"/>
      <c r="E313" s="155"/>
      <c r="F313" s="167">
        <f t="shared" ref="F313:Q313" si="77">+F301+F310</f>
        <v>501260.92000000004</v>
      </c>
      <c r="G313" s="167">
        <f t="shared" si="77"/>
        <v>468686.99</v>
      </c>
      <c r="H313" s="167">
        <f t="shared" si="77"/>
        <v>453689.59</v>
      </c>
      <c r="I313" s="167">
        <f t="shared" si="77"/>
        <v>483434.5</v>
      </c>
      <c r="J313" s="167">
        <f t="shared" si="77"/>
        <v>422892.51</v>
      </c>
      <c r="K313" s="167">
        <f t="shared" si="77"/>
        <v>519079.94</v>
      </c>
      <c r="L313" s="167">
        <f t="shared" si="77"/>
        <v>481319.95999999996</v>
      </c>
      <c r="M313" s="167">
        <f t="shared" si="77"/>
        <v>537924.18000000005</v>
      </c>
      <c r="N313" s="167">
        <f t="shared" si="77"/>
        <v>464719.61</v>
      </c>
      <c r="O313" s="167">
        <f t="shared" si="77"/>
        <v>471887.65</v>
      </c>
      <c r="P313" s="167">
        <f t="shared" si="77"/>
        <v>534636.55000000005</v>
      </c>
      <c r="Q313" s="167">
        <f t="shared" si="77"/>
        <v>473163.5</v>
      </c>
      <c r="R313" s="168">
        <f>SUM(F313:Q313)</f>
        <v>5812695.9000000004</v>
      </c>
      <c r="S313" s="167">
        <f t="shared" ref="S313:AE313" si="78">+S301+S310</f>
        <v>243.31953423748135</v>
      </c>
      <c r="T313" s="167">
        <f t="shared" si="78"/>
        <v>241.06667712062745</v>
      </c>
      <c r="U313" s="167">
        <f t="shared" si="78"/>
        <v>239.59691623619915</v>
      </c>
      <c r="V313" s="167">
        <f t="shared" si="78"/>
        <v>239.36447574222768</v>
      </c>
      <c r="W313" s="167">
        <f t="shared" si="78"/>
        <v>227.93806626799409</v>
      </c>
      <c r="X313" s="167">
        <f t="shared" si="78"/>
        <v>234.58832019987125</v>
      </c>
      <c r="Y313" s="167">
        <f t="shared" si="78"/>
        <v>237.23332602105637</v>
      </c>
      <c r="Z313" s="167">
        <f t="shared" si="78"/>
        <v>234.77758727867209</v>
      </c>
      <c r="AA313" s="167">
        <f t="shared" si="78"/>
        <v>234.73341411119185</v>
      </c>
      <c r="AB313" s="167">
        <f t="shared" si="78"/>
        <v>231.15908914137498</v>
      </c>
      <c r="AC313" s="167">
        <f t="shared" si="78"/>
        <v>238.33610413094053</v>
      </c>
      <c r="AD313" s="167">
        <f t="shared" si="78"/>
        <v>240.13341112407622</v>
      </c>
      <c r="AE313" s="168">
        <f t="shared" si="78"/>
        <v>2842.2469216117133</v>
      </c>
    </row>
    <row r="314" spans="1:31" s="172" customFormat="1">
      <c r="B314" s="136"/>
      <c r="C314" s="136"/>
      <c r="D314" s="155"/>
      <c r="E314" s="155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7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68"/>
    </row>
    <row r="315" spans="1:31" s="172" customFormat="1">
      <c r="B315" s="136"/>
      <c r="C315" s="136"/>
      <c r="D315" s="155"/>
      <c r="E315" s="155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7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68"/>
    </row>
    <row r="316" spans="1:31" outlineLevel="1">
      <c r="B316" s="150" t="s">
        <v>754</v>
      </c>
      <c r="D316" s="155"/>
      <c r="E316" s="155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7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7"/>
    </row>
    <row r="317" spans="1:31" outlineLevel="1">
      <c r="B317" s="116" t="s">
        <v>755</v>
      </c>
      <c r="C317" s="116" t="s">
        <v>756</v>
      </c>
      <c r="D317" s="155">
        <v>0</v>
      </c>
      <c r="E317" s="155">
        <v>0</v>
      </c>
      <c r="F317" s="156">
        <v>386.7</v>
      </c>
      <c r="G317" s="156">
        <v>390</v>
      </c>
      <c r="H317" s="156">
        <v>1015.8</v>
      </c>
      <c r="I317" s="156">
        <v>492.7</v>
      </c>
      <c r="J317" s="156">
        <v>508</v>
      </c>
      <c r="K317" s="156">
        <v>669.5</v>
      </c>
      <c r="L317" s="156">
        <v>472.3</v>
      </c>
      <c r="M317" s="156">
        <v>442.79999999999995</v>
      </c>
      <c r="N317" s="156">
        <v>1084.7</v>
      </c>
      <c r="O317" s="156">
        <v>312.29999999999995</v>
      </c>
      <c r="P317" s="156">
        <v>379.4</v>
      </c>
      <c r="Q317" s="156">
        <v>357.5</v>
      </c>
      <c r="R317" s="157">
        <f>SUM(F317:Q317)</f>
        <v>6511.7</v>
      </c>
      <c r="S317" s="158">
        <f t="shared" ref="S317:W319" si="79">+IFERROR(F317/$D317,0)</f>
        <v>0</v>
      </c>
      <c r="T317" s="158">
        <f t="shared" si="79"/>
        <v>0</v>
      </c>
      <c r="U317" s="158">
        <f t="shared" si="79"/>
        <v>0</v>
      </c>
      <c r="V317" s="158">
        <f t="shared" si="79"/>
        <v>0</v>
      </c>
      <c r="W317" s="158">
        <f t="shared" si="79"/>
        <v>0</v>
      </c>
      <c r="X317" s="158">
        <f t="shared" ref="X317:AD319" si="80">+IFERROR(K317/$E317,0)</f>
        <v>0</v>
      </c>
      <c r="Y317" s="158">
        <f t="shared" si="80"/>
        <v>0</v>
      </c>
      <c r="Z317" s="158">
        <f t="shared" si="80"/>
        <v>0</v>
      </c>
      <c r="AA317" s="158">
        <f t="shared" si="80"/>
        <v>0</v>
      </c>
      <c r="AB317" s="158">
        <f t="shared" si="80"/>
        <v>0</v>
      </c>
      <c r="AC317" s="158">
        <f t="shared" si="80"/>
        <v>0</v>
      </c>
      <c r="AD317" s="158">
        <f t="shared" si="80"/>
        <v>0</v>
      </c>
      <c r="AE317" s="157">
        <f>+SUM(S317:AD317)/$AB$3</f>
        <v>0</v>
      </c>
    </row>
    <row r="318" spans="1:31" outlineLevel="1">
      <c r="B318" s="116" t="s">
        <v>757</v>
      </c>
      <c r="C318" s="116" t="s">
        <v>758</v>
      </c>
      <c r="D318" s="155">
        <v>0</v>
      </c>
      <c r="E318" s="155">
        <v>0</v>
      </c>
      <c r="F318" s="156">
        <v>3747.5</v>
      </c>
      <c r="G318" s="156">
        <v>3496.8</v>
      </c>
      <c r="H318" s="156">
        <v>4465</v>
      </c>
      <c r="I318" s="156">
        <v>4166.45</v>
      </c>
      <c r="J318" s="156">
        <v>3474</v>
      </c>
      <c r="K318" s="156">
        <v>4066.8</v>
      </c>
      <c r="L318" s="156">
        <v>4256.3999999999996</v>
      </c>
      <c r="M318" s="156">
        <v>4399</v>
      </c>
      <c r="N318" s="156">
        <v>4730.2000000000007</v>
      </c>
      <c r="O318" s="156">
        <v>3613.7999999999997</v>
      </c>
      <c r="P318" s="156">
        <v>4830.3999999999996</v>
      </c>
      <c r="Q318" s="156">
        <v>3491.4</v>
      </c>
      <c r="R318" s="157">
        <f>SUM(F318:Q318)</f>
        <v>48737.75</v>
      </c>
      <c r="S318" s="158">
        <f t="shared" si="79"/>
        <v>0</v>
      </c>
      <c r="T318" s="158">
        <f t="shared" si="79"/>
        <v>0</v>
      </c>
      <c r="U318" s="158">
        <f t="shared" si="79"/>
        <v>0</v>
      </c>
      <c r="V318" s="158">
        <f t="shared" si="79"/>
        <v>0</v>
      </c>
      <c r="W318" s="158">
        <f t="shared" si="79"/>
        <v>0</v>
      </c>
      <c r="X318" s="158">
        <f t="shared" si="80"/>
        <v>0</v>
      </c>
      <c r="Y318" s="158">
        <f t="shared" si="80"/>
        <v>0</v>
      </c>
      <c r="Z318" s="158">
        <f t="shared" si="80"/>
        <v>0</v>
      </c>
      <c r="AA318" s="158">
        <f t="shared" si="80"/>
        <v>0</v>
      </c>
      <c r="AB318" s="158">
        <f t="shared" si="80"/>
        <v>0</v>
      </c>
      <c r="AC318" s="158">
        <f t="shared" si="80"/>
        <v>0</v>
      </c>
      <c r="AD318" s="158">
        <f t="shared" si="80"/>
        <v>0</v>
      </c>
      <c r="AE318" s="157">
        <f>+SUM(S318:AD318)/$AB$3</f>
        <v>0</v>
      </c>
    </row>
    <row r="319" spans="1:31" outlineLevel="1">
      <c r="B319" s="116" t="s">
        <v>759</v>
      </c>
      <c r="C319" s="116" t="s">
        <v>760</v>
      </c>
      <c r="D319" s="155">
        <v>0</v>
      </c>
      <c r="E319" s="155">
        <v>0</v>
      </c>
      <c r="F319" s="156">
        <v>3460.1</v>
      </c>
      <c r="G319" s="156">
        <v>3287.8999999999996</v>
      </c>
      <c r="H319" s="156">
        <v>4782.3999999999996</v>
      </c>
      <c r="I319" s="156">
        <v>3597.8</v>
      </c>
      <c r="J319" s="156">
        <v>4378.1499999999996</v>
      </c>
      <c r="K319" s="156">
        <v>4315.1499999999996</v>
      </c>
      <c r="L319" s="156">
        <v>4715.8999999999996</v>
      </c>
      <c r="M319" s="156">
        <v>4829.6499999999996</v>
      </c>
      <c r="N319" s="156">
        <v>4665.1499999999996</v>
      </c>
      <c r="O319" s="156">
        <v>3930.15</v>
      </c>
      <c r="P319" s="156">
        <v>5224.45</v>
      </c>
      <c r="Q319" s="156">
        <v>3405.1499999999996</v>
      </c>
      <c r="R319" s="157">
        <f>SUM(F319:Q319)</f>
        <v>50591.950000000004</v>
      </c>
      <c r="S319" s="158">
        <f t="shared" si="79"/>
        <v>0</v>
      </c>
      <c r="T319" s="158">
        <f t="shared" si="79"/>
        <v>0</v>
      </c>
      <c r="U319" s="158">
        <f t="shared" si="79"/>
        <v>0</v>
      </c>
      <c r="V319" s="158">
        <f t="shared" si="79"/>
        <v>0</v>
      </c>
      <c r="W319" s="158">
        <f t="shared" si="79"/>
        <v>0</v>
      </c>
      <c r="X319" s="158">
        <f t="shared" si="80"/>
        <v>0</v>
      </c>
      <c r="Y319" s="158">
        <f t="shared" si="80"/>
        <v>0</v>
      </c>
      <c r="Z319" s="158">
        <f t="shared" si="80"/>
        <v>0</v>
      </c>
      <c r="AA319" s="158">
        <f t="shared" si="80"/>
        <v>0</v>
      </c>
      <c r="AB319" s="158">
        <f t="shared" si="80"/>
        <v>0</v>
      </c>
      <c r="AC319" s="158">
        <f t="shared" si="80"/>
        <v>0</v>
      </c>
      <c r="AD319" s="158">
        <f t="shared" si="80"/>
        <v>0</v>
      </c>
      <c r="AE319" s="157">
        <f>+SUM(S319:AD319)/$AB$3</f>
        <v>0</v>
      </c>
    </row>
    <row r="320" spans="1:31" outlineLevel="1">
      <c r="B320" s="116"/>
      <c r="C320" s="116"/>
      <c r="D320" s="155"/>
      <c r="E320" s="155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7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7"/>
    </row>
    <row r="321" spans="1:31" outlineLevel="1" collapsed="1">
      <c r="B321" s="116"/>
      <c r="C321" s="159" t="s">
        <v>761</v>
      </c>
      <c r="D321" s="155"/>
      <c r="E321" s="155"/>
      <c r="F321" s="162">
        <f t="shared" ref="F321:Q321" si="81">+SUM(F317:F320)</f>
        <v>7594.2999999999993</v>
      </c>
      <c r="G321" s="162">
        <f t="shared" si="81"/>
        <v>7174.7</v>
      </c>
      <c r="H321" s="162">
        <f t="shared" si="81"/>
        <v>10263.200000000001</v>
      </c>
      <c r="I321" s="162">
        <f t="shared" si="81"/>
        <v>8256.9500000000007</v>
      </c>
      <c r="J321" s="162">
        <f t="shared" si="81"/>
        <v>8360.15</v>
      </c>
      <c r="K321" s="162">
        <f t="shared" si="81"/>
        <v>9051.4500000000007</v>
      </c>
      <c r="L321" s="162">
        <f t="shared" si="81"/>
        <v>9444.5999999999985</v>
      </c>
      <c r="M321" s="162">
        <f t="shared" si="81"/>
        <v>9671.4500000000007</v>
      </c>
      <c r="N321" s="162">
        <f t="shared" si="81"/>
        <v>10480.049999999999</v>
      </c>
      <c r="O321" s="162">
        <f t="shared" si="81"/>
        <v>7856.25</v>
      </c>
      <c r="P321" s="162">
        <f t="shared" si="81"/>
        <v>10434.25</v>
      </c>
      <c r="Q321" s="162">
        <f t="shared" si="81"/>
        <v>7254.0499999999993</v>
      </c>
      <c r="R321" s="163">
        <f>SUM(F321:Q321)</f>
        <v>105841.40000000001</v>
      </c>
      <c r="S321" s="162">
        <f t="shared" ref="S321:AE321" si="82">+SUM(S317:S320)</f>
        <v>0</v>
      </c>
      <c r="T321" s="162">
        <f t="shared" si="82"/>
        <v>0</v>
      </c>
      <c r="U321" s="162">
        <f t="shared" si="82"/>
        <v>0</v>
      </c>
      <c r="V321" s="162">
        <f t="shared" si="82"/>
        <v>0</v>
      </c>
      <c r="W321" s="162">
        <f t="shared" si="82"/>
        <v>0</v>
      </c>
      <c r="X321" s="162">
        <f t="shared" si="82"/>
        <v>0</v>
      </c>
      <c r="Y321" s="162">
        <f t="shared" si="82"/>
        <v>0</v>
      </c>
      <c r="Z321" s="162">
        <f t="shared" si="82"/>
        <v>0</v>
      </c>
      <c r="AA321" s="162">
        <f t="shared" si="82"/>
        <v>0</v>
      </c>
      <c r="AB321" s="162">
        <f t="shared" si="82"/>
        <v>0</v>
      </c>
      <c r="AC321" s="162">
        <f t="shared" si="82"/>
        <v>0</v>
      </c>
      <c r="AD321" s="162">
        <f t="shared" si="82"/>
        <v>0</v>
      </c>
      <c r="AE321" s="163">
        <f t="shared" si="82"/>
        <v>0</v>
      </c>
    </row>
    <row r="322" spans="1:31" outlineLevel="1">
      <c r="B322" s="116"/>
      <c r="C322" s="159"/>
      <c r="D322" s="155"/>
      <c r="E322" s="15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6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6"/>
    </row>
    <row r="323" spans="1:31" outlineLevel="1">
      <c r="B323" s="116"/>
      <c r="D323" s="155"/>
      <c r="E323" s="155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71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71"/>
    </row>
    <row r="324" spans="1:31" s="172" customFormat="1">
      <c r="B324" s="136" t="s">
        <v>762</v>
      </c>
      <c r="C324" s="136"/>
      <c r="D324" s="155"/>
      <c r="E324" s="155"/>
      <c r="F324" s="167">
        <f>+F321</f>
        <v>7594.2999999999993</v>
      </c>
      <c r="G324" s="167">
        <f t="shared" ref="G324:Q324" si="83">+G321</f>
        <v>7174.7</v>
      </c>
      <c r="H324" s="167">
        <f t="shared" si="83"/>
        <v>10263.200000000001</v>
      </c>
      <c r="I324" s="167">
        <f t="shared" si="83"/>
        <v>8256.9500000000007</v>
      </c>
      <c r="J324" s="167">
        <f t="shared" si="83"/>
        <v>8360.15</v>
      </c>
      <c r="K324" s="167">
        <f t="shared" si="83"/>
        <v>9051.4500000000007</v>
      </c>
      <c r="L324" s="167">
        <f t="shared" si="83"/>
        <v>9444.5999999999985</v>
      </c>
      <c r="M324" s="167">
        <f t="shared" si="83"/>
        <v>9671.4500000000007</v>
      </c>
      <c r="N324" s="167">
        <f t="shared" si="83"/>
        <v>10480.049999999999</v>
      </c>
      <c r="O324" s="167">
        <f t="shared" si="83"/>
        <v>7856.25</v>
      </c>
      <c r="P324" s="167">
        <f t="shared" si="83"/>
        <v>10434.25</v>
      </c>
      <c r="Q324" s="167">
        <f t="shared" si="83"/>
        <v>7254.0499999999993</v>
      </c>
      <c r="R324" s="168">
        <f>SUM(F324:Q324)</f>
        <v>105841.40000000001</v>
      </c>
      <c r="S324" s="167">
        <f t="shared" ref="S324:AE324" si="84">+S321</f>
        <v>0</v>
      </c>
      <c r="T324" s="167">
        <f t="shared" si="84"/>
        <v>0</v>
      </c>
      <c r="U324" s="167">
        <f t="shared" si="84"/>
        <v>0</v>
      </c>
      <c r="V324" s="167">
        <f t="shared" si="84"/>
        <v>0</v>
      </c>
      <c r="W324" s="167">
        <f t="shared" si="84"/>
        <v>0</v>
      </c>
      <c r="X324" s="167">
        <f t="shared" si="84"/>
        <v>0</v>
      </c>
      <c r="Y324" s="167">
        <f t="shared" si="84"/>
        <v>0</v>
      </c>
      <c r="Z324" s="167">
        <f t="shared" si="84"/>
        <v>0</v>
      </c>
      <c r="AA324" s="167">
        <f t="shared" si="84"/>
        <v>0</v>
      </c>
      <c r="AB324" s="167">
        <f t="shared" si="84"/>
        <v>0</v>
      </c>
      <c r="AC324" s="167">
        <f t="shared" si="84"/>
        <v>0</v>
      </c>
      <c r="AD324" s="167">
        <f t="shared" si="84"/>
        <v>0</v>
      </c>
      <c r="AE324" s="168">
        <f t="shared" si="84"/>
        <v>0</v>
      </c>
    </row>
    <row r="325" spans="1:31" s="172" customFormat="1">
      <c r="B325" s="136"/>
      <c r="C325" s="136"/>
      <c r="D325" s="155"/>
      <c r="E325" s="155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8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68"/>
    </row>
    <row r="326" spans="1:31" s="172" customFormat="1">
      <c r="B326" s="136"/>
      <c r="C326" s="136"/>
      <c r="D326" s="155"/>
      <c r="E326" s="155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8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68"/>
    </row>
    <row r="327" spans="1:31" outlineLevel="1">
      <c r="A327" s="135" t="s">
        <v>763</v>
      </c>
      <c r="B327" s="150" t="s">
        <v>764</v>
      </c>
      <c r="D327" s="155"/>
      <c r="E327" s="155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7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7"/>
    </row>
    <row r="328" spans="1:31" outlineLevel="1">
      <c r="A328" s="135" t="str">
        <f t="shared" ref="A328:A335" si="85">+$A$5&amp;$A$327&amp;B328</f>
        <v>MurreysACCOUNTINGADJ-SB</v>
      </c>
      <c r="B328" s="116" t="s">
        <v>765</v>
      </c>
      <c r="C328" s="116" t="s">
        <v>766</v>
      </c>
      <c r="D328" s="155">
        <v>0</v>
      </c>
      <c r="E328" s="155">
        <v>0</v>
      </c>
      <c r="F328" s="156">
        <v>1.9000000000000001</v>
      </c>
      <c r="G328" s="156">
        <v>1.2000000000000002</v>
      </c>
      <c r="H328" s="156">
        <v>1.82</v>
      </c>
      <c r="I328" s="156">
        <v>1.86</v>
      </c>
      <c r="J328" s="156">
        <v>0.78999999999999992</v>
      </c>
      <c r="K328" s="156">
        <v>1.7699999999999998</v>
      </c>
      <c r="L328" s="156">
        <v>-4.9999999999999989E-2</v>
      </c>
      <c r="M328" s="156">
        <v>1.27</v>
      </c>
      <c r="N328" s="156">
        <v>0.71000000000000008</v>
      </c>
      <c r="O328" s="156">
        <v>0.03</v>
      </c>
      <c r="P328" s="156">
        <v>0.34</v>
      </c>
      <c r="Q328" s="156">
        <v>0</v>
      </c>
      <c r="R328" s="157">
        <f t="shared" ref="R328:R336" si="86">SUM(F328:Q328)</f>
        <v>11.64</v>
      </c>
      <c r="S328" s="158">
        <f t="shared" ref="S328:W335" si="87">+IFERROR(F328/$D328,0)</f>
        <v>0</v>
      </c>
      <c r="T328" s="158">
        <f t="shared" si="87"/>
        <v>0</v>
      </c>
      <c r="U328" s="158">
        <f t="shared" si="87"/>
        <v>0</v>
      </c>
      <c r="V328" s="158">
        <f t="shared" si="87"/>
        <v>0</v>
      </c>
      <c r="W328" s="158">
        <f t="shared" si="87"/>
        <v>0</v>
      </c>
      <c r="X328" s="158">
        <f t="shared" ref="X328:AD335" si="88">+IFERROR(K328/$E328,0)</f>
        <v>0</v>
      </c>
      <c r="Y328" s="158">
        <f t="shared" si="88"/>
        <v>0</v>
      </c>
      <c r="Z328" s="158">
        <f t="shared" si="88"/>
        <v>0</v>
      </c>
      <c r="AA328" s="158">
        <f t="shared" si="88"/>
        <v>0</v>
      </c>
      <c r="AB328" s="158">
        <f t="shared" si="88"/>
        <v>0</v>
      </c>
      <c r="AC328" s="158">
        <f t="shared" si="88"/>
        <v>0</v>
      </c>
      <c r="AD328" s="158">
        <f t="shared" si="88"/>
        <v>0</v>
      </c>
      <c r="AE328" s="157">
        <f t="shared" ref="AE328:AE335" si="89">+SUM(S328:AD328)/$AB$3</f>
        <v>0</v>
      </c>
    </row>
    <row r="329" spans="1:31" outlineLevel="1">
      <c r="A329" s="135" t="str">
        <f t="shared" si="85"/>
        <v>MurreysACCOUNTINGADJTAX</v>
      </c>
      <c r="B329" s="116" t="s">
        <v>767</v>
      </c>
      <c r="C329" s="116" t="s">
        <v>768</v>
      </c>
      <c r="D329" s="155">
        <v>0</v>
      </c>
      <c r="E329" s="155">
        <v>0</v>
      </c>
      <c r="F329" s="156">
        <v>0</v>
      </c>
      <c r="G329" s="156">
        <v>-4.1399999999999997</v>
      </c>
      <c r="H329" s="156">
        <v>0</v>
      </c>
      <c r="I329" s="156">
        <v>0</v>
      </c>
      <c r="J329" s="156">
        <v>0</v>
      </c>
      <c r="K329" s="156">
        <v>0</v>
      </c>
      <c r="L329" s="156">
        <v>0</v>
      </c>
      <c r="M329" s="156">
        <v>0</v>
      </c>
      <c r="N329" s="156">
        <v>2530.9</v>
      </c>
      <c r="O329" s="156">
        <v>-133.88</v>
      </c>
      <c r="P329" s="156">
        <v>-3.93</v>
      </c>
      <c r="Q329" s="156">
        <v>-57.06</v>
      </c>
      <c r="R329" s="157">
        <f t="shared" si="86"/>
        <v>2331.8900000000003</v>
      </c>
      <c r="S329" s="158">
        <f t="shared" si="87"/>
        <v>0</v>
      </c>
      <c r="T329" s="158">
        <f t="shared" si="87"/>
        <v>0</v>
      </c>
      <c r="U329" s="158">
        <f t="shared" si="87"/>
        <v>0</v>
      </c>
      <c r="V329" s="158">
        <f t="shared" si="87"/>
        <v>0</v>
      </c>
      <c r="W329" s="158">
        <f t="shared" si="87"/>
        <v>0</v>
      </c>
      <c r="X329" s="158">
        <f t="shared" si="88"/>
        <v>0</v>
      </c>
      <c r="Y329" s="158">
        <f t="shared" si="88"/>
        <v>0</v>
      </c>
      <c r="Z329" s="158">
        <f t="shared" si="88"/>
        <v>0</v>
      </c>
      <c r="AA329" s="158">
        <f t="shared" si="88"/>
        <v>0</v>
      </c>
      <c r="AB329" s="158">
        <f t="shared" si="88"/>
        <v>0</v>
      </c>
      <c r="AC329" s="158">
        <f t="shared" si="88"/>
        <v>0</v>
      </c>
      <c r="AD329" s="158">
        <f t="shared" si="88"/>
        <v>0</v>
      </c>
      <c r="AE329" s="157">
        <f t="shared" si="89"/>
        <v>0</v>
      </c>
    </row>
    <row r="330" spans="1:31" outlineLevel="1">
      <c r="A330" s="135" t="str">
        <f t="shared" si="85"/>
        <v>MurreysACCOUNTINGEMPLOYEE</v>
      </c>
      <c r="B330" s="116" t="s">
        <v>769</v>
      </c>
      <c r="C330" s="116" t="s">
        <v>770</v>
      </c>
      <c r="D330" s="155">
        <v>0</v>
      </c>
      <c r="E330" s="155">
        <v>0</v>
      </c>
      <c r="F330" s="156">
        <v>0</v>
      </c>
      <c r="G330" s="156">
        <v>0</v>
      </c>
      <c r="H330" s="156">
        <v>0</v>
      </c>
      <c r="I330" s="156">
        <v>0</v>
      </c>
      <c r="J330" s="156">
        <v>0</v>
      </c>
      <c r="K330" s="156">
        <v>0</v>
      </c>
      <c r="L330" s="156">
        <v>0</v>
      </c>
      <c r="M330" s="156">
        <v>0</v>
      </c>
      <c r="N330" s="156">
        <v>0</v>
      </c>
      <c r="O330" s="156">
        <v>0</v>
      </c>
      <c r="P330" s="156">
        <v>0</v>
      </c>
      <c r="Q330" s="156">
        <v>0</v>
      </c>
      <c r="R330" s="157">
        <f t="shared" si="86"/>
        <v>0</v>
      </c>
      <c r="S330" s="158">
        <f t="shared" si="87"/>
        <v>0</v>
      </c>
      <c r="T330" s="158">
        <f t="shared" si="87"/>
        <v>0</v>
      </c>
      <c r="U330" s="158">
        <f t="shared" si="87"/>
        <v>0</v>
      </c>
      <c r="V330" s="158">
        <f t="shared" si="87"/>
        <v>0</v>
      </c>
      <c r="W330" s="158">
        <f t="shared" si="87"/>
        <v>0</v>
      </c>
      <c r="X330" s="158">
        <f t="shared" si="88"/>
        <v>0</v>
      </c>
      <c r="Y330" s="158">
        <f t="shared" si="88"/>
        <v>0</v>
      </c>
      <c r="Z330" s="158">
        <f t="shared" si="88"/>
        <v>0</v>
      </c>
      <c r="AA330" s="158">
        <f t="shared" si="88"/>
        <v>0</v>
      </c>
      <c r="AB330" s="158">
        <f t="shared" si="88"/>
        <v>0</v>
      </c>
      <c r="AC330" s="158">
        <f t="shared" si="88"/>
        <v>0</v>
      </c>
      <c r="AD330" s="158">
        <f t="shared" si="88"/>
        <v>0</v>
      </c>
      <c r="AE330" s="157">
        <f t="shared" si="89"/>
        <v>0</v>
      </c>
    </row>
    <row r="331" spans="1:31" s="137" customFormat="1" outlineLevel="1">
      <c r="A331" s="135" t="str">
        <f t="shared" si="85"/>
        <v>MurreysACCOUNTINGFINCHG</v>
      </c>
      <c r="B331" s="116" t="s">
        <v>771</v>
      </c>
      <c r="C331" s="116" t="s">
        <v>772</v>
      </c>
      <c r="D331" s="155">
        <v>0</v>
      </c>
      <c r="E331" s="155">
        <v>0</v>
      </c>
      <c r="F331" s="156">
        <v>2352.1</v>
      </c>
      <c r="G331" s="156">
        <v>3431.0200000000004</v>
      </c>
      <c r="H331" s="156">
        <v>3373.3300000000004</v>
      </c>
      <c r="I331" s="156">
        <v>2917.0899999999997</v>
      </c>
      <c r="J331" s="156">
        <v>3276.17</v>
      </c>
      <c r="K331" s="156">
        <v>2298.0099999999998</v>
      </c>
      <c r="L331" s="156">
        <v>2707.04</v>
      </c>
      <c r="M331" s="156">
        <v>2435.36</v>
      </c>
      <c r="N331" s="156">
        <v>2465.2400000000002</v>
      </c>
      <c r="O331" s="156">
        <v>2229.8200000000002</v>
      </c>
      <c r="P331" s="156">
        <v>2071.88</v>
      </c>
      <c r="Q331" s="156">
        <v>3066.33</v>
      </c>
      <c r="R331" s="157">
        <f t="shared" si="86"/>
        <v>32623.390000000007</v>
      </c>
      <c r="S331" s="158">
        <f t="shared" si="87"/>
        <v>0</v>
      </c>
      <c r="T331" s="158">
        <f t="shared" si="87"/>
        <v>0</v>
      </c>
      <c r="U331" s="158">
        <f t="shared" si="87"/>
        <v>0</v>
      </c>
      <c r="V331" s="158">
        <f t="shared" si="87"/>
        <v>0</v>
      </c>
      <c r="W331" s="158">
        <f t="shared" si="87"/>
        <v>0</v>
      </c>
      <c r="X331" s="158">
        <f t="shared" si="88"/>
        <v>0</v>
      </c>
      <c r="Y331" s="158">
        <f t="shared" si="88"/>
        <v>0</v>
      </c>
      <c r="Z331" s="158">
        <f t="shared" si="88"/>
        <v>0</v>
      </c>
      <c r="AA331" s="158">
        <f t="shared" si="88"/>
        <v>0</v>
      </c>
      <c r="AB331" s="158">
        <f t="shared" si="88"/>
        <v>0</v>
      </c>
      <c r="AC331" s="158">
        <f t="shared" si="88"/>
        <v>0</v>
      </c>
      <c r="AD331" s="158">
        <f t="shared" si="88"/>
        <v>0</v>
      </c>
      <c r="AE331" s="157">
        <f t="shared" si="89"/>
        <v>0</v>
      </c>
    </row>
    <row r="332" spans="1:31" outlineLevel="1">
      <c r="A332" s="135" t="str">
        <f t="shared" si="85"/>
        <v>MurreysACCOUNTINGLEGAL-COM</v>
      </c>
      <c r="B332" s="116" t="s">
        <v>773</v>
      </c>
      <c r="C332" s="116" t="s">
        <v>774</v>
      </c>
      <c r="D332" s="155">
        <v>0</v>
      </c>
      <c r="E332" s="155">
        <v>0</v>
      </c>
      <c r="F332" s="156">
        <v>0</v>
      </c>
      <c r="G332" s="156">
        <v>0</v>
      </c>
      <c r="H332" s="156">
        <v>0</v>
      </c>
      <c r="I332" s="156">
        <v>0</v>
      </c>
      <c r="J332" s="156">
        <v>0</v>
      </c>
      <c r="K332" s="156">
        <v>0</v>
      </c>
      <c r="L332" s="156">
        <v>0</v>
      </c>
      <c r="M332" s="156">
        <v>0</v>
      </c>
      <c r="N332" s="156">
        <v>0</v>
      </c>
      <c r="O332" s="156">
        <v>0</v>
      </c>
      <c r="P332" s="156">
        <v>0</v>
      </c>
      <c r="Q332" s="156">
        <v>0</v>
      </c>
      <c r="R332" s="157">
        <f t="shared" si="86"/>
        <v>0</v>
      </c>
      <c r="S332" s="158">
        <f t="shared" si="87"/>
        <v>0</v>
      </c>
      <c r="T332" s="158">
        <f t="shared" si="87"/>
        <v>0</v>
      </c>
      <c r="U332" s="158">
        <f t="shared" si="87"/>
        <v>0</v>
      </c>
      <c r="V332" s="158">
        <f t="shared" si="87"/>
        <v>0</v>
      </c>
      <c r="W332" s="158">
        <f t="shared" si="87"/>
        <v>0</v>
      </c>
      <c r="X332" s="158">
        <f t="shared" si="88"/>
        <v>0</v>
      </c>
      <c r="Y332" s="158">
        <f t="shared" si="88"/>
        <v>0</v>
      </c>
      <c r="Z332" s="158">
        <f t="shared" si="88"/>
        <v>0</v>
      </c>
      <c r="AA332" s="158">
        <f t="shared" si="88"/>
        <v>0</v>
      </c>
      <c r="AB332" s="158">
        <f t="shared" si="88"/>
        <v>0</v>
      </c>
      <c r="AC332" s="158">
        <f t="shared" si="88"/>
        <v>0</v>
      </c>
      <c r="AD332" s="158">
        <f t="shared" si="88"/>
        <v>0</v>
      </c>
      <c r="AE332" s="157">
        <f t="shared" si="89"/>
        <v>0</v>
      </c>
    </row>
    <row r="333" spans="1:31" outlineLevel="1">
      <c r="A333" s="135" t="str">
        <f t="shared" si="85"/>
        <v>MurreysACCOUNTINGNSF FEES</v>
      </c>
      <c r="B333" s="116" t="s">
        <v>775</v>
      </c>
      <c r="C333" s="116" t="s">
        <v>776</v>
      </c>
      <c r="D333" s="155">
        <v>20.16</v>
      </c>
      <c r="E333" s="155">
        <v>20.16</v>
      </c>
      <c r="F333" s="156">
        <v>20.16</v>
      </c>
      <c r="G333" s="156">
        <v>60.480000000000004</v>
      </c>
      <c r="H333" s="156">
        <v>40.32</v>
      </c>
      <c r="I333" s="156">
        <v>120.96000000000001</v>
      </c>
      <c r="J333" s="156">
        <v>0</v>
      </c>
      <c r="K333" s="156">
        <v>40.32</v>
      </c>
      <c r="L333" s="156">
        <v>60.480000000000004</v>
      </c>
      <c r="M333" s="156">
        <v>60.480000000000004</v>
      </c>
      <c r="N333" s="156">
        <v>60.480000000000004</v>
      </c>
      <c r="O333" s="156">
        <v>80.739999999999995</v>
      </c>
      <c r="P333" s="156">
        <v>60.480000000000004</v>
      </c>
      <c r="Q333" s="156">
        <v>60.480000000000004</v>
      </c>
      <c r="R333" s="157">
        <f t="shared" si="86"/>
        <v>665.38000000000011</v>
      </c>
      <c r="S333" s="158">
        <f t="shared" si="87"/>
        <v>1</v>
      </c>
      <c r="T333" s="158">
        <f t="shared" si="87"/>
        <v>3</v>
      </c>
      <c r="U333" s="158">
        <f t="shared" si="87"/>
        <v>2</v>
      </c>
      <c r="V333" s="158">
        <f t="shared" si="87"/>
        <v>6</v>
      </c>
      <c r="W333" s="158">
        <f t="shared" si="87"/>
        <v>0</v>
      </c>
      <c r="X333" s="158">
        <f t="shared" si="88"/>
        <v>2</v>
      </c>
      <c r="Y333" s="158">
        <f t="shared" si="88"/>
        <v>3</v>
      </c>
      <c r="Z333" s="158">
        <f t="shared" si="88"/>
        <v>3</v>
      </c>
      <c r="AA333" s="158">
        <f t="shared" si="88"/>
        <v>3</v>
      </c>
      <c r="AB333" s="158">
        <f t="shared" si="88"/>
        <v>4.0049603174603172</v>
      </c>
      <c r="AC333" s="158">
        <f t="shared" si="88"/>
        <v>3</v>
      </c>
      <c r="AD333" s="158">
        <f t="shared" si="88"/>
        <v>3</v>
      </c>
      <c r="AE333" s="157">
        <f t="shared" si="89"/>
        <v>33.004960317460316</v>
      </c>
    </row>
    <row r="334" spans="1:31" outlineLevel="1">
      <c r="A334" s="135" t="str">
        <f t="shared" si="85"/>
        <v>MurreysACCOUNTINGPO</v>
      </c>
      <c r="B334" s="116" t="s">
        <v>777</v>
      </c>
      <c r="C334" s="116" t="s">
        <v>778</v>
      </c>
      <c r="D334" s="155">
        <v>0</v>
      </c>
      <c r="E334" s="155">
        <v>0</v>
      </c>
      <c r="F334" s="156">
        <v>0</v>
      </c>
      <c r="G334" s="156">
        <v>0</v>
      </c>
      <c r="H334" s="156">
        <v>0</v>
      </c>
      <c r="I334" s="156">
        <v>0</v>
      </c>
      <c r="J334" s="156">
        <v>0</v>
      </c>
      <c r="K334" s="156">
        <v>0</v>
      </c>
      <c r="L334" s="156">
        <v>0</v>
      </c>
      <c r="M334" s="156">
        <v>0</v>
      </c>
      <c r="N334" s="156">
        <v>0</v>
      </c>
      <c r="O334" s="156">
        <v>0</v>
      </c>
      <c r="P334" s="156">
        <v>0</v>
      </c>
      <c r="Q334" s="156">
        <v>0</v>
      </c>
      <c r="R334" s="157">
        <f t="shared" si="86"/>
        <v>0</v>
      </c>
      <c r="S334" s="158">
        <f t="shared" si="87"/>
        <v>0</v>
      </c>
      <c r="T334" s="158">
        <f t="shared" si="87"/>
        <v>0</v>
      </c>
      <c r="U334" s="158">
        <f t="shared" si="87"/>
        <v>0</v>
      </c>
      <c r="V334" s="158">
        <f t="shared" si="87"/>
        <v>0</v>
      </c>
      <c r="W334" s="158">
        <f t="shared" si="87"/>
        <v>0</v>
      </c>
      <c r="X334" s="158">
        <f t="shared" si="88"/>
        <v>0</v>
      </c>
      <c r="Y334" s="158">
        <f t="shared" si="88"/>
        <v>0</v>
      </c>
      <c r="Z334" s="158">
        <f t="shared" si="88"/>
        <v>0</v>
      </c>
      <c r="AA334" s="158">
        <f t="shared" si="88"/>
        <v>0</v>
      </c>
      <c r="AB334" s="158">
        <f t="shared" si="88"/>
        <v>0</v>
      </c>
      <c r="AC334" s="158">
        <f t="shared" si="88"/>
        <v>0</v>
      </c>
      <c r="AD334" s="158">
        <f t="shared" si="88"/>
        <v>0</v>
      </c>
      <c r="AE334" s="157">
        <f t="shared" si="89"/>
        <v>0</v>
      </c>
    </row>
    <row r="335" spans="1:31" outlineLevel="1">
      <c r="A335" s="135" t="str">
        <f t="shared" si="85"/>
        <v>MurreysACCOUNTINGSHOPSERVICE</v>
      </c>
      <c r="B335" s="116" t="s">
        <v>779</v>
      </c>
      <c r="C335" s="116" t="s">
        <v>780</v>
      </c>
      <c r="D335" s="155">
        <v>0</v>
      </c>
      <c r="E335" s="155">
        <v>0</v>
      </c>
      <c r="F335" s="156">
        <v>0</v>
      </c>
      <c r="G335" s="156">
        <v>0</v>
      </c>
      <c r="H335" s="156">
        <v>0</v>
      </c>
      <c r="I335" s="156">
        <v>0</v>
      </c>
      <c r="J335" s="156">
        <v>0</v>
      </c>
      <c r="K335" s="156">
        <v>0</v>
      </c>
      <c r="L335" s="156">
        <v>0</v>
      </c>
      <c r="M335" s="156">
        <v>0</v>
      </c>
      <c r="N335" s="156">
        <v>0</v>
      </c>
      <c r="O335" s="156">
        <v>0</v>
      </c>
      <c r="P335" s="156">
        <v>0</v>
      </c>
      <c r="Q335" s="156">
        <v>0</v>
      </c>
      <c r="R335" s="157">
        <f t="shared" si="86"/>
        <v>0</v>
      </c>
      <c r="S335" s="158">
        <f t="shared" si="87"/>
        <v>0</v>
      </c>
      <c r="T335" s="158">
        <f t="shared" si="87"/>
        <v>0</v>
      </c>
      <c r="U335" s="158">
        <f t="shared" si="87"/>
        <v>0</v>
      </c>
      <c r="V335" s="158">
        <f t="shared" si="87"/>
        <v>0</v>
      </c>
      <c r="W335" s="158">
        <f t="shared" si="87"/>
        <v>0</v>
      </c>
      <c r="X335" s="158">
        <f t="shared" si="88"/>
        <v>0</v>
      </c>
      <c r="Y335" s="158">
        <f t="shared" si="88"/>
        <v>0</v>
      </c>
      <c r="Z335" s="158">
        <f t="shared" si="88"/>
        <v>0</v>
      </c>
      <c r="AA335" s="158">
        <f t="shared" si="88"/>
        <v>0</v>
      </c>
      <c r="AB335" s="158">
        <f t="shared" si="88"/>
        <v>0</v>
      </c>
      <c r="AC335" s="158">
        <f t="shared" si="88"/>
        <v>0</v>
      </c>
      <c r="AD335" s="158">
        <f t="shared" si="88"/>
        <v>0</v>
      </c>
      <c r="AE335" s="157">
        <f t="shared" si="89"/>
        <v>0</v>
      </c>
    </row>
    <row r="336" spans="1:31" outlineLevel="1">
      <c r="B336" s="116"/>
      <c r="C336" s="116"/>
      <c r="D336" s="155"/>
      <c r="E336" s="155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7">
        <f t="shared" si="86"/>
        <v>0</v>
      </c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7"/>
    </row>
    <row r="337" spans="2:31" outlineLevel="1" collapsed="1">
      <c r="B337" s="116"/>
      <c r="C337" s="159" t="s">
        <v>781</v>
      </c>
      <c r="D337" s="155"/>
      <c r="E337" s="155"/>
      <c r="F337" s="162">
        <f t="shared" ref="F337:Q337" si="90">+SUM(F328:F336)</f>
        <v>2374.16</v>
      </c>
      <c r="G337" s="162">
        <f t="shared" si="90"/>
        <v>3488.5600000000004</v>
      </c>
      <c r="H337" s="162">
        <f t="shared" si="90"/>
        <v>3415.4700000000007</v>
      </c>
      <c r="I337" s="162">
        <f t="shared" si="90"/>
        <v>3039.91</v>
      </c>
      <c r="J337" s="162">
        <f t="shared" si="90"/>
        <v>3276.96</v>
      </c>
      <c r="K337" s="162">
        <f t="shared" si="90"/>
        <v>2340.1</v>
      </c>
      <c r="L337" s="162">
        <f t="shared" si="90"/>
        <v>2767.47</v>
      </c>
      <c r="M337" s="162">
        <f t="shared" si="90"/>
        <v>2497.11</v>
      </c>
      <c r="N337" s="162">
        <f t="shared" si="90"/>
        <v>5057.33</v>
      </c>
      <c r="O337" s="162">
        <f t="shared" si="90"/>
        <v>2176.71</v>
      </c>
      <c r="P337" s="162">
        <f t="shared" si="90"/>
        <v>2128.77</v>
      </c>
      <c r="Q337" s="162">
        <f t="shared" si="90"/>
        <v>3069.75</v>
      </c>
      <c r="R337" s="163">
        <f>SUM(F337:Q337)</f>
        <v>35632.300000000003</v>
      </c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3"/>
    </row>
    <row r="338" spans="2:31" outlineLevel="1">
      <c r="B338" s="116"/>
      <c r="C338" s="159"/>
      <c r="D338" s="155"/>
      <c r="E338" s="15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6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6"/>
    </row>
    <row r="339" spans="2:31" outlineLevel="1">
      <c r="B339" s="116"/>
      <c r="D339" s="155"/>
      <c r="E339" s="155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71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71"/>
    </row>
    <row r="340" spans="2:31" s="172" customFormat="1">
      <c r="B340" s="136" t="s">
        <v>782</v>
      </c>
      <c r="C340" s="136"/>
      <c r="D340" s="155"/>
      <c r="E340" s="155"/>
      <c r="F340" s="167">
        <f>+F337</f>
        <v>2374.16</v>
      </c>
      <c r="G340" s="167">
        <f t="shared" ref="G340:Q340" si="91">+G337</f>
        <v>3488.5600000000004</v>
      </c>
      <c r="H340" s="167">
        <f t="shared" si="91"/>
        <v>3415.4700000000007</v>
      </c>
      <c r="I340" s="167">
        <f t="shared" si="91"/>
        <v>3039.91</v>
      </c>
      <c r="J340" s="167">
        <f t="shared" si="91"/>
        <v>3276.96</v>
      </c>
      <c r="K340" s="167">
        <f t="shared" si="91"/>
        <v>2340.1</v>
      </c>
      <c r="L340" s="167">
        <f t="shared" si="91"/>
        <v>2767.47</v>
      </c>
      <c r="M340" s="167">
        <f t="shared" si="91"/>
        <v>2497.11</v>
      </c>
      <c r="N340" s="167">
        <f t="shared" si="91"/>
        <v>5057.33</v>
      </c>
      <c r="O340" s="167">
        <f t="shared" si="91"/>
        <v>2176.71</v>
      </c>
      <c r="P340" s="167">
        <f t="shared" si="91"/>
        <v>2128.77</v>
      </c>
      <c r="Q340" s="167">
        <f t="shared" si="91"/>
        <v>3069.75</v>
      </c>
      <c r="R340" s="168">
        <f>SUM(F340:Q340)</f>
        <v>35632.300000000003</v>
      </c>
      <c r="S340" s="167">
        <f>+S337</f>
        <v>0</v>
      </c>
      <c r="T340" s="167">
        <f t="shared" ref="T340:AE340" si="92">+T337</f>
        <v>0</v>
      </c>
      <c r="U340" s="167">
        <f t="shared" si="92"/>
        <v>0</v>
      </c>
      <c r="V340" s="167">
        <f t="shared" si="92"/>
        <v>0</v>
      </c>
      <c r="W340" s="167">
        <f t="shared" si="92"/>
        <v>0</v>
      </c>
      <c r="X340" s="167">
        <f t="shared" si="92"/>
        <v>0</v>
      </c>
      <c r="Y340" s="167">
        <f t="shared" si="92"/>
        <v>0</v>
      </c>
      <c r="Z340" s="167">
        <f t="shared" si="92"/>
        <v>0</v>
      </c>
      <c r="AA340" s="167">
        <f t="shared" si="92"/>
        <v>0</v>
      </c>
      <c r="AB340" s="167">
        <f t="shared" si="92"/>
        <v>0</v>
      </c>
      <c r="AC340" s="167">
        <f t="shared" si="92"/>
        <v>0</v>
      </c>
      <c r="AD340" s="167">
        <f t="shared" si="92"/>
        <v>0</v>
      </c>
      <c r="AE340" s="168">
        <f t="shared" si="92"/>
        <v>0</v>
      </c>
    </row>
    <row r="341" spans="2:31" s="172" customFormat="1">
      <c r="B341" s="136"/>
      <c r="C341" s="136"/>
      <c r="D341" s="155"/>
      <c r="E341" s="155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5"/>
      <c r="Q341" s="175"/>
      <c r="R341" s="176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6"/>
    </row>
    <row r="342" spans="2:31">
      <c r="D342" s="155"/>
      <c r="E342" s="155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56"/>
      <c r="Q342" s="156"/>
      <c r="R342" s="157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7"/>
    </row>
    <row r="343" spans="2:31" s="172" customFormat="1" ht="15.75" thickBot="1">
      <c r="B343" s="136" t="s">
        <v>783</v>
      </c>
      <c r="C343" s="136"/>
      <c r="D343" s="155"/>
      <c r="E343" s="155"/>
      <c r="F343" s="178">
        <f t="shared" ref="F343:Q343" si="93">+F81+F215+F313+F324+F340</f>
        <v>2133634.0299999998</v>
      </c>
      <c r="G343" s="178">
        <f t="shared" si="93"/>
        <v>2112673.6000000006</v>
      </c>
      <c r="H343" s="178">
        <f t="shared" si="93"/>
        <v>2114447.8199999998</v>
      </c>
      <c r="I343" s="178">
        <f t="shared" si="93"/>
        <v>2149487.8400000003</v>
      </c>
      <c r="J343" s="178">
        <f t="shared" si="93"/>
        <v>2074983.7</v>
      </c>
      <c r="K343" s="178">
        <f t="shared" si="93"/>
        <v>2189101.5400000005</v>
      </c>
      <c r="L343" s="178">
        <f t="shared" si="93"/>
        <v>2139030.6600000006</v>
      </c>
      <c r="M343" s="178">
        <f t="shared" si="93"/>
        <v>2224161.1800000006</v>
      </c>
      <c r="N343" s="178">
        <f t="shared" si="93"/>
        <v>2159095.3400000003</v>
      </c>
      <c r="O343" s="178">
        <f t="shared" si="93"/>
        <v>2162014.8400000003</v>
      </c>
      <c r="P343" s="178">
        <f t="shared" si="93"/>
        <v>2252613.9700000002</v>
      </c>
      <c r="Q343" s="178">
        <f t="shared" si="93"/>
        <v>2182037.5199999996</v>
      </c>
      <c r="R343" s="179">
        <f>SUM(F343:Q343)</f>
        <v>25893282.039999999</v>
      </c>
      <c r="S343" s="178">
        <f t="shared" ref="S343:AE343" si="94">+S81+S215+S313+S324+S340</f>
        <v>102316.03799014495</v>
      </c>
      <c r="T343" s="178">
        <f t="shared" si="94"/>
        <v>102933.7216906453</v>
      </c>
      <c r="U343" s="178">
        <f t="shared" si="94"/>
        <v>103395.07842459177</v>
      </c>
      <c r="V343" s="178">
        <f t="shared" si="94"/>
        <v>103751.97676259342</v>
      </c>
      <c r="W343" s="178">
        <f t="shared" si="94"/>
        <v>102193.3756091283</v>
      </c>
      <c r="X343" s="178">
        <f t="shared" si="94"/>
        <v>105325.30194883289</v>
      </c>
      <c r="Y343" s="178">
        <f t="shared" si="94"/>
        <v>103620.815004773</v>
      </c>
      <c r="Z343" s="178">
        <f t="shared" si="94"/>
        <v>105547.12782538345</v>
      </c>
      <c r="AA343" s="178">
        <f t="shared" si="94"/>
        <v>106077.6452427255</v>
      </c>
      <c r="AB343" s="178">
        <f t="shared" si="94"/>
        <v>105982.21023041701</v>
      </c>
      <c r="AC343" s="178">
        <f t="shared" si="94"/>
        <v>107355.30588124201</v>
      </c>
      <c r="AD343" s="178">
        <f t="shared" si="94"/>
        <v>106492.18812351856</v>
      </c>
      <c r="AE343" s="179">
        <f t="shared" si="94"/>
        <v>1254990.784733996</v>
      </c>
    </row>
    <row r="344" spans="2:31" s="172" customFormat="1" ht="15.75" thickTop="1">
      <c r="B344" s="136"/>
      <c r="C344" s="136"/>
      <c r="D344" s="155"/>
      <c r="E344" s="155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5"/>
      <c r="Q344" s="175"/>
      <c r="R344" s="176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68"/>
    </row>
    <row r="345" spans="2:31" s="172" customFormat="1" outlineLevel="1">
      <c r="B345" s="136"/>
      <c r="C345" s="136"/>
      <c r="D345" s="180"/>
      <c r="E345" s="180">
        <v>31000</v>
      </c>
      <c r="F345" s="181">
        <v>115240.84</v>
      </c>
      <c r="G345" s="181">
        <v>109148.13000000003</v>
      </c>
      <c r="H345" s="181">
        <v>110926.56999999999</v>
      </c>
      <c r="I345" s="181">
        <v>107961.68000000001</v>
      </c>
      <c r="J345" s="181">
        <v>98230.49</v>
      </c>
      <c r="K345" s="181">
        <v>115114.28999999996</v>
      </c>
      <c r="L345" s="181">
        <v>109415.74000000003</v>
      </c>
      <c r="M345" s="181">
        <v>122148.67999999995</v>
      </c>
      <c r="N345" s="181">
        <v>110018.14999999995</v>
      </c>
      <c r="O345" s="181">
        <v>111646.58000000002</v>
      </c>
      <c r="P345" s="181">
        <v>124417.04999999997</v>
      </c>
      <c r="Q345" s="181">
        <v>111764.31999999998</v>
      </c>
      <c r="R345" s="182">
        <f>SUM(F345:Q345)</f>
        <v>1346032.52</v>
      </c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68"/>
    </row>
    <row r="346" spans="2:31" outlineLevel="1">
      <c r="D346" s="183"/>
      <c r="E346" s="183">
        <v>31002</v>
      </c>
      <c r="F346" s="181">
        <v>0</v>
      </c>
      <c r="G346" s="181">
        <v>0</v>
      </c>
      <c r="H346" s="181">
        <v>0</v>
      </c>
      <c r="I346" s="181">
        <v>0</v>
      </c>
      <c r="J346" s="181">
        <v>0</v>
      </c>
      <c r="K346" s="181">
        <v>0</v>
      </c>
      <c r="L346" s="181">
        <v>0</v>
      </c>
      <c r="M346" s="181">
        <v>0</v>
      </c>
      <c r="N346" s="181">
        <v>0</v>
      </c>
      <c r="O346" s="181">
        <v>0</v>
      </c>
      <c r="P346" s="181">
        <v>0</v>
      </c>
      <c r="Q346" s="181">
        <v>0</v>
      </c>
      <c r="R346" s="182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7"/>
    </row>
    <row r="347" spans="2:31" outlineLevel="1">
      <c r="D347" s="183"/>
      <c r="E347" s="183">
        <v>31005</v>
      </c>
      <c r="F347" s="181">
        <v>333822.46000000002</v>
      </c>
      <c r="G347" s="181">
        <v>313961.26999999996</v>
      </c>
      <c r="H347" s="181">
        <v>297221.30999999994</v>
      </c>
      <c r="I347" s="181">
        <v>329633.63999999996</v>
      </c>
      <c r="J347" s="181">
        <v>283191.61</v>
      </c>
      <c r="K347" s="181">
        <v>347913.35</v>
      </c>
      <c r="L347" s="181">
        <v>322741.18999999994</v>
      </c>
      <c r="M347" s="181">
        <v>360655.64</v>
      </c>
      <c r="N347" s="181">
        <v>309566.99</v>
      </c>
      <c r="O347" s="181">
        <v>312059.74</v>
      </c>
      <c r="P347" s="181">
        <v>353941.76000000001</v>
      </c>
      <c r="Q347" s="181">
        <v>314790.36</v>
      </c>
      <c r="R347" s="182">
        <f t="shared" ref="R347:R358" si="95">SUM(F347:Q347)</f>
        <v>3879499.32</v>
      </c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7"/>
    </row>
    <row r="348" spans="2:31" outlineLevel="1">
      <c r="D348" s="183"/>
      <c r="E348" s="183">
        <v>31010</v>
      </c>
      <c r="F348" s="181">
        <v>52197.62000000001</v>
      </c>
      <c r="G348" s="181">
        <v>46520.659999999996</v>
      </c>
      <c r="H348" s="181">
        <v>45689.31</v>
      </c>
      <c r="I348" s="181">
        <v>45986.780000000006</v>
      </c>
      <c r="J348" s="181">
        <v>41618.01</v>
      </c>
      <c r="K348" s="181">
        <v>55551.630000000005</v>
      </c>
      <c r="L348" s="181">
        <v>49372.490000000013</v>
      </c>
      <c r="M348" s="181">
        <v>55119.860000000008</v>
      </c>
      <c r="N348" s="181">
        <v>45389.200000000012</v>
      </c>
      <c r="O348" s="181">
        <v>48450.52</v>
      </c>
      <c r="P348" s="181">
        <v>56367.470000000008</v>
      </c>
      <c r="Q348" s="181">
        <v>46749.960000000014</v>
      </c>
      <c r="R348" s="182">
        <f t="shared" si="95"/>
        <v>589013.51</v>
      </c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7"/>
    </row>
    <row r="349" spans="2:31" outlineLevel="1">
      <c r="D349" s="183"/>
      <c r="E349" s="183">
        <v>32000</v>
      </c>
      <c r="F349" s="181">
        <v>1150629.8000000005</v>
      </c>
      <c r="G349" s="181">
        <v>1165095.33</v>
      </c>
      <c r="H349" s="181">
        <v>1171014.9099999999</v>
      </c>
      <c r="I349" s="181">
        <v>1177845.9199999997</v>
      </c>
      <c r="J349" s="181">
        <v>1172231.73</v>
      </c>
      <c r="K349" s="181">
        <v>1168288.8899999997</v>
      </c>
      <c r="L349" s="181">
        <v>1168806.3500000003</v>
      </c>
      <c r="M349" s="181">
        <v>1183463.5899999999</v>
      </c>
      <c r="N349" s="181">
        <v>1188797.2399999998</v>
      </c>
      <c r="O349" s="181">
        <v>1191943.5699999989</v>
      </c>
      <c r="P349" s="181">
        <v>1207045.3499999999</v>
      </c>
      <c r="Q349" s="181">
        <v>1207469.46</v>
      </c>
      <c r="R349" s="182">
        <f t="shared" si="95"/>
        <v>14152632.140000001</v>
      </c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7"/>
    </row>
    <row r="350" spans="2:31" outlineLevel="1">
      <c r="D350" s="183"/>
      <c r="E350" s="183">
        <v>32001</v>
      </c>
      <c r="F350" s="181">
        <v>9275.4499999999989</v>
      </c>
      <c r="G350" s="181">
        <v>14590.54</v>
      </c>
      <c r="H350" s="181">
        <v>15853.84</v>
      </c>
      <c r="I350" s="181">
        <v>18782.789999999997</v>
      </c>
      <c r="J350" s="181">
        <v>13601.01</v>
      </c>
      <c r="K350" s="181">
        <v>18075.530000000002</v>
      </c>
      <c r="L350" s="181">
        <v>14913.689999999999</v>
      </c>
      <c r="M350" s="181">
        <v>16941.850000000002</v>
      </c>
      <c r="N350" s="181">
        <v>14436.830000000002</v>
      </c>
      <c r="O350" s="181">
        <v>16786.25</v>
      </c>
      <c r="P350" s="181">
        <v>16010.07</v>
      </c>
      <c r="Q350" s="181">
        <v>13272.75</v>
      </c>
      <c r="R350" s="182">
        <f t="shared" si="95"/>
        <v>182540.6</v>
      </c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7"/>
    </row>
    <row r="351" spans="2:31" outlineLevel="1">
      <c r="D351" s="183"/>
      <c r="E351" s="183">
        <v>33000</v>
      </c>
      <c r="F351" s="181">
        <v>462924.32999999996</v>
      </c>
      <c r="G351" s="181">
        <v>458198.25999999995</v>
      </c>
      <c r="H351" s="181">
        <v>466572.53</v>
      </c>
      <c r="I351" s="181">
        <v>463693.59</v>
      </c>
      <c r="J351" s="181">
        <v>459384.7100000002</v>
      </c>
      <c r="K351" s="181">
        <v>475861.14000000007</v>
      </c>
      <c r="L351" s="181">
        <v>467087.58000000007</v>
      </c>
      <c r="M351" s="181">
        <v>477718.22999999992</v>
      </c>
      <c r="N351" s="181">
        <v>478778.57000000007</v>
      </c>
      <c r="O351" s="181">
        <v>472454.95000000036</v>
      </c>
      <c r="P351" s="181">
        <v>483655.15000000014</v>
      </c>
      <c r="Q351" s="181">
        <v>479658.24000000005</v>
      </c>
      <c r="R351" s="182">
        <f t="shared" si="95"/>
        <v>5645987.2800000012</v>
      </c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7"/>
    </row>
    <row r="352" spans="2:31" outlineLevel="1">
      <c r="D352" s="183"/>
      <c r="E352" s="183">
        <v>33001</v>
      </c>
      <c r="F352" s="181">
        <v>0</v>
      </c>
      <c r="G352" s="181">
        <v>0</v>
      </c>
      <c r="H352" s="181">
        <v>0</v>
      </c>
      <c r="I352" s="181">
        <v>0</v>
      </c>
      <c r="J352" s="181">
        <v>0</v>
      </c>
      <c r="K352" s="181">
        <v>0</v>
      </c>
      <c r="L352" s="181">
        <v>0</v>
      </c>
      <c r="M352" s="181">
        <v>0</v>
      </c>
      <c r="N352" s="181">
        <v>0</v>
      </c>
      <c r="O352" s="181">
        <v>0</v>
      </c>
      <c r="P352" s="181">
        <v>0</v>
      </c>
      <c r="Q352" s="181">
        <v>0</v>
      </c>
      <c r="R352" s="182">
        <f t="shared" si="95"/>
        <v>0</v>
      </c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7"/>
    </row>
    <row r="353" spans="1:31" outlineLevel="1">
      <c r="D353" s="183"/>
      <c r="E353" s="183">
        <v>33011</v>
      </c>
      <c r="F353" s="181">
        <v>7597.6500000000005</v>
      </c>
      <c r="G353" s="181">
        <v>3156.56</v>
      </c>
      <c r="H353" s="181">
        <v>4094.37</v>
      </c>
      <c r="I353" s="181">
        <v>3024.91</v>
      </c>
      <c r="J353" s="181">
        <v>4122.57</v>
      </c>
      <c r="K353" s="181">
        <v>5963.2099999999991</v>
      </c>
      <c r="L353" s="181">
        <v>4677.49</v>
      </c>
      <c r="M353" s="181">
        <v>6635.81</v>
      </c>
      <c r="N353" s="181">
        <v>7802.2400000000007</v>
      </c>
      <c r="O353" s="181">
        <v>7901.08</v>
      </c>
      <c r="P353" s="181">
        <v>9725.1899999999987</v>
      </c>
      <c r="Q353" s="181">
        <v>5886.8099999999995</v>
      </c>
      <c r="R353" s="182">
        <f t="shared" si="95"/>
        <v>70587.89</v>
      </c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7"/>
    </row>
    <row r="354" spans="1:31" outlineLevel="1">
      <c r="D354" s="183"/>
      <c r="E354" s="183">
        <v>38000</v>
      </c>
      <c r="F354" s="181">
        <v>2374.16</v>
      </c>
      <c r="G354" s="181">
        <v>3488.56</v>
      </c>
      <c r="H354" s="181">
        <v>3415.4700000000003</v>
      </c>
      <c r="I354" s="181">
        <v>3039.91</v>
      </c>
      <c r="J354" s="181">
        <v>3276.96</v>
      </c>
      <c r="K354" s="181">
        <v>2340.1</v>
      </c>
      <c r="L354" s="181">
        <v>2767.47</v>
      </c>
      <c r="M354" s="181">
        <v>2497.11</v>
      </c>
      <c r="N354" s="181">
        <v>5057.3300000000008</v>
      </c>
      <c r="O354" s="181">
        <v>2176.71</v>
      </c>
      <c r="P354" s="181">
        <v>2128.7700000000004</v>
      </c>
      <c r="Q354" s="181">
        <v>3069.75</v>
      </c>
      <c r="R354" s="182">
        <f t="shared" si="95"/>
        <v>35632.300000000003</v>
      </c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7"/>
    </row>
    <row r="355" spans="1:31" outlineLevel="1">
      <c r="D355" s="183"/>
      <c r="E355" s="183" t="s">
        <v>784</v>
      </c>
      <c r="F355" s="181">
        <v>0</v>
      </c>
      <c r="G355" s="181">
        <v>0</v>
      </c>
      <c r="H355" s="181">
        <v>0</v>
      </c>
      <c r="I355" s="181">
        <v>0</v>
      </c>
      <c r="J355" s="181">
        <v>0</v>
      </c>
      <c r="K355" s="181">
        <v>0</v>
      </c>
      <c r="L355" s="181">
        <v>0</v>
      </c>
      <c r="M355" s="181">
        <v>0</v>
      </c>
      <c r="N355" s="181">
        <v>0</v>
      </c>
      <c r="O355" s="181">
        <v>0</v>
      </c>
      <c r="P355" s="181">
        <v>0</v>
      </c>
      <c r="Q355" s="181">
        <v>0</v>
      </c>
      <c r="R355" s="182">
        <f t="shared" si="95"/>
        <v>0</v>
      </c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7"/>
    </row>
    <row r="356" spans="1:31" outlineLevel="1">
      <c r="D356" s="183"/>
      <c r="E356" s="183" t="s">
        <v>785</v>
      </c>
      <c r="F356" s="181">
        <v>0</v>
      </c>
      <c r="G356" s="181">
        <v>0</v>
      </c>
      <c r="H356" s="181">
        <v>0</v>
      </c>
      <c r="I356" s="181">
        <v>0</v>
      </c>
      <c r="J356" s="181">
        <v>0</v>
      </c>
      <c r="K356" s="181">
        <v>0</v>
      </c>
      <c r="L356" s="184">
        <v>0</v>
      </c>
      <c r="M356" s="184">
        <v>0</v>
      </c>
      <c r="N356" s="184">
        <v>0</v>
      </c>
      <c r="O356" s="184">
        <v>0</v>
      </c>
      <c r="P356" s="184">
        <v>0</v>
      </c>
      <c r="Q356" s="184">
        <v>0</v>
      </c>
      <c r="R356" s="185">
        <f t="shared" si="95"/>
        <v>0</v>
      </c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7"/>
    </row>
    <row r="357" spans="1:31" outlineLevel="1">
      <c r="D357" s="183"/>
      <c r="E357" s="183"/>
      <c r="F357" s="186">
        <f>SUM(F345:F356)</f>
        <v>2134062.3100000005</v>
      </c>
      <c r="G357" s="186">
        <f t="shared" ref="G357:Q357" si="96">SUM(G345:G356)</f>
        <v>2114159.31</v>
      </c>
      <c r="H357" s="186">
        <f t="shared" si="96"/>
        <v>2114788.31</v>
      </c>
      <c r="I357" s="186">
        <f t="shared" si="96"/>
        <v>2149969.2199999997</v>
      </c>
      <c r="J357" s="186">
        <f t="shared" si="96"/>
        <v>2075657.09</v>
      </c>
      <c r="K357" s="186">
        <f t="shared" si="96"/>
        <v>2189108.1399999997</v>
      </c>
      <c r="L357" s="186">
        <f t="shared" si="96"/>
        <v>2139782.0000000005</v>
      </c>
      <c r="M357" s="186">
        <f t="shared" si="96"/>
        <v>2225180.7699999996</v>
      </c>
      <c r="N357" s="186">
        <f t="shared" si="96"/>
        <v>2159846.5499999998</v>
      </c>
      <c r="O357" s="186">
        <f t="shared" si="96"/>
        <v>2163419.3999999994</v>
      </c>
      <c r="P357" s="186">
        <f t="shared" si="96"/>
        <v>2253290.81</v>
      </c>
      <c r="Q357" s="186">
        <f t="shared" si="96"/>
        <v>2182661.65</v>
      </c>
      <c r="R357" s="187">
        <f t="shared" si="95"/>
        <v>25901925.559999999</v>
      </c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7"/>
    </row>
    <row r="358" spans="1:31" outlineLevel="1">
      <c r="D358" s="183"/>
      <c r="E358" s="183" t="s">
        <v>786</v>
      </c>
      <c r="F358" s="160">
        <f>+F343-F357</f>
        <v>-428.28000000072643</v>
      </c>
      <c r="G358" s="160">
        <f t="shared" ref="G358:Q358" si="97">+G343-G357</f>
        <v>-1485.7099999994971</v>
      </c>
      <c r="H358" s="160">
        <f>+H343-H357</f>
        <v>-340.49000000022352</v>
      </c>
      <c r="I358" s="160">
        <f t="shared" si="97"/>
        <v>-481.37999999942258</v>
      </c>
      <c r="J358" s="160">
        <f t="shared" si="97"/>
        <v>-673.39000000013039</v>
      </c>
      <c r="K358" s="160">
        <f t="shared" si="97"/>
        <v>-6.5999999991618097</v>
      </c>
      <c r="L358" s="160">
        <f t="shared" si="97"/>
        <v>-751.33999999985099</v>
      </c>
      <c r="M358" s="160">
        <f t="shared" si="97"/>
        <v>-1019.5899999989197</v>
      </c>
      <c r="N358" s="160">
        <f t="shared" si="97"/>
        <v>-751.20999999949709</v>
      </c>
      <c r="O358" s="160">
        <f t="shared" si="97"/>
        <v>-1404.5599999991246</v>
      </c>
      <c r="P358" s="160">
        <f t="shared" si="97"/>
        <v>-676.83999999985099</v>
      </c>
      <c r="Q358" s="160">
        <f t="shared" si="97"/>
        <v>-624.1300000003539</v>
      </c>
      <c r="R358" s="171">
        <f t="shared" si="95"/>
        <v>-8643.519999996759</v>
      </c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7"/>
    </row>
    <row r="359" spans="1:31" outlineLevel="1">
      <c r="D359" s="183"/>
      <c r="E359" s="183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56"/>
      <c r="Q359" s="156"/>
      <c r="R359" s="157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7"/>
    </row>
    <row r="360" spans="1:31">
      <c r="P360" s="156"/>
      <c r="Q360" s="156"/>
      <c r="R360" s="157"/>
      <c r="S360" s="135"/>
      <c r="AE360" s="149"/>
    </row>
    <row r="361" spans="1:31" outlineLevel="1">
      <c r="B361" s="150" t="s">
        <v>787</v>
      </c>
      <c r="P361" s="156"/>
      <c r="Q361" s="156"/>
      <c r="R361" s="157"/>
      <c r="S361" s="135"/>
      <c r="AE361" s="149"/>
    </row>
    <row r="362" spans="1:31" outlineLevel="1">
      <c r="A362" s="135" t="str">
        <f>+$A$5&amp;$A$10&amp;B362</f>
        <v>MurreysRESIDENTIALRECYCLECR</v>
      </c>
      <c r="B362" s="116" t="s">
        <v>788</v>
      </c>
      <c r="C362" s="116" t="s">
        <v>789</v>
      </c>
      <c r="D362" s="155">
        <v>-0.88</v>
      </c>
      <c r="E362" s="155">
        <v>-0.63</v>
      </c>
      <c r="F362" s="156">
        <v>-31608.61</v>
      </c>
      <c r="G362" s="156">
        <v>-31718.189999999995</v>
      </c>
      <c r="H362" s="156">
        <v>-31762.609999999997</v>
      </c>
      <c r="I362" s="156">
        <v>-31879.169999999995</v>
      </c>
      <c r="J362" s="156">
        <v>-29617.949999999993</v>
      </c>
      <c r="K362" s="156">
        <v>-25308.45</v>
      </c>
      <c r="L362" s="156">
        <v>-23089.690000000002</v>
      </c>
      <c r="M362" s="156">
        <v>-23305.050000000003</v>
      </c>
      <c r="N362" s="156">
        <v>-23392.43</v>
      </c>
      <c r="O362" s="156">
        <v>-23396.700000000004</v>
      </c>
      <c r="P362" s="156">
        <v>-23609.35</v>
      </c>
      <c r="Q362" s="156">
        <v>13380.320000000002</v>
      </c>
      <c r="R362" s="157">
        <f>SUM(F362:Q362)</f>
        <v>-285307.87999999995</v>
      </c>
      <c r="S362" s="158">
        <f t="shared" ref="S362:W364" si="98">+IFERROR(F362/$D362,0)</f>
        <v>35918.875</v>
      </c>
      <c r="T362" s="158">
        <f t="shared" si="98"/>
        <v>36043.397727272721</v>
      </c>
      <c r="U362" s="158">
        <f t="shared" si="98"/>
        <v>36093.874999999993</v>
      </c>
      <c r="V362" s="158">
        <f t="shared" si="98"/>
        <v>36226.329545454537</v>
      </c>
      <c r="W362" s="158">
        <f t="shared" si="98"/>
        <v>33656.761363636353</v>
      </c>
      <c r="X362" s="158">
        <f t="shared" ref="X362:AD364" si="99">+IFERROR(K362/$E362,0)</f>
        <v>40172.142857142855</v>
      </c>
      <c r="Y362" s="158">
        <f t="shared" si="99"/>
        <v>36650.30158730159</v>
      </c>
      <c r="Z362" s="158">
        <f t="shared" si="99"/>
        <v>36992.142857142862</v>
      </c>
      <c r="AA362" s="158">
        <f t="shared" si="99"/>
        <v>37130.841269841272</v>
      </c>
      <c r="AB362" s="158">
        <f t="shared" si="99"/>
        <v>37137.619047619053</v>
      </c>
      <c r="AC362" s="158">
        <f t="shared" si="99"/>
        <v>37475.158730158728</v>
      </c>
      <c r="AD362" s="158">
        <f t="shared" si="99"/>
        <v>-21238.603174603177</v>
      </c>
      <c r="AE362" s="157"/>
    </row>
    <row r="363" spans="1:31" outlineLevel="1">
      <c r="A363" s="135" t="str">
        <f>+$A$5&amp;$A$161&amp;B363</f>
        <v>MurreysMULTI-FAMILYMRECYCRCANS</v>
      </c>
      <c r="B363" s="116" t="s">
        <v>790</v>
      </c>
      <c r="C363" s="116" t="s">
        <v>789</v>
      </c>
      <c r="D363" s="155">
        <v>-0.88</v>
      </c>
      <c r="E363" s="155">
        <v>-0.63</v>
      </c>
      <c r="F363" s="156">
        <v>-1417.02</v>
      </c>
      <c r="G363" s="156">
        <v>-1437.48</v>
      </c>
      <c r="H363" s="156">
        <v>-1437.7</v>
      </c>
      <c r="I363" s="156">
        <v>-1450.46</v>
      </c>
      <c r="J363" s="156">
        <v>-1452.22</v>
      </c>
      <c r="K363" s="156">
        <v>-1017.9300000000001</v>
      </c>
      <c r="L363" s="156">
        <v>-1017</v>
      </c>
      <c r="M363" s="156">
        <v>-1022.5</v>
      </c>
      <c r="N363" s="156">
        <v>-1025.2</v>
      </c>
      <c r="O363" s="156">
        <v>-1031.32</v>
      </c>
      <c r="P363" s="156">
        <v>-1032.76</v>
      </c>
      <c r="Q363" s="156">
        <v>-1031.6300000000001</v>
      </c>
      <c r="R363" s="157">
        <f>SUM(F363:Q363)</f>
        <v>-14373.220000000001</v>
      </c>
      <c r="S363" s="158">
        <f t="shared" si="98"/>
        <v>1610.25</v>
      </c>
      <c r="T363" s="158">
        <f t="shared" si="98"/>
        <v>1633.5</v>
      </c>
      <c r="U363" s="158">
        <f t="shared" si="98"/>
        <v>1633.75</v>
      </c>
      <c r="V363" s="158">
        <f t="shared" si="98"/>
        <v>1648.25</v>
      </c>
      <c r="W363" s="158">
        <f t="shared" si="98"/>
        <v>1650.25</v>
      </c>
      <c r="X363" s="158">
        <f t="shared" si="99"/>
        <v>1615.7619047619048</v>
      </c>
      <c r="Y363" s="158">
        <f t="shared" si="99"/>
        <v>1614.2857142857142</v>
      </c>
      <c r="Z363" s="158">
        <f t="shared" si="99"/>
        <v>1623.015873015873</v>
      </c>
      <c r="AA363" s="158">
        <f t="shared" si="99"/>
        <v>1627.3015873015875</v>
      </c>
      <c r="AB363" s="158">
        <f t="shared" si="99"/>
        <v>1637.015873015873</v>
      </c>
      <c r="AC363" s="158">
        <f t="shared" si="99"/>
        <v>1639.3015873015872</v>
      </c>
      <c r="AD363" s="158">
        <f t="shared" si="99"/>
        <v>1637.5079365079366</v>
      </c>
      <c r="AE363" s="157"/>
    </row>
    <row r="364" spans="1:31" outlineLevel="1">
      <c r="A364" s="135" t="str">
        <f>+$A$5&amp;$A$161&amp;B364</f>
        <v>MurreysMULTI-FAMILYMRECYCRCONT</v>
      </c>
      <c r="B364" s="116" t="s">
        <v>791</v>
      </c>
      <c r="C364" s="116" t="s">
        <v>789</v>
      </c>
      <c r="D364" s="155">
        <v>-1.6499999999999997</v>
      </c>
      <c r="E364" s="155">
        <v>-1.34</v>
      </c>
      <c r="F364" s="156">
        <v>-2223.7300000000005</v>
      </c>
      <c r="G364" s="156">
        <v>-2244.2800000000002</v>
      </c>
      <c r="H364" s="156">
        <v>-2240.5300000000002</v>
      </c>
      <c r="I364" s="156">
        <v>-2285.06</v>
      </c>
      <c r="J364" s="156">
        <v>-2279.35</v>
      </c>
      <c r="K364" s="156">
        <v>-2139.59</v>
      </c>
      <c r="L364" s="156">
        <v>-1930.0500000000002</v>
      </c>
      <c r="M364" s="156">
        <v>-1921.34</v>
      </c>
      <c r="N364" s="156">
        <v>-1924.15</v>
      </c>
      <c r="O364" s="156">
        <v>-1982.1599999999999</v>
      </c>
      <c r="P364" s="156">
        <v>-1975.6200000000001</v>
      </c>
      <c r="Q364" s="156">
        <v>-1954.3500000000001</v>
      </c>
      <c r="R364" s="157">
        <f>SUM(F364:Q364)</f>
        <v>-25100.21</v>
      </c>
      <c r="S364" s="158">
        <f t="shared" si="98"/>
        <v>1347.715151515152</v>
      </c>
      <c r="T364" s="158">
        <f t="shared" si="98"/>
        <v>1360.1696969696973</v>
      </c>
      <c r="U364" s="158">
        <f t="shared" si="98"/>
        <v>1357.89696969697</v>
      </c>
      <c r="V364" s="158">
        <f t="shared" si="98"/>
        <v>1384.8848484848488</v>
      </c>
      <c r="W364" s="158">
        <f t="shared" si="98"/>
        <v>1381.4242424242427</v>
      </c>
      <c r="X364" s="158">
        <f t="shared" si="99"/>
        <v>1596.7089552238806</v>
      </c>
      <c r="Y364" s="158">
        <f t="shared" si="99"/>
        <v>1440.3358208955224</v>
      </c>
      <c r="Z364" s="158">
        <f t="shared" si="99"/>
        <v>1433.8358208955221</v>
      </c>
      <c r="AA364" s="158">
        <f t="shared" si="99"/>
        <v>1435.9328358208954</v>
      </c>
      <c r="AB364" s="158">
        <f t="shared" si="99"/>
        <v>1479.2238805970148</v>
      </c>
      <c r="AC364" s="158">
        <f t="shared" si="99"/>
        <v>1474.3432835820895</v>
      </c>
      <c r="AD364" s="158">
        <f t="shared" si="99"/>
        <v>1458.4701492537313</v>
      </c>
      <c r="AE364" s="157"/>
    </row>
    <row r="365" spans="1:31" outlineLevel="1">
      <c r="P365" s="156"/>
      <c r="Q365" s="156"/>
      <c r="R365" s="157"/>
      <c r="S365" s="135"/>
      <c r="AE365" s="149"/>
    </row>
    <row r="366" spans="1:31">
      <c r="C366" s="159" t="s">
        <v>792</v>
      </c>
      <c r="F366" s="162">
        <f>+SUM(F362:F365)</f>
        <v>-35249.360000000001</v>
      </c>
      <c r="G366" s="162">
        <f t="shared" ref="G366:AD366" si="100">+SUM(G362:G365)</f>
        <v>-35399.949999999997</v>
      </c>
      <c r="H366" s="162">
        <f t="shared" si="100"/>
        <v>-35440.839999999997</v>
      </c>
      <c r="I366" s="162">
        <f t="shared" si="100"/>
        <v>-35614.689999999995</v>
      </c>
      <c r="J366" s="162">
        <f t="shared" si="100"/>
        <v>-33349.519999999997</v>
      </c>
      <c r="K366" s="162">
        <f t="shared" si="100"/>
        <v>-28465.97</v>
      </c>
      <c r="L366" s="162">
        <f t="shared" si="100"/>
        <v>-26036.74</v>
      </c>
      <c r="M366" s="162">
        <f t="shared" si="100"/>
        <v>-26248.890000000003</v>
      </c>
      <c r="N366" s="162">
        <f t="shared" si="100"/>
        <v>-26341.780000000002</v>
      </c>
      <c r="O366" s="162">
        <f t="shared" si="100"/>
        <v>-26410.180000000004</v>
      </c>
      <c r="P366" s="162">
        <f t="shared" si="100"/>
        <v>-26617.729999999996</v>
      </c>
      <c r="Q366" s="162">
        <f t="shared" si="100"/>
        <v>10394.340000000002</v>
      </c>
      <c r="R366" s="163">
        <f>SUM(F366:Q366)</f>
        <v>-324781.30999999994</v>
      </c>
      <c r="S366" s="162">
        <f t="shared" si="100"/>
        <v>38876.840151515149</v>
      </c>
      <c r="T366" s="162">
        <f t="shared" si="100"/>
        <v>39037.067424242421</v>
      </c>
      <c r="U366" s="162">
        <f t="shared" si="100"/>
        <v>39085.521969696965</v>
      </c>
      <c r="V366" s="162">
        <f t="shared" si="100"/>
        <v>39259.464393939386</v>
      </c>
      <c r="W366" s="162">
        <f t="shared" si="100"/>
        <v>36688.435606060593</v>
      </c>
      <c r="X366" s="162">
        <f t="shared" si="100"/>
        <v>43384.613717128646</v>
      </c>
      <c r="Y366" s="162">
        <f t="shared" si="100"/>
        <v>39704.923122482833</v>
      </c>
      <c r="Z366" s="162">
        <f t="shared" si="100"/>
        <v>40048.99455105426</v>
      </c>
      <c r="AA366" s="162">
        <f t="shared" si="100"/>
        <v>40194.075692963757</v>
      </c>
      <c r="AB366" s="162">
        <f t="shared" si="100"/>
        <v>40253.858801231938</v>
      </c>
      <c r="AC366" s="162">
        <f t="shared" si="100"/>
        <v>40588.803601042411</v>
      </c>
      <c r="AD366" s="162">
        <f t="shared" si="100"/>
        <v>-18142.625088841509</v>
      </c>
      <c r="AE366" s="166"/>
    </row>
    <row r="367" spans="1:31">
      <c r="P367" s="158"/>
      <c r="Q367" s="158"/>
      <c r="R367" s="158"/>
      <c r="S367" s="135"/>
    </row>
    <row r="368" spans="1:31">
      <c r="P368" s="158"/>
      <c r="Q368" s="158"/>
      <c r="R368" s="15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</row>
    <row r="369" spans="16:30">
      <c r="P369" s="158"/>
      <c r="Q369" s="158"/>
      <c r="R369" s="15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</row>
    <row r="370" spans="16:30">
      <c r="P370" s="158"/>
      <c r="Q370" s="158"/>
      <c r="R370" s="15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</row>
    <row r="371" spans="16:30">
      <c r="P371" s="158"/>
      <c r="Q371" s="158"/>
      <c r="R371" s="158"/>
      <c r="S371" s="135"/>
    </row>
    <row r="372" spans="16:30">
      <c r="P372" s="158"/>
      <c r="Q372" s="158"/>
      <c r="R372" s="158"/>
      <c r="S372" s="135"/>
    </row>
    <row r="373" spans="16:30">
      <c r="P373" s="158"/>
      <c r="Q373" s="158"/>
      <c r="R373" s="158"/>
      <c r="S373" s="135"/>
    </row>
    <row r="374" spans="16:30">
      <c r="P374" s="158"/>
      <c r="Q374" s="158"/>
      <c r="R374" s="158"/>
      <c r="S374" s="135"/>
    </row>
    <row r="375" spans="16:30">
      <c r="P375" s="158"/>
      <c r="Q375" s="158"/>
      <c r="R375" s="158"/>
      <c r="S375" s="135"/>
    </row>
    <row r="376" spans="16:30">
      <c r="P376" s="158"/>
      <c r="Q376" s="158"/>
      <c r="R376" s="158"/>
      <c r="S376" s="135"/>
    </row>
    <row r="377" spans="16:30">
      <c r="P377" s="158"/>
      <c r="Q377" s="158"/>
      <c r="R377" s="158"/>
      <c r="S377" s="135"/>
    </row>
    <row r="378" spans="16:30">
      <c r="P378" s="158"/>
      <c r="Q378" s="158"/>
      <c r="R378" s="158"/>
      <c r="S378" s="135"/>
    </row>
    <row r="379" spans="16:30">
      <c r="P379" s="158"/>
      <c r="Q379" s="158"/>
      <c r="R379" s="158"/>
      <c r="S379" s="135"/>
    </row>
    <row r="380" spans="16:30">
      <c r="S380" s="135"/>
    </row>
    <row r="381" spans="16:30">
      <c r="S381" s="135"/>
    </row>
    <row r="382" spans="16:30">
      <c r="S382" s="135"/>
    </row>
    <row r="383" spans="16:30">
      <c r="S383" s="135"/>
    </row>
    <row r="384" spans="16:30">
      <c r="S384" s="135"/>
    </row>
    <row r="385" spans="19:19">
      <c r="S385" s="135"/>
    </row>
    <row r="386" spans="19:19">
      <c r="S386" s="135"/>
    </row>
    <row r="387" spans="19:19">
      <c r="S387" s="135"/>
    </row>
    <row r="388" spans="19:19">
      <c r="S388" s="135"/>
    </row>
    <row r="389" spans="19:19">
      <c r="S389" s="135"/>
    </row>
    <row r="390" spans="19:19">
      <c r="S390" s="135"/>
    </row>
    <row r="391" spans="19:19">
      <c r="S391" s="135"/>
    </row>
    <row r="392" spans="19:19">
      <c r="S392" s="135"/>
    </row>
    <row r="393" spans="19:19">
      <c r="S393" s="135"/>
    </row>
    <row r="394" spans="19:19">
      <c r="S394" s="135"/>
    </row>
    <row r="395" spans="19:19">
      <c r="S395" s="135"/>
    </row>
    <row r="396" spans="19:19">
      <c r="S396" s="135"/>
    </row>
    <row r="397" spans="19:19">
      <c r="S397" s="135"/>
    </row>
    <row r="398" spans="19:19">
      <c r="S398" s="135"/>
    </row>
    <row r="399" spans="19:19">
      <c r="S399" s="135"/>
    </row>
    <row r="400" spans="19:19">
      <c r="S400" s="135"/>
    </row>
    <row r="401" spans="19:19">
      <c r="S401" s="135"/>
    </row>
    <row r="402" spans="19:19">
      <c r="S402" s="135"/>
    </row>
    <row r="403" spans="19:19">
      <c r="S403" s="135"/>
    </row>
    <row r="404" spans="19:19">
      <c r="S404" s="135"/>
    </row>
  </sheetData>
  <mergeCells count="2">
    <mergeCell ref="F5:Q5"/>
    <mergeCell ref="S5:AE5"/>
  </mergeCells>
  <pageMargins left="0.7" right="0.7" top="0.75" bottom="0.75" header="0.3" footer="0.3"/>
  <pageSetup scale="62" fitToHeight="7" orientation="portrait" errors="blank" r:id="rId1"/>
  <headerFooter>
    <oddHeader>&amp;R&amp;F
&amp;A</oddHeader>
    <oddFooter>&amp;L&amp;D&amp;C&amp;P&amp;R&amp;T</oddFooter>
  </headerFooter>
  <rowBreaks count="4" manualBreakCount="4">
    <brk id="82" min="1" max="47" man="1"/>
    <brk id="192" min="1" max="47" man="1"/>
    <brk id="262" min="1" max="47" man="1"/>
    <brk id="324" max="4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I404"/>
  <sheetViews>
    <sheetView zoomScale="85" zoomScaleNormal="85" zoomScaleSheetLayoutView="85" workbookViewId="0">
      <pane xSplit="5" ySplit="6" topLeftCell="R10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outlineLevelRow="2" outlineLevelCol="1"/>
  <cols>
    <col min="1" max="1" width="39" style="135" hidden="1" customWidth="1" outlineLevel="1"/>
    <col min="2" max="2" width="29.140625" style="137" customWidth="1" collapsed="1"/>
    <col min="3" max="3" width="32.140625" style="137" bestFit="1" customWidth="1"/>
    <col min="4" max="5" width="10.5703125" style="137" customWidth="1"/>
    <col min="6" max="15" width="10.7109375" style="137" hidden="1" customWidth="1" outlineLevel="1"/>
    <col min="16" max="17" width="10.7109375" style="135" hidden="1" customWidth="1" outlineLevel="1"/>
    <col min="18" max="18" width="12.42578125" style="135" customWidth="1" collapsed="1"/>
    <col min="19" max="19" width="9" style="137" hidden="1" customWidth="1" outlineLevel="1"/>
    <col min="20" max="30" width="9" style="135" hidden="1" customWidth="1" outlineLevel="1"/>
    <col min="31" max="31" width="11" style="135" customWidth="1" collapsed="1"/>
    <col min="32" max="32" width="5.85546875" style="135" customWidth="1"/>
    <col min="33" max="16384" width="9.140625" style="135"/>
  </cols>
  <sheetData>
    <row r="1" spans="1:35">
      <c r="B1" s="136" t="s">
        <v>88</v>
      </c>
      <c r="C1" s="188" t="s">
        <v>797</v>
      </c>
    </row>
    <row r="2" spans="1:35">
      <c r="B2" s="136" t="s">
        <v>306</v>
      </c>
      <c r="C2" s="136"/>
    </row>
    <row r="3" spans="1:35">
      <c r="B3" s="136" t="s">
        <v>307</v>
      </c>
      <c r="C3" s="136"/>
      <c r="P3" s="139"/>
      <c r="Q3" s="139"/>
      <c r="R3" s="139"/>
      <c r="U3" s="138"/>
      <c r="V3" s="138"/>
      <c r="W3" s="138"/>
      <c r="X3" s="138"/>
      <c r="AA3" s="140" t="s">
        <v>308</v>
      </c>
      <c r="AB3" s="141">
        <v>1</v>
      </c>
    </row>
    <row r="4" spans="1:35">
      <c r="C4" s="188">
        <v>1</v>
      </c>
      <c r="D4" s="188">
        <v>2</v>
      </c>
      <c r="E4" s="188">
        <v>3</v>
      </c>
      <c r="F4" s="188">
        <v>4</v>
      </c>
      <c r="G4" s="188">
        <v>5</v>
      </c>
      <c r="H4" s="188">
        <v>6</v>
      </c>
      <c r="I4" s="188">
        <v>7</v>
      </c>
      <c r="J4" s="188">
        <v>8</v>
      </c>
      <c r="K4" s="188">
        <v>9</v>
      </c>
      <c r="L4" s="188">
        <v>10</v>
      </c>
      <c r="M4" s="188">
        <v>11</v>
      </c>
      <c r="N4" s="188">
        <v>12</v>
      </c>
      <c r="O4" s="188">
        <v>13</v>
      </c>
      <c r="P4" s="188">
        <v>14</v>
      </c>
      <c r="Q4" s="188">
        <v>15</v>
      </c>
      <c r="R4" s="188">
        <v>16</v>
      </c>
      <c r="S4" s="188">
        <v>17</v>
      </c>
      <c r="T4" s="188">
        <v>18</v>
      </c>
      <c r="U4" s="188">
        <v>19</v>
      </c>
      <c r="V4" s="188">
        <v>20</v>
      </c>
      <c r="W4" s="188">
        <v>21</v>
      </c>
      <c r="X4" s="188">
        <v>22</v>
      </c>
      <c r="Y4" s="188">
        <v>23</v>
      </c>
      <c r="Z4" s="188">
        <v>24</v>
      </c>
      <c r="AA4" s="188">
        <v>25</v>
      </c>
      <c r="AB4" s="188">
        <v>26</v>
      </c>
      <c r="AC4" s="188">
        <v>27</v>
      </c>
      <c r="AD4" s="188">
        <v>28</v>
      </c>
      <c r="AE4" s="188">
        <v>29</v>
      </c>
      <c r="AF4" s="188"/>
      <c r="AG4" s="188"/>
      <c r="AH4" s="188"/>
      <c r="AI4" s="188"/>
    </row>
    <row r="5" spans="1:35">
      <c r="A5" s="137" t="s">
        <v>305</v>
      </c>
      <c r="C5" s="142"/>
      <c r="D5" s="143"/>
      <c r="E5" s="143"/>
      <c r="F5" s="360" t="s">
        <v>310</v>
      </c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144"/>
      <c r="S5" s="360" t="s">
        <v>311</v>
      </c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5" ht="45">
      <c r="B6" s="145" t="s">
        <v>185</v>
      </c>
      <c r="C6" s="142" t="s">
        <v>312</v>
      </c>
      <c r="D6" s="142" t="s">
        <v>313</v>
      </c>
      <c r="E6" s="142" t="s">
        <v>314</v>
      </c>
      <c r="F6" s="146">
        <v>43009</v>
      </c>
      <c r="G6" s="146">
        <v>43040</v>
      </c>
      <c r="H6" s="146">
        <v>43070</v>
      </c>
      <c r="I6" s="146">
        <v>43118</v>
      </c>
      <c r="J6" s="146">
        <v>43149</v>
      </c>
      <c r="K6" s="146">
        <v>43177</v>
      </c>
      <c r="L6" s="146">
        <v>43208</v>
      </c>
      <c r="M6" s="146">
        <v>43238</v>
      </c>
      <c r="N6" s="146">
        <v>43269</v>
      </c>
      <c r="O6" s="146">
        <v>43299</v>
      </c>
      <c r="P6" s="146">
        <v>43330</v>
      </c>
      <c r="Q6" s="146">
        <v>43361</v>
      </c>
      <c r="R6" s="148" t="s">
        <v>14</v>
      </c>
      <c r="S6" s="146">
        <v>43009</v>
      </c>
      <c r="T6" s="146">
        <v>43040</v>
      </c>
      <c r="U6" s="146">
        <v>43070</v>
      </c>
      <c r="V6" s="146">
        <v>43118</v>
      </c>
      <c r="W6" s="146">
        <v>43149</v>
      </c>
      <c r="X6" s="146">
        <v>43177</v>
      </c>
      <c r="Y6" s="146">
        <v>43208</v>
      </c>
      <c r="Z6" s="146">
        <v>43238</v>
      </c>
      <c r="AA6" s="146">
        <v>43269</v>
      </c>
      <c r="AB6" s="146">
        <v>43299</v>
      </c>
      <c r="AC6" s="146">
        <v>43330</v>
      </c>
      <c r="AD6" s="146">
        <v>43361</v>
      </c>
      <c r="AE6" s="148" t="s">
        <v>796</v>
      </c>
    </row>
    <row r="7" spans="1:35">
      <c r="P7" s="137"/>
      <c r="Q7" s="137"/>
      <c r="R7" s="149"/>
      <c r="S7" s="135"/>
      <c r="AE7" s="149"/>
    </row>
    <row r="8" spans="1:35" outlineLevel="1">
      <c r="B8" s="150" t="s">
        <v>316</v>
      </c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3"/>
      <c r="S8" s="135"/>
      <c r="AE8" s="149"/>
    </row>
    <row r="9" spans="1:35" outlineLevel="1">
      <c r="B9" s="150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135"/>
      <c r="AE9" s="149"/>
    </row>
    <row r="10" spans="1:35" outlineLevel="2">
      <c r="A10" s="135" t="s">
        <v>793</v>
      </c>
      <c r="B10" s="154" t="s">
        <v>317</v>
      </c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/>
      <c r="S10" s="135"/>
      <c r="AE10" s="149"/>
    </row>
    <row r="11" spans="1:35" outlineLevel="2">
      <c r="A11" s="135" t="str">
        <f>+$A$5&amp;$A$10&amp;B11</f>
        <v>AmericanResidential10RW1N</v>
      </c>
      <c r="B11" s="116" t="s">
        <v>318</v>
      </c>
      <c r="C11" s="116" t="s">
        <v>319</v>
      </c>
      <c r="D11" s="155">
        <v>0</v>
      </c>
      <c r="E11" s="155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7">
        <f>SUM(F11:Q11)</f>
        <v>0</v>
      </c>
      <c r="S11" s="158">
        <f>+IFERROR(F11/$D11,0)</f>
        <v>0</v>
      </c>
      <c r="T11" s="158">
        <f>+IFERROR(G11/$D11,0)</f>
        <v>0</v>
      </c>
      <c r="U11" s="158">
        <f>+IFERROR(H11/$D11,0)</f>
        <v>0</v>
      </c>
      <c r="V11" s="158">
        <f>+IFERROR(I11/$D11,0)</f>
        <v>0</v>
      </c>
      <c r="W11" s="158">
        <f>+IFERROR(J11/$D11,0)</f>
        <v>0</v>
      </c>
      <c r="X11" s="158">
        <f t="shared" ref="X11:AD26" si="0">+IFERROR(K11/$E11,0)</f>
        <v>0</v>
      </c>
      <c r="Y11" s="158">
        <f t="shared" si="0"/>
        <v>0</v>
      </c>
      <c r="Z11" s="158">
        <f t="shared" si="0"/>
        <v>0</v>
      </c>
      <c r="AA11" s="158">
        <f t="shared" si="0"/>
        <v>0</v>
      </c>
      <c r="AB11" s="158">
        <f t="shared" si="0"/>
        <v>0</v>
      </c>
      <c r="AC11" s="158">
        <f t="shared" si="0"/>
        <v>0</v>
      </c>
      <c r="AD11" s="158">
        <f t="shared" si="0"/>
        <v>0</v>
      </c>
      <c r="AE11" s="157">
        <f t="shared" ref="AE11:AE53" si="1">+SUM(S11:AD11)/$AB$3</f>
        <v>0</v>
      </c>
    </row>
    <row r="12" spans="1:35" outlineLevel="2">
      <c r="A12" s="135" t="str">
        <f t="shared" ref="A12:A53" si="2">+$A$5&amp;$A$10&amp;B12</f>
        <v>AmericanResidential10RW1R</v>
      </c>
      <c r="B12" s="116" t="s">
        <v>320</v>
      </c>
      <c r="C12" s="116" t="s">
        <v>321</v>
      </c>
      <c r="D12" s="155">
        <v>0</v>
      </c>
      <c r="E12" s="155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7">
        <f t="shared" ref="R12:R55" si="3">SUM(F12:Q12)</f>
        <v>0</v>
      </c>
      <c r="S12" s="158">
        <f t="shared" ref="S12:W53" si="4">+IFERROR(F12/$D12,0)</f>
        <v>0</v>
      </c>
      <c r="T12" s="158">
        <f t="shared" si="4"/>
        <v>0</v>
      </c>
      <c r="U12" s="158">
        <f t="shared" si="4"/>
        <v>0</v>
      </c>
      <c r="V12" s="158">
        <f t="shared" si="4"/>
        <v>0</v>
      </c>
      <c r="W12" s="158">
        <f t="shared" si="4"/>
        <v>0</v>
      </c>
      <c r="X12" s="158">
        <f t="shared" si="0"/>
        <v>0</v>
      </c>
      <c r="Y12" s="158">
        <f t="shared" si="0"/>
        <v>0</v>
      </c>
      <c r="Z12" s="158">
        <f t="shared" si="0"/>
        <v>0</v>
      </c>
      <c r="AA12" s="158">
        <f t="shared" si="0"/>
        <v>0</v>
      </c>
      <c r="AB12" s="158">
        <f t="shared" si="0"/>
        <v>0</v>
      </c>
      <c r="AC12" s="158">
        <f t="shared" si="0"/>
        <v>0</v>
      </c>
      <c r="AD12" s="158">
        <f t="shared" si="0"/>
        <v>0</v>
      </c>
      <c r="AE12" s="157">
        <f t="shared" si="1"/>
        <v>0</v>
      </c>
    </row>
    <row r="13" spans="1:35" outlineLevel="2">
      <c r="A13" s="135" t="str">
        <f t="shared" si="2"/>
        <v>AmericanResidential20RM1</v>
      </c>
      <c r="B13" s="116" t="s">
        <v>322</v>
      </c>
      <c r="C13" s="116" t="s">
        <v>186</v>
      </c>
      <c r="D13" s="155">
        <v>8.9499999999999993</v>
      </c>
      <c r="E13" s="155">
        <v>9.2100000000000009</v>
      </c>
      <c r="F13" s="156">
        <v>324.39</v>
      </c>
      <c r="G13" s="156">
        <v>341.95000000000005</v>
      </c>
      <c r="H13" s="156">
        <v>341.95</v>
      </c>
      <c r="I13" s="156">
        <v>335.07</v>
      </c>
      <c r="J13" s="156">
        <v>326.14999999999998</v>
      </c>
      <c r="K13" s="156">
        <v>335.9</v>
      </c>
      <c r="L13" s="156">
        <v>326.96000000000004</v>
      </c>
      <c r="M13" s="156">
        <v>345.38000000000005</v>
      </c>
      <c r="N13" s="156">
        <v>308.53999999999996</v>
      </c>
      <c r="O13" s="156">
        <v>299.33</v>
      </c>
      <c r="P13" s="156">
        <v>303.93</v>
      </c>
      <c r="Q13" s="156">
        <v>276.3</v>
      </c>
      <c r="R13" s="157">
        <f t="shared" si="3"/>
        <v>3865.85</v>
      </c>
      <c r="S13" s="158">
        <f t="shared" si="4"/>
        <v>36.244692737430171</v>
      </c>
      <c r="T13" s="158">
        <f t="shared" si="4"/>
        <v>38.206703910614536</v>
      </c>
      <c r="U13" s="158">
        <f t="shared" si="4"/>
        <v>38.206703910614529</v>
      </c>
      <c r="V13" s="158">
        <f t="shared" si="4"/>
        <v>37.437988826815648</v>
      </c>
      <c r="W13" s="158">
        <f t="shared" si="4"/>
        <v>36.441340782122907</v>
      </c>
      <c r="X13" s="158">
        <f t="shared" si="0"/>
        <v>36.471226927252978</v>
      </c>
      <c r="Y13" s="158">
        <f t="shared" si="0"/>
        <v>35.500542888165036</v>
      </c>
      <c r="Z13" s="158">
        <f t="shared" si="0"/>
        <v>37.500542888165043</v>
      </c>
      <c r="AA13" s="158">
        <f t="shared" si="0"/>
        <v>33.500542888165029</v>
      </c>
      <c r="AB13" s="158">
        <f t="shared" si="0"/>
        <v>32.500542888165036</v>
      </c>
      <c r="AC13" s="158">
        <f t="shared" si="0"/>
        <v>33</v>
      </c>
      <c r="AD13" s="158">
        <f t="shared" si="0"/>
        <v>30</v>
      </c>
      <c r="AE13" s="157">
        <f>+SUM(S13:AD13)/$AB$3</f>
        <v>425.010828647511</v>
      </c>
    </row>
    <row r="14" spans="1:35" outlineLevel="2">
      <c r="A14" s="135" t="str">
        <f t="shared" si="2"/>
        <v>AmericanResidential20RW1N</v>
      </c>
      <c r="B14" s="116" t="s">
        <v>323</v>
      </c>
      <c r="C14" s="116" t="s">
        <v>187</v>
      </c>
      <c r="D14" s="155">
        <v>15.53</v>
      </c>
      <c r="E14" s="155">
        <v>16.04</v>
      </c>
      <c r="F14" s="156">
        <v>132.75</v>
      </c>
      <c r="G14" s="156">
        <v>71</v>
      </c>
      <c r="H14" s="156">
        <v>95.4</v>
      </c>
      <c r="I14" s="156">
        <v>111.3</v>
      </c>
      <c r="J14" s="156">
        <v>123.58</v>
      </c>
      <c r="K14" s="156">
        <v>123.96</v>
      </c>
      <c r="L14" s="156">
        <v>112.28</v>
      </c>
      <c r="M14" s="156">
        <v>112.28</v>
      </c>
      <c r="N14" s="156">
        <v>112.28</v>
      </c>
      <c r="O14" s="156">
        <v>128.32</v>
      </c>
      <c r="P14" s="156">
        <v>136.34</v>
      </c>
      <c r="Q14" s="156">
        <v>124.30999999999999</v>
      </c>
      <c r="R14" s="157">
        <f t="shared" si="3"/>
        <v>1383.7999999999997</v>
      </c>
      <c r="S14" s="158">
        <f t="shared" si="4"/>
        <v>8.5479716677398585</v>
      </c>
      <c r="T14" s="158">
        <f t="shared" si="4"/>
        <v>4.5717965228589827</v>
      </c>
      <c r="U14" s="158">
        <f t="shared" si="4"/>
        <v>6.1429491307147464</v>
      </c>
      <c r="V14" s="158">
        <f t="shared" si="4"/>
        <v>7.1667739858338697</v>
      </c>
      <c r="W14" s="158">
        <f t="shared" si="4"/>
        <v>7.9575016097875082</v>
      </c>
      <c r="X14" s="158">
        <f t="shared" si="0"/>
        <v>7.7281795511221949</v>
      </c>
      <c r="Y14" s="158">
        <f t="shared" si="0"/>
        <v>7</v>
      </c>
      <c r="Z14" s="158">
        <f t="shared" si="0"/>
        <v>7</v>
      </c>
      <c r="AA14" s="158">
        <f t="shared" si="0"/>
        <v>7</v>
      </c>
      <c r="AB14" s="158">
        <f t="shared" si="0"/>
        <v>8</v>
      </c>
      <c r="AC14" s="158">
        <f t="shared" si="0"/>
        <v>8.5</v>
      </c>
      <c r="AD14" s="158">
        <f t="shared" si="0"/>
        <v>7.75</v>
      </c>
      <c r="AE14" s="157">
        <f t="shared" si="1"/>
        <v>87.365172468057153</v>
      </c>
    </row>
    <row r="15" spans="1:35" outlineLevel="2">
      <c r="A15" s="135" t="str">
        <f t="shared" si="2"/>
        <v>AmericanResidential20RW1R</v>
      </c>
      <c r="B15" s="116" t="s">
        <v>324</v>
      </c>
      <c r="C15" s="116" t="s">
        <v>188</v>
      </c>
      <c r="D15" s="155">
        <v>14.53</v>
      </c>
      <c r="E15" s="155">
        <v>15.04</v>
      </c>
      <c r="F15" s="156">
        <v>16670.579999999998</v>
      </c>
      <c r="G15" s="156">
        <v>16825.689999999999</v>
      </c>
      <c r="H15" s="156">
        <v>17003.54</v>
      </c>
      <c r="I15" s="156">
        <v>17272.169999999998</v>
      </c>
      <c r="J15" s="156">
        <v>17107.439999999999</v>
      </c>
      <c r="K15" s="156">
        <v>17531.189999999995</v>
      </c>
      <c r="L15" s="156">
        <v>17876.509999999998</v>
      </c>
      <c r="M15" s="156">
        <v>18010.609999999997</v>
      </c>
      <c r="N15" s="156">
        <v>18347.999999999996</v>
      </c>
      <c r="O15" s="156">
        <v>18222.68</v>
      </c>
      <c r="P15" s="156">
        <v>18364.920000000002</v>
      </c>
      <c r="Q15" s="156">
        <v>18382.490000000005</v>
      </c>
      <c r="R15" s="157">
        <f t="shared" si="3"/>
        <v>211615.82</v>
      </c>
      <c r="S15" s="158">
        <f t="shared" si="4"/>
        <v>1147.3214039917411</v>
      </c>
      <c r="T15" s="158">
        <f t="shared" si="4"/>
        <v>1157.9965588437715</v>
      </c>
      <c r="U15" s="158">
        <f t="shared" si="4"/>
        <v>1170.2367515485205</v>
      </c>
      <c r="V15" s="158">
        <f t="shared" si="4"/>
        <v>1188.7247075017206</v>
      </c>
      <c r="W15" s="158">
        <f t="shared" si="4"/>
        <v>1177.3874741913282</v>
      </c>
      <c r="X15" s="158">
        <f t="shared" si="0"/>
        <v>1165.6376329787231</v>
      </c>
      <c r="Y15" s="158">
        <f t="shared" si="0"/>
        <v>1188.597739361702</v>
      </c>
      <c r="Z15" s="158">
        <f t="shared" si="0"/>
        <v>1197.5139627659573</v>
      </c>
      <c r="AA15" s="158">
        <f>+IFERROR(N15/$E15,0)</f>
        <v>1219.9468085106382</v>
      </c>
      <c r="AB15" s="158">
        <f t="shared" si="0"/>
        <v>1211.6143617021278</v>
      </c>
      <c r="AC15" s="158">
        <f t="shared" si="0"/>
        <v>1221.0718085106384</v>
      </c>
      <c r="AD15" s="158">
        <f t="shared" si="0"/>
        <v>1222.2400265957451</v>
      </c>
      <c r="AE15" s="157">
        <f t="shared" si="1"/>
        <v>14268.289236502615</v>
      </c>
    </row>
    <row r="16" spans="1:35" outlineLevel="2">
      <c r="A16" s="135" t="str">
        <f t="shared" si="2"/>
        <v>AmericanResidential24RW1N</v>
      </c>
      <c r="B16" s="116" t="s">
        <v>325</v>
      </c>
      <c r="C16" s="116" t="s">
        <v>326</v>
      </c>
      <c r="D16" s="155">
        <v>0</v>
      </c>
      <c r="E16" s="155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7">
        <f t="shared" si="3"/>
        <v>0</v>
      </c>
      <c r="S16" s="158">
        <f t="shared" si="4"/>
        <v>0</v>
      </c>
      <c r="T16" s="158">
        <f t="shared" si="4"/>
        <v>0</v>
      </c>
      <c r="U16" s="158">
        <f t="shared" si="4"/>
        <v>0</v>
      </c>
      <c r="V16" s="158">
        <f t="shared" si="4"/>
        <v>0</v>
      </c>
      <c r="W16" s="158">
        <f t="shared" si="4"/>
        <v>0</v>
      </c>
      <c r="X16" s="158">
        <f t="shared" si="0"/>
        <v>0</v>
      </c>
      <c r="Y16" s="158">
        <f t="shared" si="0"/>
        <v>0</v>
      </c>
      <c r="Z16" s="158">
        <f t="shared" si="0"/>
        <v>0</v>
      </c>
      <c r="AA16" s="158">
        <f t="shared" si="0"/>
        <v>0</v>
      </c>
      <c r="AB16" s="158">
        <f t="shared" si="0"/>
        <v>0</v>
      </c>
      <c r="AC16" s="158">
        <f t="shared" si="0"/>
        <v>0</v>
      </c>
      <c r="AD16" s="158">
        <f t="shared" si="0"/>
        <v>0</v>
      </c>
      <c r="AE16" s="157">
        <f t="shared" si="1"/>
        <v>0</v>
      </c>
    </row>
    <row r="17" spans="1:31" outlineLevel="2">
      <c r="A17" s="135" t="str">
        <f t="shared" si="2"/>
        <v>AmericanResidential24RW1R</v>
      </c>
      <c r="B17" s="116" t="s">
        <v>327</v>
      </c>
      <c r="C17" s="116" t="s">
        <v>328</v>
      </c>
      <c r="D17" s="155">
        <v>0</v>
      </c>
      <c r="E17" s="155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7">
        <f t="shared" si="3"/>
        <v>0</v>
      </c>
      <c r="S17" s="158">
        <f t="shared" si="4"/>
        <v>0</v>
      </c>
      <c r="T17" s="158">
        <f t="shared" si="4"/>
        <v>0</v>
      </c>
      <c r="U17" s="158">
        <f t="shared" si="4"/>
        <v>0</v>
      </c>
      <c r="V17" s="158">
        <f t="shared" si="4"/>
        <v>0</v>
      </c>
      <c r="W17" s="158">
        <f t="shared" si="4"/>
        <v>0</v>
      </c>
      <c r="X17" s="158">
        <f t="shared" si="0"/>
        <v>0</v>
      </c>
      <c r="Y17" s="158">
        <f t="shared" si="0"/>
        <v>0</v>
      </c>
      <c r="Z17" s="158">
        <f t="shared" si="0"/>
        <v>0</v>
      </c>
      <c r="AA17" s="158">
        <f t="shared" si="0"/>
        <v>0</v>
      </c>
      <c r="AB17" s="158">
        <f t="shared" si="0"/>
        <v>0</v>
      </c>
      <c r="AC17" s="158">
        <f t="shared" si="0"/>
        <v>0</v>
      </c>
      <c r="AD17" s="158">
        <f t="shared" si="0"/>
        <v>0</v>
      </c>
      <c r="AE17" s="157">
        <f t="shared" si="1"/>
        <v>0</v>
      </c>
    </row>
    <row r="18" spans="1:31" outlineLevel="2">
      <c r="A18" s="135" t="str">
        <f t="shared" si="2"/>
        <v>AmericanResidential32RW1N</v>
      </c>
      <c r="B18" s="116" t="s">
        <v>329</v>
      </c>
      <c r="C18" s="116" t="s">
        <v>330</v>
      </c>
      <c r="D18" s="155">
        <v>0</v>
      </c>
      <c r="E18" s="155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7">
        <f t="shared" si="3"/>
        <v>0</v>
      </c>
      <c r="S18" s="158">
        <f t="shared" si="4"/>
        <v>0</v>
      </c>
      <c r="T18" s="158">
        <f t="shared" si="4"/>
        <v>0</v>
      </c>
      <c r="U18" s="158">
        <f t="shared" si="4"/>
        <v>0</v>
      </c>
      <c r="V18" s="158">
        <f t="shared" si="4"/>
        <v>0</v>
      </c>
      <c r="W18" s="158">
        <f t="shared" si="4"/>
        <v>0</v>
      </c>
      <c r="X18" s="158">
        <f t="shared" si="0"/>
        <v>0</v>
      </c>
      <c r="Y18" s="158">
        <f t="shared" si="0"/>
        <v>0</v>
      </c>
      <c r="Z18" s="158">
        <f t="shared" si="0"/>
        <v>0</v>
      </c>
      <c r="AA18" s="158">
        <f t="shared" si="0"/>
        <v>0</v>
      </c>
      <c r="AB18" s="158">
        <f t="shared" si="0"/>
        <v>0</v>
      </c>
      <c r="AC18" s="158">
        <f t="shared" si="0"/>
        <v>0</v>
      </c>
      <c r="AD18" s="158">
        <f t="shared" si="0"/>
        <v>0</v>
      </c>
      <c r="AE18" s="157">
        <f t="shared" si="1"/>
        <v>0</v>
      </c>
    </row>
    <row r="19" spans="1:31" outlineLevel="2">
      <c r="A19" s="135" t="str">
        <f t="shared" si="2"/>
        <v>AmericanResidential32RW1R</v>
      </c>
      <c r="B19" s="116" t="s">
        <v>331</v>
      </c>
      <c r="C19" s="116" t="s">
        <v>332</v>
      </c>
      <c r="D19" s="155">
        <v>0</v>
      </c>
      <c r="E19" s="155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7">
        <f t="shared" si="3"/>
        <v>0</v>
      </c>
      <c r="S19" s="158">
        <f t="shared" si="4"/>
        <v>0</v>
      </c>
      <c r="T19" s="158">
        <f t="shared" si="4"/>
        <v>0</v>
      </c>
      <c r="U19" s="158">
        <f t="shared" si="4"/>
        <v>0</v>
      </c>
      <c r="V19" s="158">
        <f t="shared" si="4"/>
        <v>0</v>
      </c>
      <c r="W19" s="158">
        <f t="shared" si="4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158">
        <f t="shared" si="0"/>
        <v>0</v>
      </c>
      <c r="AE19" s="157">
        <f t="shared" si="1"/>
        <v>0</v>
      </c>
    </row>
    <row r="20" spans="1:31" outlineLevel="2">
      <c r="A20" s="135" t="str">
        <f t="shared" si="2"/>
        <v>AmericanResidential32RW2R</v>
      </c>
      <c r="B20" s="116" t="s">
        <v>333</v>
      </c>
      <c r="C20" s="116" t="s">
        <v>334</v>
      </c>
      <c r="D20" s="155">
        <v>0</v>
      </c>
      <c r="E20" s="155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7">
        <f t="shared" si="3"/>
        <v>0</v>
      </c>
      <c r="S20" s="158">
        <f t="shared" si="4"/>
        <v>0</v>
      </c>
      <c r="T20" s="158">
        <f t="shared" si="4"/>
        <v>0</v>
      </c>
      <c r="U20" s="158">
        <f t="shared" si="4"/>
        <v>0</v>
      </c>
      <c r="V20" s="158">
        <f t="shared" si="4"/>
        <v>0</v>
      </c>
      <c r="W20" s="158">
        <f t="shared" si="4"/>
        <v>0</v>
      </c>
      <c r="X20" s="158">
        <f t="shared" si="0"/>
        <v>0</v>
      </c>
      <c r="Y20" s="158">
        <f t="shared" si="0"/>
        <v>0</v>
      </c>
      <c r="Z20" s="158">
        <f t="shared" si="0"/>
        <v>0</v>
      </c>
      <c r="AA20" s="158">
        <f t="shared" si="0"/>
        <v>0</v>
      </c>
      <c r="AB20" s="158">
        <f t="shared" si="0"/>
        <v>0</v>
      </c>
      <c r="AC20" s="158">
        <f t="shared" si="0"/>
        <v>0</v>
      </c>
      <c r="AD20" s="158">
        <f t="shared" si="0"/>
        <v>0</v>
      </c>
      <c r="AE20" s="157">
        <f t="shared" si="1"/>
        <v>0</v>
      </c>
    </row>
    <row r="21" spans="1:31" outlineLevel="2">
      <c r="A21" s="135" t="str">
        <f t="shared" si="2"/>
        <v>AmericanResidential35RM1</v>
      </c>
      <c r="B21" s="116" t="s">
        <v>335</v>
      </c>
      <c r="C21" s="116" t="s">
        <v>189</v>
      </c>
      <c r="D21" s="155">
        <v>11.41</v>
      </c>
      <c r="E21" s="155">
        <v>11.46</v>
      </c>
      <c r="F21" s="156">
        <v>2529.8200000000002</v>
      </c>
      <c r="G21" s="156">
        <v>2575.94</v>
      </c>
      <c r="H21" s="156">
        <v>2509.9199999999996</v>
      </c>
      <c r="I21" s="156">
        <v>2517.34</v>
      </c>
      <c r="J21" s="156">
        <v>2531.0700000000002</v>
      </c>
      <c r="K21" s="156">
        <v>2530.3100000000004</v>
      </c>
      <c r="L21" s="156">
        <v>2515.4700000000003</v>
      </c>
      <c r="M21" s="156">
        <v>2504.0100000000002</v>
      </c>
      <c r="N21" s="156">
        <v>2508.41</v>
      </c>
      <c r="O21" s="156">
        <v>2400.87</v>
      </c>
      <c r="P21" s="156">
        <v>2393.71</v>
      </c>
      <c r="Q21" s="156">
        <v>2370.8900000000003</v>
      </c>
      <c r="R21" s="157">
        <f t="shared" si="3"/>
        <v>29887.760000000002</v>
      </c>
      <c r="S21" s="158">
        <f t="shared" si="4"/>
        <v>221.71954425942158</v>
      </c>
      <c r="T21" s="158">
        <f t="shared" si="4"/>
        <v>225.76161262050832</v>
      </c>
      <c r="U21" s="158">
        <f t="shared" si="4"/>
        <v>219.97546012269936</v>
      </c>
      <c r="V21" s="158">
        <f t="shared" si="4"/>
        <v>220.62576687116567</v>
      </c>
      <c r="W21" s="158">
        <f t="shared" si="4"/>
        <v>221.82909728308502</v>
      </c>
      <c r="X21" s="158">
        <f t="shared" si="0"/>
        <v>220.7949389179756</v>
      </c>
      <c r="Y21" s="158">
        <f t="shared" si="0"/>
        <v>219.5</v>
      </c>
      <c r="Z21" s="158">
        <f t="shared" si="0"/>
        <v>218.5</v>
      </c>
      <c r="AA21" s="158">
        <f t="shared" si="0"/>
        <v>218.88394415357763</v>
      </c>
      <c r="AB21" s="158">
        <f t="shared" si="0"/>
        <v>209.49999999999997</v>
      </c>
      <c r="AC21" s="158">
        <f t="shared" si="0"/>
        <v>208.87521815008725</v>
      </c>
      <c r="AD21" s="158">
        <f t="shared" si="0"/>
        <v>206.88394415357769</v>
      </c>
      <c r="AE21" s="157">
        <f t="shared" si="1"/>
        <v>2612.849526532098</v>
      </c>
    </row>
    <row r="22" spans="1:31" outlineLevel="2">
      <c r="A22" s="135" t="str">
        <f t="shared" si="2"/>
        <v>AmericanResidential35RW1N</v>
      </c>
      <c r="B22" s="116" t="s">
        <v>336</v>
      </c>
      <c r="C22" s="116" t="s">
        <v>190</v>
      </c>
      <c r="D22" s="155">
        <v>19.77</v>
      </c>
      <c r="E22" s="155">
        <v>20</v>
      </c>
      <c r="F22" s="156">
        <v>3004.54</v>
      </c>
      <c r="G22" s="156">
        <v>2947.1699999999996</v>
      </c>
      <c r="H22" s="156">
        <v>2964.05</v>
      </c>
      <c r="I22" s="156">
        <v>2891.75</v>
      </c>
      <c r="J22" s="156">
        <v>2862.46</v>
      </c>
      <c r="K22" s="156">
        <v>2847.96</v>
      </c>
      <c r="L22" s="156">
        <v>2872.5</v>
      </c>
      <c r="M22" s="156">
        <v>2912.5</v>
      </c>
      <c r="N22" s="156">
        <v>3000</v>
      </c>
      <c r="O22" s="156">
        <v>3037.5</v>
      </c>
      <c r="P22" s="156">
        <v>3047.5</v>
      </c>
      <c r="Q22" s="156">
        <v>3040</v>
      </c>
      <c r="R22" s="157">
        <f t="shared" si="3"/>
        <v>35427.929999999993</v>
      </c>
      <c r="S22" s="158">
        <f t="shared" si="4"/>
        <v>151.97470915528578</v>
      </c>
      <c r="T22" s="158">
        <f t="shared" si="4"/>
        <v>149.07283763277692</v>
      </c>
      <c r="U22" s="158">
        <f t="shared" si="4"/>
        <v>149.9266565503288</v>
      </c>
      <c r="V22" s="158">
        <f t="shared" si="4"/>
        <v>146.26960040465352</v>
      </c>
      <c r="W22" s="158">
        <f t="shared" si="4"/>
        <v>144.78806272129489</v>
      </c>
      <c r="X22" s="158">
        <f t="shared" si="0"/>
        <v>142.398</v>
      </c>
      <c r="Y22" s="158">
        <f t="shared" si="0"/>
        <v>143.625</v>
      </c>
      <c r="Z22" s="158">
        <f t="shared" si="0"/>
        <v>145.625</v>
      </c>
      <c r="AA22" s="158">
        <f t="shared" si="0"/>
        <v>150</v>
      </c>
      <c r="AB22" s="158">
        <f t="shared" si="0"/>
        <v>151.875</v>
      </c>
      <c r="AC22" s="158">
        <f t="shared" si="0"/>
        <v>152.375</v>
      </c>
      <c r="AD22" s="158">
        <f t="shared" si="0"/>
        <v>152</v>
      </c>
      <c r="AE22" s="157">
        <f t="shared" si="1"/>
        <v>1779.92986646434</v>
      </c>
    </row>
    <row r="23" spans="1:31" outlineLevel="2">
      <c r="A23" s="135" t="str">
        <f t="shared" si="2"/>
        <v>AmericanResidential35RW1R</v>
      </c>
      <c r="B23" s="116" t="s">
        <v>337</v>
      </c>
      <c r="C23" s="116" t="s">
        <v>191</v>
      </c>
      <c r="D23" s="155">
        <v>18.77</v>
      </c>
      <c r="E23" s="155">
        <v>19</v>
      </c>
      <c r="F23" s="156">
        <v>222374.1</v>
      </c>
      <c r="G23" s="156">
        <v>223171.31999999998</v>
      </c>
      <c r="H23" s="156">
        <v>223569.63999999998</v>
      </c>
      <c r="I23" s="156">
        <v>222499.94</v>
      </c>
      <c r="J23" s="156">
        <v>223028.89</v>
      </c>
      <c r="K23" s="156">
        <v>224382.12000000002</v>
      </c>
      <c r="L23" s="156">
        <v>225801.16</v>
      </c>
      <c r="M23" s="156">
        <v>228123.86000000002</v>
      </c>
      <c r="N23" s="156">
        <v>228363.18999999997</v>
      </c>
      <c r="O23" s="156">
        <v>228632.38</v>
      </c>
      <c r="P23" s="156">
        <v>228750.19</v>
      </c>
      <c r="Q23" s="156">
        <v>228420.65999999997</v>
      </c>
      <c r="R23" s="157">
        <f t="shared" si="3"/>
        <v>2707117.45</v>
      </c>
      <c r="S23" s="158">
        <f t="shared" si="4"/>
        <v>11847.314864144913</v>
      </c>
      <c r="T23" s="158">
        <f t="shared" si="4"/>
        <v>11889.787959509855</v>
      </c>
      <c r="U23" s="158">
        <f t="shared" si="4"/>
        <v>11911.00905700586</v>
      </c>
      <c r="V23" s="158">
        <f t="shared" si="4"/>
        <v>11854.019179541823</v>
      </c>
      <c r="W23" s="158">
        <f t="shared" si="4"/>
        <v>11882.199786893982</v>
      </c>
      <c r="X23" s="158">
        <f t="shared" si="0"/>
        <v>11809.585263157896</v>
      </c>
      <c r="Y23" s="158">
        <f t="shared" si="0"/>
        <v>11884.271578947368</v>
      </c>
      <c r="Z23" s="158">
        <f t="shared" si="0"/>
        <v>12006.518947368422</v>
      </c>
      <c r="AA23" s="158">
        <f t="shared" si="0"/>
        <v>12019.115263157893</v>
      </c>
      <c r="AB23" s="158">
        <f t="shared" si="0"/>
        <v>12033.283157894737</v>
      </c>
      <c r="AC23" s="158">
        <f t="shared" si="0"/>
        <v>12039.483684210527</v>
      </c>
      <c r="AD23" s="158">
        <f t="shared" si="0"/>
        <v>12022.14</v>
      </c>
      <c r="AE23" s="157">
        <f t="shared" si="1"/>
        <v>143198.7287418333</v>
      </c>
    </row>
    <row r="24" spans="1:31" outlineLevel="2">
      <c r="A24" s="135" t="str">
        <f t="shared" si="2"/>
        <v>AmericanResidential64RW1N</v>
      </c>
      <c r="B24" s="116" t="s">
        <v>338</v>
      </c>
      <c r="C24" s="116" t="s">
        <v>339</v>
      </c>
      <c r="D24" s="155">
        <v>0</v>
      </c>
      <c r="E24" s="155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7">
        <f t="shared" si="3"/>
        <v>0</v>
      </c>
      <c r="S24" s="158">
        <f t="shared" si="4"/>
        <v>0</v>
      </c>
      <c r="T24" s="158">
        <f t="shared" si="4"/>
        <v>0</v>
      </c>
      <c r="U24" s="158">
        <f t="shared" si="4"/>
        <v>0</v>
      </c>
      <c r="V24" s="158">
        <f t="shared" si="4"/>
        <v>0</v>
      </c>
      <c r="W24" s="158">
        <f t="shared" si="4"/>
        <v>0</v>
      </c>
      <c r="X24" s="158">
        <f t="shared" si="0"/>
        <v>0</v>
      </c>
      <c r="Y24" s="158">
        <f t="shared" si="0"/>
        <v>0</v>
      </c>
      <c r="Z24" s="158">
        <f t="shared" si="0"/>
        <v>0</v>
      </c>
      <c r="AA24" s="158">
        <f t="shared" si="0"/>
        <v>0</v>
      </c>
      <c r="AB24" s="158">
        <f t="shared" si="0"/>
        <v>0</v>
      </c>
      <c r="AC24" s="158">
        <f t="shared" si="0"/>
        <v>0</v>
      </c>
      <c r="AD24" s="158">
        <f t="shared" si="0"/>
        <v>0</v>
      </c>
      <c r="AE24" s="157">
        <f t="shared" si="1"/>
        <v>0</v>
      </c>
    </row>
    <row r="25" spans="1:31" outlineLevel="2">
      <c r="A25" s="135" t="str">
        <f t="shared" si="2"/>
        <v>AmericanResidential64RW1R</v>
      </c>
      <c r="B25" s="116" t="s">
        <v>340</v>
      </c>
      <c r="C25" s="116" t="s">
        <v>341</v>
      </c>
      <c r="D25" s="155">
        <v>0</v>
      </c>
      <c r="E25" s="155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7">
        <f t="shared" si="3"/>
        <v>0</v>
      </c>
      <c r="S25" s="158">
        <f t="shared" si="4"/>
        <v>0</v>
      </c>
      <c r="T25" s="158">
        <f t="shared" si="4"/>
        <v>0</v>
      </c>
      <c r="U25" s="158">
        <f t="shared" si="4"/>
        <v>0</v>
      </c>
      <c r="V25" s="158">
        <f t="shared" si="4"/>
        <v>0</v>
      </c>
      <c r="W25" s="158">
        <f t="shared" si="4"/>
        <v>0</v>
      </c>
      <c r="X25" s="158">
        <f t="shared" si="0"/>
        <v>0</v>
      </c>
      <c r="Y25" s="158">
        <f t="shared" si="0"/>
        <v>0</v>
      </c>
      <c r="Z25" s="158">
        <f t="shared" si="0"/>
        <v>0</v>
      </c>
      <c r="AA25" s="158">
        <f t="shared" si="0"/>
        <v>0</v>
      </c>
      <c r="AB25" s="158">
        <f t="shared" si="0"/>
        <v>0</v>
      </c>
      <c r="AC25" s="158">
        <f t="shared" si="0"/>
        <v>0</v>
      </c>
      <c r="AD25" s="158">
        <f t="shared" si="0"/>
        <v>0</v>
      </c>
      <c r="AE25" s="157">
        <f t="shared" si="1"/>
        <v>0</v>
      </c>
    </row>
    <row r="26" spans="1:31" outlineLevel="2">
      <c r="A26" s="135" t="str">
        <f t="shared" si="2"/>
        <v>AmericanResidential65RM1</v>
      </c>
      <c r="B26" s="116" t="s">
        <v>342</v>
      </c>
      <c r="C26" s="116" t="s">
        <v>192</v>
      </c>
      <c r="D26" s="155">
        <v>17.079999999999998</v>
      </c>
      <c r="E26" s="155">
        <v>17.149999999999999</v>
      </c>
      <c r="F26" s="156">
        <v>212.01999999999998</v>
      </c>
      <c r="G26" s="156">
        <v>245.76999999999998</v>
      </c>
      <c r="H26" s="156">
        <v>256.2</v>
      </c>
      <c r="I26" s="156">
        <v>269.10999999999996</v>
      </c>
      <c r="J26" s="156">
        <v>282.14</v>
      </c>
      <c r="K26" s="156">
        <v>334.15000000000003</v>
      </c>
      <c r="L26" s="156">
        <v>343</v>
      </c>
      <c r="M26" s="156">
        <v>308.7</v>
      </c>
      <c r="N26" s="156">
        <v>325.85000000000002</v>
      </c>
      <c r="O26" s="156">
        <v>360.15</v>
      </c>
      <c r="P26" s="156">
        <v>394.46000000000004</v>
      </c>
      <c r="Q26" s="156">
        <v>403.04</v>
      </c>
      <c r="R26" s="157">
        <f t="shared" si="3"/>
        <v>3734.5899999999997</v>
      </c>
      <c r="S26" s="158">
        <f t="shared" si="4"/>
        <v>12.413348946135832</v>
      </c>
      <c r="T26" s="158">
        <f t="shared" si="4"/>
        <v>14.389344262295083</v>
      </c>
      <c r="U26" s="158">
        <f t="shared" si="4"/>
        <v>15</v>
      </c>
      <c r="V26" s="158">
        <f t="shared" si="4"/>
        <v>15.755854800936767</v>
      </c>
      <c r="W26" s="158">
        <f t="shared" si="4"/>
        <v>16.51873536299766</v>
      </c>
      <c r="X26" s="158">
        <f t="shared" si="0"/>
        <v>19.483965014577262</v>
      </c>
      <c r="Y26" s="158">
        <f t="shared" si="0"/>
        <v>20</v>
      </c>
      <c r="Z26" s="158">
        <f t="shared" si="0"/>
        <v>18</v>
      </c>
      <c r="AA26" s="158">
        <f t="shared" si="0"/>
        <v>19.000000000000004</v>
      </c>
      <c r="AB26" s="158">
        <f t="shared" si="0"/>
        <v>21</v>
      </c>
      <c r="AC26" s="158">
        <f t="shared" si="0"/>
        <v>23.000583090379013</v>
      </c>
      <c r="AD26" s="158">
        <f t="shared" si="0"/>
        <v>23.500874635568515</v>
      </c>
      <c r="AE26" s="157">
        <f t="shared" si="1"/>
        <v>218.06270611289017</v>
      </c>
    </row>
    <row r="27" spans="1:31" outlineLevel="2">
      <c r="A27" s="135" t="str">
        <f t="shared" si="2"/>
        <v>AmericanResidential65RW1N</v>
      </c>
      <c r="B27" s="116" t="s">
        <v>343</v>
      </c>
      <c r="C27" s="116" t="s">
        <v>193</v>
      </c>
      <c r="D27" s="155">
        <v>29.61</v>
      </c>
      <c r="E27" s="155">
        <v>29.93</v>
      </c>
      <c r="F27" s="156">
        <v>1203.51</v>
      </c>
      <c r="G27" s="156">
        <v>1220.42</v>
      </c>
      <c r="H27" s="156">
        <v>1199.21</v>
      </c>
      <c r="I27" s="156">
        <v>1243.6300000000001</v>
      </c>
      <c r="J27" s="156">
        <v>1239.58</v>
      </c>
      <c r="K27" s="156">
        <v>1294.54</v>
      </c>
      <c r="L27" s="156">
        <v>1268.29</v>
      </c>
      <c r="M27" s="156">
        <v>1339.37</v>
      </c>
      <c r="N27" s="156">
        <v>1287</v>
      </c>
      <c r="O27" s="156">
        <v>1309.4399999999998</v>
      </c>
      <c r="P27" s="156">
        <v>1227.1300000000001</v>
      </c>
      <c r="Q27" s="156">
        <v>1324.41</v>
      </c>
      <c r="R27" s="157">
        <f t="shared" si="3"/>
        <v>15156.529999999999</v>
      </c>
      <c r="S27" s="158">
        <f t="shared" si="4"/>
        <v>40.645390070921984</v>
      </c>
      <c r="T27" s="158">
        <f t="shared" si="4"/>
        <v>41.216480918608582</v>
      </c>
      <c r="U27" s="158">
        <f t="shared" si="4"/>
        <v>40.500168861870989</v>
      </c>
      <c r="V27" s="158">
        <f t="shared" si="4"/>
        <v>42.000337723741985</v>
      </c>
      <c r="W27" s="158">
        <f t="shared" si="4"/>
        <v>41.863559608240458</v>
      </c>
      <c r="X27" s="158">
        <f t="shared" ref="X27:AD53" si="5">+IFERROR(K27/$E27,0)</f>
        <v>43.252255262278652</v>
      </c>
      <c r="Y27" s="158">
        <f t="shared" si="5"/>
        <v>42.375208820581356</v>
      </c>
      <c r="Z27" s="158">
        <f t="shared" si="5"/>
        <v>44.750083528232537</v>
      </c>
      <c r="AA27" s="158">
        <f t="shared" si="5"/>
        <v>43.000334112930169</v>
      </c>
      <c r="AB27" s="158">
        <f t="shared" si="5"/>
        <v>43.750083528232537</v>
      </c>
      <c r="AC27" s="158">
        <f t="shared" si="5"/>
        <v>41.000000000000007</v>
      </c>
      <c r="AD27" s="158">
        <f t="shared" si="5"/>
        <v>44.250250584697632</v>
      </c>
      <c r="AE27" s="157">
        <f t="shared" si="1"/>
        <v>508.60415302033692</v>
      </c>
    </row>
    <row r="28" spans="1:31" outlineLevel="2">
      <c r="A28" s="135" t="str">
        <f t="shared" si="2"/>
        <v>AmericanResidential65RW1R</v>
      </c>
      <c r="B28" s="116" t="s">
        <v>344</v>
      </c>
      <c r="C28" s="116" t="s">
        <v>194</v>
      </c>
      <c r="D28" s="155">
        <v>27.61</v>
      </c>
      <c r="E28" s="155">
        <v>27.93</v>
      </c>
      <c r="F28" s="156">
        <v>132003.87</v>
      </c>
      <c r="G28" s="156">
        <v>133935.62</v>
      </c>
      <c r="H28" s="156">
        <v>136148.03</v>
      </c>
      <c r="I28" s="156">
        <v>137150.17000000001</v>
      </c>
      <c r="J28" s="156">
        <v>138622.01</v>
      </c>
      <c r="K28" s="156">
        <v>140520.04</v>
      </c>
      <c r="L28" s="156">
        <v>143144.77999999997</v>
      </c>
      <c r="M28" s="156">
        <v>144404.18</v>
      </c>
      <c r="N28" s="156">
        <v>145250.68</v>
      </c>
      <c r="O28" s="156">
        <v>147310.03</v>
      </c>
      <c r="P28" s="156">
        <v>148250.77000000002</v>
      </c>
      <c r="Q28" s="156">
        <v>149062.88000000003</v>
      </c>
      <c r="R28" s="157">
        <f t="shared" si="3"/>
        <v>1695803.06</v>
      </c>
      <c r="S28" s="158">
        <f t="shared" si="4"/>
        <v>4781.0166606302064</v>
      </c>
      <c r="T28" s="158">
        <f t="shared" si="4"/>
        <v>4850.9822528069535</v>
      </c>
      <c r="U28" s="158">
        <f t="shared" si="4"/>
        <v>4931.1130025353132</v>
      </c>
      <c r="V28" s="158">
        <f t="shared" si="4"/>
        <v>4967.4092720028984</v>
      </c>
      <c r="W28" s="158">
        <f t="shared" si="4"/>
        <v>5020.7174936617175</v>
      </c>
      <c r="X28" s="158">
        <f t="shared" si="5"/>
        <v>5031.1507339778018</v>
      </c>
      <c r="Y28" s="158">
        <f t="shared" si="5"/>
        <v>5125.1263873970629</v>
      </c>
      <c r="Z28" s="158">
        <f t="shared" si="5"/>
        <v>5170.2176870748299</v>
      </c>
      <c r="AA28" s="158">
        <f t="shared" si="5"/>
        <v>5200.5255997135691</v>
      </c>
      <c r="AB28" s="158">
        <f t="shared" si="5"/>
        <v>5274.2581453634084</v>
      </c>
      <c r="AC28" s="158">
        <f t="shared" si="5"/>
        <v>5307.9402076620127</v>
      </c>
      <c r="AD28" s="158">
        <f t="shared" si="5"/>
        <v>5337.0168277837465</v>
      </c>
      <c r="AE28" s="157">
        <f t="shared" si="1"/>
        <v>60997.474270609513</v>
      </c>
    </row>
    <row r="29" spans="1:31" outlineLevel="2">
      <c r="A29" s="135" t="str">
        <f t="shared" si="2"/>
        <v>AmericanResidential95RM1</v>
      </c>
      <c r="B29" s="116" t="s">
        <v>345</v>
      </c>
      <c r="C29" s="116" t="s">
        <v>195</v>
      </c>
      <c r="D29" s="155">
        <v>23.9</v>
      </c>
      <c r="E29" s="155">
        <v>24.01</v>
      </c>
      <c r="F29" s="156">
        <v>23.61</v>
      </c>
      <c r="G29" s="156">
        <v>23.61</v>
      </c>
      <c r="H29" s="156">
        <v>23.9</v>
      </c>
      <c r="I29" s="156">
        <v>23.9</v>
      </c>
      <c r="J29" s="156">
        <v>23.96</v>
      </c>
      <c r="K29" s="156">
        <v>23.96</v>
      </c>
      <c r="L29" s="156">
        <v>72.03</v>
      </c>
      <c r="M29" s="156">
        <v>96.04</v>
      </c>
      <c r="N29" s="156">
        <v>96.04</v>
      </c>
      <c r="O29" s="156">
        <v>72.03</v>
      </c>
      <c r="P29" s="156">
        <v>48.02</v>
      </c>
      <c r="Q29" s="156">
        <v>48.02</v>
      </c>
      <c r="R29" s="157">
        <f t="shared" si="3"/>
        <v>575.12</v>
      </c>
      <c r="S29" s="158">
        <f t="shared" si="4"/>
        <v>0.98786610878661096</v>
      </c>
      <c r="T29" s="158">
        <f t="shared" si="4"/>
        <v>0.98786610878661096</v>
      </c>
      <c r="U29" s="158">
        <f t="shared" si="4"/>
        <v>1</v>
      </c>
      <c r="V29" s="158">
        <f t="shared" si="4"/>
        <v>1</v>
      </c>
      <c r="W29" s="158">
        <f t="shared" si="4"/>
        <v>1.0025104602510462</v>
      </c>
      <c r="X29" s="158">
        <f t="shared" si="5"/>
        <v>0.99791753436068298</v>
      </c>
      <c r="Y29" s="158">
        <f t="shared" si="5"/>
        <v>3</v>
      </c>
      <c r="Z29" s="158">
        <f t="shared" si="5"/>
        <v>4</v>
      </c>
      <c r="AA29" s="158">
        <f t="shared" si="5"/>
        <v>4</v>
      </c>
      <c r="AB29" s="158">
        <f t="shared" si="5"/>
        <v>3</v>
      </c>
      <c r="AC29" s="158">
        <f t="shared" si="5"/>
        <v>2</v>
      </c>
      <c r="AD29" s="158">
        <f t="shared" si="5"/>
        <v>2</v>
      </c>
      <c r="AE29" s="157">
        <f t="shared" si="1"/>
        <v>23.976160212184951</v>
      </c>
    </row>
    <row r="30" spans="1:31" outlineLevel="2">
      <c r="A30" s="135" t="str">
        <f t="shared" si="2"/>
        <v>AmericanResidential95RW1N</v>
      </c>
      <c r="B30" s="116" t="s">
        <v>346</v>
      </c>
      <c r="C30" s="116" t="s">
        <v>196</v>
      </c>
      <c r="D30" s="155">
        <v>41.42</v>
      </c>
      <c r="E30" s="155">
        <v>41.89</v>
      </c>
      <c r="F30" s="156">
        <v>223.45</v>
      </c>
      <c r="G30" s="156">
        <v>226.36</v>
      </c>
      <c r="H30" s="156">
        <v>207.10000000000002</v>
      </c>
      <c r="I30" s="156">
        <v>207.10000000000002</v>
      </c>
      <c r="J30" s="156">
        <v>207.57</v>
      </c>
      <c r="K30" s="156">
        <v>208.98000000000002</v>
      </c>
      <c r="L30" s="156">
        <v>209.45</v>
      </c>
      <c r="M30" s="156">
        <v>209.45</v>
      </c>
      <c r="N30" s="156">
        <v>230.4</v>
      </c>
      <c r="O30" s="156">
        <v>209.45</v>
      </c>
      <c r="P30" s="156">
        <v>209.45</v>
      </c>
      <c r="Q30" s="156">
        <v>209.45</v>
      </c>
      <c r="R30" s="157">
        <f t="shared" si="3"/>
        <v>2558.21</v>
      </c>
      <c r="S30" s="158">
        <f t="shared" si="4"/>
        <v>5.3947368421052628</v>
      </c>
      <c r="T30" s="158">
        <f t="shared" si="4"/>
        <v>5.4649927571221637</v>
      </c>
      <c r="U30" s="158">
        <f t="shared" si="4"/>
        <v>5</v>
      </c>
      <c r="V30" s="158">
        <f t="shared" si="4"/>
        <v>5</v>
      </c>
      <c r="W30" s="158">
        <f t="shared" si="4"/>
        <v>5.0113471752776428</v>
      </c>
      <c r="X30" s="158">
        <f t="shared" si="5"/>
        <v>4.9887801384578658</v>
      </c>
      <c r="Y30" s="158">
        <f t="shared" si="5"/>
        <v>5</v>
      </c>
      <c r="Z30" s="158">
        <f t="shared" si="5"/>
        <v>5</v>
      </c>
      <c r="AA30" s="158">
        <f t="shared" si="5"/>
        <v>5.5001193602291716</v>
      </c>
      <c r="AB30" s="158">
        <f t="shared" si="5"/>
        <v>5</v>
      </c>
      <c r="AC30" s="158">
        <f t="shared" si="5"/>
        <v>5</v>
      </c>
      <c r="AD30" s="158">
        <f t="shared" si="5"/>
        <v>5</v>
      </c>
      <c r="AE30" s="157">
        <f t="shared" si="1"/>
        <v>61.35997627319211</v>
      </c>
    </row>
    <row r="31" spans="1:31" outlineLevel="2">
      <c r="A31" s="135" t="str">
        <f t="shared" si="2"/>
        <v>AmericanResidential95RW1R</v>
      </c>
      <c r="B31" s="116" t="s">
        <v>347</v>
      </c>
      <c r="C31" s="116" t="s">
        <v>197</v>
      </c>
      <c r="D31" s="155">
        <v>38.42</v>
      </c>
      <c r="E31" s="155">
        <v>38.89</v>
      </c>
      <c r="F31" s="156">
        <v>20411.530000000002</v>
      </c>
      <c r="G31" s="156">
        <v>21379.81</v>
      </c>
      <c r="H31" s="156">
        <v>22725.68</v>
      </c>
      <c r="I31" s="156">
        <v>23140.720000000001</v>
      </c>
      <c r="J31" s="156">
        <v>24266.46</v>
      </c>
      <c r="K31" s="156">
        <v>25034.710000000003</v>
      </c>
      <c r="L31" s="156">
        <v>25691.4</v>
      </c>
      <c r="M31" s="156">
        <v>26999.420000000002</v>
      </c>
      <c r="N31" s="156">
        <v>27431.170000000002</v>
      </c>
      <c r="O31" s="156">
        <v>27896.65</v>
      </c>
      <c r="P31" s="156">
        <v>28804.1</v>
      </c>
      <c r="Q31" s="156">
        <v>29523.32</v>
      </c>
      <c r="R31" s="157">
        <f t="shared" si="3"/>
        <v>303304.97000000003</v>
      </c>
      <c r="S31" s="158">
        <f t="shared" si="4"/>
        <v>531.27355543987505</v>
      </c>
      <c r="T31" s="158">
        <f t="shared" si="4"/>
        <v>556.47605413846952</v>
      </c>
      <c r="U31" s="158">
        <f t="shared" si="4"/>
        <v>591.50650702758981</v>
      </c>
      <c r="V31" s="158">
        <f t="shared" si="4"/>
        <v>602.30921395106714</v>
      </c>
      <c r="W31" s="158">
        <f t="shared" si="4"/>
        <v>631.6100989068193</v>
      </c>
      <c r="X31" s="158">
        <f t="shared" si="5"/>
        <v>643.73129339161744</v>
      </c>
      <c r="Y31" s="158">
        <f t="shared" si="5"/>
        <v>660.61712522499363</v>
      </c>
      <c r="Z31" s="158">
        <f t="shared" si="5"/>
        <v>694.25096425816412</v>
      </c>
      <c r="AA31" s="158">
        <f t="shared" si="5"/>
        <v>705.35278992028805</v>
      </c>
      <c r="AB31" s="158">
        <f t="shared" si="5"/>
        <v>717.32193365903834</v>
      </c>
      <c r="AC31" s="158">
        <f t="shared" si="5"/>
        <v>740.6556955515556</v>
      </c>
      <c r="AD31" s="158">
        <f t="shared" si="5"/>
        <v>759.1493957315505</v>
      </c>
      <c r="AE31" s="157">
        <f t="shared" si="1"/>
        <v>7834.2546272010277</v>
      </c>
    </row>
    <row r="32" spans="1:31" outlineLevel="2">
      <c r="A32" s="135" t="str">
        <f t="shared" si="2"/>
        <v>AmericanResidential96RW1N</v>
      </c>
      <c r="B32" s="116" t="s">
        <v>348</v>
      </c>
      <c r="C32" s="116" t="s">
        <v>349</v>
      </c>
      <c r="D32" s="155">
        <v>0</v>
      </c>
      <c r="E32" s="155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7">
        <f t="shared" si="3"/>
        <v>0</v>
      </c>
      <c r="S32" s="158">
        <f t="shared" si="4"/>
        <v>0</v>
      </c>
      <c r="T32" s="158">
        <f t="shared" si="4"/>
        <v>0</v>
      </c>
      <c r="U32" s="158">
        <f t="shared" si="4"/>
        <v>0</v>
      </c>
      <c r="V32" s="158">
        <f t="shared" si="4"/>
        <v>0</v>
      </c>
      <c r="W32" s="158">
        <f t="shared" si="4"/>
        <v>0</v>
      </c>
      <c r="X32" s="158">
        <f t="shared" si="5"/>
        <v>0</v>
      </c>
      <c r="Y32" s="158">
        <f t="shared" si="5"/>
        <v>0</v>
      </c>
      <c r="Z32" s="158">
        <f t="shared" si="5"/>
        <v>0</v>
      </c>
      <c r="AA32" s="158">
        <f t="shared" si="5"/>
        <v>0</v>
      </c>
      <c r="AB32" s="158">
        <f t="shared" si="5"/>
        <v>0</v>
      </c>
      <c r="AC32" s="158">
        <f t="shared" si="5"/>
        <v>0</v>
      </c>
      <c r="AD32" s="158">
        <f t="shared" si="5"/>
        <v>0</v>
      </c>
      <c r="AE32" s="157">
        <f t="shared" si="1"/>
        <v>0</v>
      </c>
    </row>
    <row r="33" spans="1:31" outlineLevel="2">
      <c r="A33" s="135" t="str">
        <f t="shared" si="2"/>
        <v>AmericanResidential96RW1R</v>
      </c>
      <c r="B33" s="116" t="s">
        <v>350</v>
      </c>
      <c r="C33" s="116" t="s">
        <v>351</v>
      </c>
      <c r="D33" s="155">
        <v>0</v>
      </c>
      <c r="E33" s="155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7">
        <f t="shared" si="3"/>
        <v>0</v>
      </c>
      <c r="S33" s="158">
        <f t="shared" si="4"/>
        <v>0</v>
      </c>
      <c r="T33" s="158">
        <f t="shared" si="4"/>
        <v>0</v>
      </c>
      <c r="U33" s="158">
        <f t="shared" si="4"/>
        <v>0</v>
      </c>
      <c r="V33" s="158">
        <f t="shared" si="4"/>
        <v>0</v>
      </c>
      <c r="W33" s="158">
        <f t="shared" si="4"/>
        <v>0</v>
      </c>
      <c r="X33" s="158">
        <f t="shared" si="5"/>
        <v>0</v>
      </c>
      <c r="Y33" s="158">
        <f t="shared" si="5"/>
        <v>0</v>
      </c>
      <c r="Z33" s="158">
        <f t="shared" si="5"/>
        <v>0</v>
      </c>
      <c r="AA33" s="158">
        <f t="shared" si="5"/>
        <v>0</v>
      </c>
      <c r="AB33" s="158">
        <f t="shared" si="5"/>
        <v>0</v>
      </c>
      <c r="AC33" s="158">
        <f t="shared" si="5"/>
        <v>0</v>
      </c>
      <c r="AD33" s="158">
        <f t="shared" si="5"/>
        <v>0</v>
      </c>
      <c r="AE33" s="157">
        <f t="shared" si="1"/>
        <v>0</v>
      </c>
    </row>
    <row r="34" spans="1:31" outlineLevel="2">
      <c r="A34" s="135" t="str">
        <f t="shared" si="2"/>
        <v>AmericanResidentialADJRES</v>
      </c>
      <c r="B34" s="116" t="s">
        <v>352</v>
      </c>
      <c r="C34" s="116" t="s">
        <v>353</v>
      </c>
      <c r="D34" s="155">
        <v>0</v>
      </c>
      <c r="E34" s="155">
        <v>0</v>
      </c>
      <c r="F34" s="156">
        <v>136.56</v>
      </c>
      <c r="G34" s="156">
        <v>-140.59</v>
      </c>
      <c r="H34" s="156">
        <v>-9.24</v>
      </c>
      <c r="I34" s="156">
        <v>-2.98</v>
      </c>
      <c r="J34" s="156">
        <v>0</v>
      </c>
      <c r="K34" s="156">
        <v>0</v>
      </c>
      <c r="L34" s="156">
        <v>1019.21</v>
      </c>
      <c r="M34" s="156">
        <v>-1019.22</v>
      </c>
      <c r="N34" s="156">
        <v>0</v>
      </c>
      <c r="O34" s="156">
        <v>-0.91</v>
      </c>
      <c r="P34" s="156">
        <v>0</v>
      </c>
      <c r="Q34" s="156">
        <v>-4.45</v>
      </c>
      <c r="R34" s="157">
        <f t="shared" si="3"/>
        <v>-21.61999999999999</v>
      </c>
      <c r="S34" s="158">
        <f t="shared" si="4"/>
        <v>0</v>
      </c>
      <c r="T34" s="158">
        <f t="shared" si="4"/>
        <v>0</v>
      </c>
      <c r="U34" s="158">
        <f t="shared" si="4"/>
        <v>0</v>
      </c>
      <c r="V34" s="158">
        <f t="shared" si="4"/>
        <v>0</v>
      </c>
      <c r="W34" s="158">
        <f t="shared" si="4"/>
        <v>0</v>
      </c>
      <c r="X34" s="158">
        <f t="shared" si="5"/>
        <v>0</v>
      </c>
      <c r="Y34" s="158">
        <f t="shared" si="5"/>
        <v>0</v>
      </c>
      <c r="Z34" s="158">
        <f t="shared" si="5"/>
        <v>0</v>
      </c>
      <c r="AA34" s="158">
        <f t="shared" si="5"/>
        <v>0</v>
      </c>
      <c r="AB34" s="158">
        <f t="shared" si="5"/>
        <v>0</v>
      </c>
      <c r="AC34" s="158">
        <f t="shared" si="5"/>
        <v>0</v>
      </c>
      <c r="AD34" s="158">
        <f t="shared" si="5"/>
        <v>0</v>
      </c>
      <c r="AE34" s="157">
        <f t="shared" si="1"/>
        <v>0</v>
      </c>
    </row>
    <row r="35" spans="1:31" outlineLevel="2">
      <c r="A35" s="135" t="str">
        <f t="shared" si="2"/>
        <v>AmericanResidentialCARRY-RES</v>
      </c>
      <c r="B35" s="116" t="s">
        <v>354</v>
      </c>
      <c r="C35" s="116" t="s">
        <v>355</v>
      </c>
      <c r="D35" s="155">
        <v>0</v>
      </c>
      <c r="E35" s="155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7">
        <f t="shared" si="3"/>
        <v>0</v>
      </c>
      <c r="S35" s="158">
        <f t="shared" si="4"/>
        <v>0</v>
      </c>
      <c r="T35" s="158">
        <f t="shared" si="4"/>
        <v>0</v>
      </c>
      <c r="U35" s="158">
        <f t="shared" si="4"/>
        <v>0</v>
      </c>
      <c r="V35" s="158">
        <f t="shared" si="4"/>
        <v>0</v>
      </c>
      <c r="W35" s="158">
        <f t="shared" si="4"/>
        <v>0</v>
      </c>
      <c r="X35" s="158">
        <f t="shared" si="5"/>
        <v>0</v>
      </c>
      <c r="Y35" s="158">
        <f t="shared" si="5"/>
        <v>0</v>
      </c>
      <c r="Z35" s="158">
        <f t="shared" si="5"/>
        <v>0</v>
      </c>
      <c r="AA35" s="158">
        <f t="shared" si="5"/>
        <v>0</v>
      </c>
      <c r="AB35" s="158">
        <f t="shared" si="5"/>
        <v>0</v>
      </c>
      <c r="AC35" s="158">
        <f t="shared" si="5"/>
        <v>0</v>
      </c>
      <c r="AD35" s="158">
        <f t="shared" si="5"/>
        <v>0</v>
      </c>
      <c r="AE35" s="157">
        <f t="shared" si="1"/>
        <v>0</v>
      </c>
    </row>
    <row r="36" spans="1:31" outlineLevel="2">
      <c r="A36" s="135" t="str">
        <f t="shared" si="2"/>
        <v>AmericanResidentialDELTOT</v>
      </c>
      <c r="B36" s="116" t="s">
        <v>356</v>
      </c>
      <c r="C36" s="116" t="s">
        <v>357</v>
      </c>
      <c r="D36" s="155">
        <v>20.84</v>
      </c>
      <c r="E36" s="155">
        <v>20.84</v>
      </c>
      <c r="F36" s="156">
        <v>20.84</v>
      </c>
      <c r="G36" s="156">
        <v>0</v>
      </c>
      <c r="H36" s="156">
        <v>62.519999999999996</v>
      </c>
      <c r="I36" s="156">
        <v>83.36</v>
      </c>
      <c r="J36" s="156">
        <v>83.36</v>
      </c>
      <c r="K36" s="156">
        <v>145.88</v>
      </c>
      <c r="L36" s="156">
        <v>104.2</v>
      </c>
      <c r="M36" s="156">
        <v>20.84</v>
      </c>
      <c r="N36" s="156">
        <v>41.68</v>
      </c>
      <c r="O36" s="156">
        <v>41.68</v>
      </c>
      <c r="P36" s="156">
        <v>62.52</v>
      </c>
      <c r="Q36" s="156">
        <v>104.2</v>
      </c>
      <c r="R36" s="157">
        <f t="shared" si="3"/>
        <v>771.07999999999993</v>
      </c>
      <c r="S36" s="158">
        <f t="shared" si="4"/>
        <v>1</v>
      </c>
      <c r="T36" s="158">
        <f t="shared" si="4"/>
        <v>0</v>
      </c>
      <c r="U36" s="158">
        <f t="shared" si="4"/>
        <v>3</v>
      </c>
      <c r="V36" s="158">
        <f t="shared" si="4"/>
        <v>4</v>
      </c>
      <c r="W36" s="158">
        <f t="shared" si="4"/>
        <v>4</v>
      </c>
      <c r="X36" s="158">
        <f t="shared" si="5"/>
        <v>7</v>
      </c>
      <c r="Y36" s="158">
        <f t="shared" si="5"/>
        <v>5</v>
      </c>
      <c r="Z36" s="158">
        <f t="shared" si="5"/>
        <v>1</v>
      </c>
      <c r="AA36" s="158">
        <f t="shared" si="5"/>
        <v>2</v>
      </c>
      <c r="AB36" s="158">
        <f t="shared" si="5"/>
        <v>2</v>
      </c>
      <c r="AC36" s="158">
        <f t="shared" si="5"/>
        <v>3</v>
      </c>
      <c r="AD36" s="158">
        <f t="shared" si="5"/>
        <v>5</v>
      </c>
      <c r="AE36" s="157">
        <f t="shared" si="1"/>
        <v>37</v>
      </c>
    </row>
    <row r="37" spans="1:31" outlineLevel="2">
      <c r="A37" s="135" t="str">
        <f t="shared" si="2"/>
        <v>AmericanResidentialDRIVEPRVT-RES</v>
      </c>
      <c r="B37" s="116" t="s">
        <v>358</v>
      </c>
      <c r="C37" s="116" t="s">
        <v>359</v>
      </c>
      <c r="D37" s="155">
        <v>0</v>
      </c>
      <c r="E37" s="155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7">
        <f t="shared" si="3"/>
        <v>0</v>
      </c>
      <c r="S37" s="158">
        <f t="shared" si="4"/>
        <v>0</v>
      </c>
      <c r="T37" s="158">
        <f t="shared" si="4"/>
        <v>0</v>
      </c>
      <c r="U37" s="158">
        <f t="shared" si="4"/>
        <v>0</v>
      </c>
      <c r="V37" s="158">
        <f t="shared" si="4"/>
        <v>0</v>
      </c>
      <c r="W37" s="158">
        <f t="shared" si="4"/>
        <v>0</v>
      </c>
      <c r="X37" s="158">
        <f t="shared" si="5"/>
        <v>0</v>
      </c>
      <c r="Y37" s="158">
        <f t="shared" si="5"/>
        <v>0</v>
      </c>
      <c r="Z37" s="158">
        <f t="shared" si="5"/>
        <v>0</v>
      </c>
      <c r="AA37" s="158">
        <f t="shared" si="5"/>
        <v>0</v>
      </c>
      <c r="AB37" s="158">
        <f t="shared" si="5"/>
        <v>0</v>
      </c>
      <c r="AC37" s="158">
        <f t="shared" si="5"/>
        <v>0</v>
      </c>
      <c r="AD37" s="158">
        <f t="shared" si="5"/>
        <v>0</v>
      </c>
      <c r="AE37" s="157">
        <f t="shared" si="1"/>
        <v>0</v>
      </c>
    </row>
    <row r="38" spans="1:31" outlineLevel="2">
      <c r="A38" s="135" t="str">
        <f t="shared" si="2"/>
        <v>AmericanResidentialDRVNRE1</v>
      </c>
      <c r="B38" s="116" t="s">
        <v>360</v>
      </c>
      <c r="C38" s="116" t="s">
        <v>361</v>
      </c>
      <c r="D38" s="155">
        <v>0</v>
      </c>
      <c r="E38" s="155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7">
        <f t="shared" si="3"/>
        <v>0</v>
      </c>
      <c r="S38" s="158">
        <f t="shared" si="4"/>
        <v>0</v>
      </c>
      <c r="T38" s="158">
        <f t="shared" si="4"/>
        <v>0</v>
      </c>
      <c r="U38" s="158">
        <f t="shared" si="4"/>
        <v>0</v>
      </c>
      <c r="V38" s="158">
        <f t="shared" si="4"/>
        <v>0</v>
      </c>
      <c r="W38" s="158">
        <f t="shared" si="4"/>
        <v>0</v>
      </c>
      <c r="X38" s="158">
        <f t="shared" si="5"/>
        <v>0</v>
      </c>
      <c r="Y38" s="158">
        <f t="shared" si="5"/>
        <v>0</v>
      </c>
      <c r="Z38" s="158">
        <f t="shared" si="5"/>
        <v>0</v>
      </c>
      <c r="AA38" s="158">
        <f t="shared" si="5"/>
        <v>0</v>
      </c>
      <c r="AB38" s="158">
        <f t="shared" si="5"/>
        <v>0</v>
      </c>
      <c r="AC38" s="158">
        <f t="shared" si="5"/>
        <v>0</v>
      </c>
      <c r="AD38" s="158">
        <f t="shared" si="5"/>
        <v>0</v>
      </c>
      <c r="AE38" s="157">
        <f t="shared" si="1"/>
        <v>0</v>
      </c>
    </row>
    <row r="39" spans="1:31" outlineLevel="2">
      <c r="A39" s="135" t="str">
        <f t="shared" si="2"/>
        <v>AmericanResidentialDRVNRW1</v>
      </c>
      <c r="B39" s="116" t="s">
        <v>362</v>
      </c>
      <c r="C39" s="116" t="s">
        <v>363</v>
      </c>
      <c r="D39" s="155">
        <v>4.66</v>
      </c>
      <c r="E39" s="155">
        <v>4.66</v>
      </c>
      <c r="F39" s="156">
        <v>556.20000000000005</v>
      </c>
      <c r="G39" s="156">
        <v>550.80999999999995</v>
      </c>
      <c r="H39" s="156">
        <v>545.16999999999996</v>
      </c>
      <c r="I39" s="156">
        <v>542.01999999999987</v>
      </c>
      <c r="J39" s="156">
        <v>536.1099999999999</v>
      </c>
      <c r="K39" s="156">
        <v>529.12</v>
      </c>
      <c r="L39" s="156">
        <v>501.78000000000009</v>
      </c>
      <c r="M39" s="156">
        <v>508.75000000000006</v>
      </c>
      <c r="N39" s="156">
        <v>491.27</v>
      </c>
      <c r="O39" s="156">
        <v>486.61</v>
      </c>
      <c r="P39" s="156">
        <v>493.6</v>
      </c>
      <c r="Q39" s="156">
        <v>492.44</v>
      </c>
      <c r="R39" s="157">
        <f t="shared" si="3"/>
        <v>6233.8799999999992</v>
      </c>
      <c r="S39" s="158">
        <f t="shared" si="4"/>
        <v>119.35622317596567</v>
      </c>
      <c r="T39" s="158">
        <f t="shared" si="4"/>
        <v>118.19957081545063</v>
      </c>
      <c r="U39" s="158">
        <f t="shared" si="4"/>
        <v>116.98927038626609</v>
      </c>
      <c r="V39" s="158">
        <f t="shared" si="4"/>
        <v>116.31330472103001</v>
      </c>
      <c r="W39" s="158">
        <f t="shared" si="4"/>
        <v>115.04506437768238</v>
      </c>
      <c r="X39" s="158">
        <f t="shared" si="5"/>
        <v>113.54506437768241</v>
      </c>
      <c r="Y39" s="158">
        <f t="shared" si="5"/>
        <v>107.67811158798285</v>
      </c>
      <c r="Z39" s="158">
        <f t="shared" si="5"/>
        <v>109.17381974248929</v>
      </c>
      <c r="AA39" s="158">
        <f t="shared" si="5"/>
        <v>105.42274678111588</v>
      </c>
      <c r="AB39" s="158">
        <f t="shared" si="5"/>
        <v>104.42274678111588</v>
      </c>
      <c r="AC39" s="158">
        <f t="shared" si="5"/>
        <v>105.92274678111588</v>
      </c>
      <c r="AD39" s="158">
        <f t="shared" si="5"/>
        <v>105.67381974248927</v>
      </c>
      <c r="AE39" s="157">
        <f t="shared" si="1"/>
        <v>1337.7424892703862</v>
      </c>
    </row>
    <row r="40" spans="1:31" outlineLevel="2">
      <c r="A40" s="135" t="str">
        <f t="shared" si="2"/>
        <v>AmericanResidentialDRVNRW2</v>
      </c>
      <c r="B40" s="116" t="s">
        <v>364</v>
      </c>
      <c r="C40" s="116" t="s">
        <v>365</v>
      </c>
      <c r="D40" s="155">
        <v>0</v>
      </c>
      <c r="E40" s="155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7">
        <f t="shared" si="3"/>
        <v>0</v>
      </c>
      <c r="S40" s="158">
        <f t="shared" si="4"/>
        <v>0</v>
      </c>
      <c r="T40" s="158">
        <f t="shared" si="4"/>
        <v>0</v>
      </c>
      <c r="U40" s="158">
        <f t="shared" si="4"/>
        <v>0</v>
      </c>
      <c r="V40" s="158">
        <f t="shared" si="4"/>
        <v>0</v>
      </c>
      <c r="W40" s="158">
        <f t="shared" si="4"/>
        <v>0</v>
      </c>
      <c r="X40" s="158">
        <f t="shared" si="5"/>
        <v>0</v>
      </c>
      <c r="Y40" s="158">
        <f t="shared" si="5"/>
        <v>0</v>
      </c>
      <c r="Z40" s="158">
        <f t="shared" si="5"/>
        <v>0</v>
      </c>
      <c r="AA40" s="158">
        <f t="shared" si="5"/>
        <v>0</v>
      </c>
      <c r="AB40" s="158">
        <f t="shared" si="5"/>
        <v>0</v>
      </c>
      <c r="AC40" s="158">
        <f t="shared" si="5"/>
        <v>0</v>
      </c>
      <c r="AD40" s="158">
        <f t="shared" si="5"/>
        <v>0</v>
      </c>
      <c r="AE40" s="157">
        <f t="shared" si="1"/>
        <v>0</v>
      </c>
    </row>
    <row r="41" spans="1:31" outlineLevel="2">
      <c r="A41" s="135" t="str">
        <f t="shared" si="2"/>
        <v>AmericanResidentialGWCR</v>
      </c>
      <c r="B41" s="116" t="s">
        <v>366</v>
      </c>
      <c r="C41" s="116" t="s">
        <v>367</v>
      </c>
      <c r="D41" s="155">
        <v>0</v>
      </c>
      <c r="E41" s="155">
        <v>0</v>
      </c>
      <c r="F41" s="156">
        <v>-60</v>
      </c>
      <c r="G41" s="156">
        <v>-215</v>
      </c>
      <c r="H41" s="156">
        <v>-35</v>
      </c>
      <c r="I41" s="156">
        <v>-45</v>
      </c>
      <c r="J41" s="156">
        <v>-70.17</v>
      </c>
      <c r="K41" s="156">
        <v>-15</v>
      </c>
      <c r="L41" s="156">
        <v>0</v>
      </c>
      <c r="M41" s="156">
        <v>-30</v>
      </c>
      <c r="N41" s="156">
        <v>0</v>
      </c>
      <c r="O41" s="156">
        <v>-44.97</v>
      </c>
      <c r="P41" s="156">
        <v>-30</v>
      </c>
      <c r="Q41" s="156">
        <v>-15</v>
      </c>
      <c r="R41" s="157">
        <f t="shared" si="3"/>
        <v>-560.14</v>
      </c>
      <c r="S41" s="158">
        <f t="shared" si="4"/>
        <v>0</v>
      </c>
      <c r="T41" s="158">
        <f t="shared" si="4"/>
        <v>0</v>
      </c>
      <c r="U41" s="158">
        <f t="shared" si="4"/>
        <v>0</v>
      </c>
      <c r="V41" s="158">
        <f t="shared" si="4"/>
        <v>0</v>
      </c>
      <c r="W41" s="158">
        <f t="shared" si="4"/>
        <v>0</v>
      </c>
      <c r="X41" s="158">
        <f t="shared" si="5"/>
        <v>0</v>
      </c>
      <c r="Y41" s="158">
        <f t="shared" si="5"/>
        <v>0</v>
      </c>
      <c r="Z41" s="158">
        <f t="shared" si="5"/>
        <v>0</v>
      </c>
      <c r="AA41" s="158">
        <f t="shared" si="5"/>
        <v>0</v>
      </c>
      <c r="AB41" s="158">
        <f t="shared" si="5"/>
        <v>0</v>
      </c>
      <c r="AC41" s="158">
        <f t="shared" si="5"/>
        <v>0</v>
      </c>
      <c r="AD41" s="158">
        <f t="shared" si="5"/>
        <v>0</v>
      </c>
      <c r="AE41" s="157">
        <f t="shared" si="1"/>
        <v>0</v>
      </c>
    </row>
    <row r="42" spans="1:31" outlineLevel="2">
      <c r="A42" s="135" t="str">
        <f t="shared" si="2"/>
        <v>AmericanResidentialOBSR</v>
      </c>
      <c r="B42" s="116" t="s">
        <v>368</v>
      </c>
      <c r="C42" s="116" t="s">
        <v>369</v>
      </c>
      <c r="D42" s="155">
        <v>0.78</v>
      </c>
      <c r="E42" s="155">
        <v>0.78</v>
      </c>
      <c r="F42" s="156">
        <v>0.78</v>
      </c>
      <c r="G42" s="156">
        <v>0.78</v>
      </c>
      <c r="H42" s="156">
        <v>0.78</v>
      </c>
      <c r="I42" s="156">
        <v>0.78</v>
      </c>
      <c r="J42" s="156">
        <v>0.78</v>
      </c>
      <c r="K42" s="156">
        <v>0.78</v>
      </c>
      <c r="L42" s="156">
        <v>0.78</v>
      </c>
      <c r="M42" s="156">
        <v>0.78</v>
      </c>
      <c r="N42" s="156">
        <v>0.78</v>
      </c>
      <c r="O42" s="156">
        <v>0.78</v>
      </c>
      <c r="P42" s="156">
        <v>0.78</v>
      </c>
      <c r="Q42" s="156">
        <v>0.78</v>
      </c>
      <c r="R42" s="157">
        <f t="shared" si="3"/>
        <v>9.3600000000000012</v>
      </c>
      <c r="S42" s="158">
        <f t="shared" si="4"/>
        <v>1</v>
      </c>
      <c r="T42" s="158">
        <f t="shared" si="4"/>
        <v>1</v>
      </c>
      <c r="U42" s="158">
        <f t="shared" si="4"/>
        <v>1</v>
      </c>
      <c r="V42" s="158">
        <f t="shared" si="4"/>
        <v>1</v>
      </c>
      <c r="W42" s="158">
        <f t="shared" si="4"/>
        <v>1</v>
      </c>
      <c r="X42" s="158">
        <f t="shared" si="5"/>
        <v>1</v>
      </c>
      <c r="Y42" s="158">
        <f t="shared" si="5"/>
        <v>1</v>
      </c>
      <c r="Z42" s="158">
        <f t="shared" si="5"/>
        <v>1</v>
      </c>
      <c r="AA42" s="158">
        <f t="shared" si="5"/>
        <v>1</v>
      </c>
      <c r="AB42" s="158">
        <f t="shared" si="5"/>
        <v>1</v>
      </c>
      <c r="AC42" s="158">
        <f t="shared" si="5"/>
        <v>1</v>
      </c>
      <c r="AD42" s="158">
        <f t="shared" si="5"/>
        <v>1</v>
      </c>
      <c r="AE42" s="157">
        <f t="shared" si="1"/>
        <v>12</v>
      </c>
    </row>
    <row r="43" spans="1:31" outlineLevel="2">
      <c r="A43" s="135" t="str">
        <f t="shared" si="2"/>
        <v>AmericanResidentialOS</v>
      </c>
      <c r="B43" s="116" t="s">
        <v>370</v>
      </c>
      <c r="C43" s="116" t="s">
        <v>198</v>
      </c>
      <c r="D43" s="155">
        <v>7.75</v>
      </c>
      <c r="E43" s="155">
        <v>7.8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7">
        <f t="shared" si="3"/>
        <v>0</v>
      </c>
      <c r="S43" s="158">
        <f t="shared" si="4"/>
        <v>0</v>
      </c>
      <c r="T43" s="158">
        <f t="shared" si="4"/>
        <v>0</v>
      </c>
      <c r="U43" s="158">
        <f t="shared" si="4"/>
        <v>0</v>
      </c>
      <c r="V43" s="158">
        <f t="shared" si="4"/>
        <v>0</v>
      </c>
      <c r="W43" s="158">
        <f t="shared" si="4"/>
        <v>0</v>
      </c>
      <c r="X43" s="158">
        <f t="shared" si="5"/>
        <v>0</v>
      </c>
      <c r="Y43" s="158">
        <f t="shared" si="5"/>
        <v>0</v>
      </c>
      <c r="Z43" s="158">
        <f t="shared" si="5"/>
        <v>0</v>
      </c>
      <c r="AA43" s="158">
        <f t="shared" si="5"/>
        <v>0</v>
      </c>
      <c r="AB43" s="158">
        <f t="shared" si="5"/>
        <v>0</v>
      </c>
      <c r="AC43" s="158">
        <f t="shared" si="5"/>
        <v>0</v>
      </c>
      <c r="AD43" s="158">
        <f t="shared" si="5"/>
        <v>0</v>
      </c>
      <c r="AE43" s="157">
        <f t="shared" si="1"/>
        <v>0</v>
      </c>
    </row>
    <row r="44" spans="1:31" outlineLevel="2">
      <c r="A44" s="135" t="str">
        <f t="shared" si="2"/>
        <v>AmericanResidentialOSOW</v>
      </c>
      <c r="B44" s="116" t="s">
        <v>371</v>
      </c>
      <c r="C44" s="116" t="s">
        <v>372</v>
      </c>
      <c r="D44" s="155">
        <v>7.75</v>
      </c>
      <c r="E44" s="155">
        <v>7.8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7">
        <f t="shared" si="3"/>
        <v>0</v>
      </c>
      <c r="S44" s="158">
        <f t="shared" si="4"/>
        <v>0</v>
      </c>
      <c r="T44" s="158">
        <f t="shared" si="4"/>
        <v>0</v>
      </c>
      <c r="U44" s="158">
        <f t="shared" si="4"/>
        <v>0</v>
      </c>
      <c r="V44" s="158">
        <f t="shared" si="4"/>
        <v>0</v>
      </c>
      <c r="W44" s="158">
        <f t="shared" si="4"/>
        <v>0</v>
      </c>
      <c r="X44" s="158">
        <f t="shared" si="5"/>
        <v>0</v>
      </c>
      <c r="Y44" s="158">
        <f t="shared" si="5"/>
        <v>0</v>
      </c>
      <c r="Z44" s="158">
        <f t="shared" si="5"/>
        <v>0</v>
      </c>
      <c r="AA44" s="158">
        <f t="shared" si="5"/>
        <v>0</v>
      </c>
      <c r="AB44" s="158">
        <f t="shared" si="5"/>
        <v>0</v>
      </c>
      <c r="AC44" s="158">
        <f t="shared" si="5"/>
        <v>0</v>
      </c>
      <c r="AD44" s="158">
        <f t="shared" si="5"/>
        <v>0</v>
      </c>
      <c r="AE44" s="157">
        <f t="shared" si="1"/>
        <v>0</v>
      </c>
    </row>
    <row r="45" spans="1:31" outlineLevel="2">
      <c r="A45" s="135" t="str">
        <f t="shared" si="2"/>
        <v>AmericanResidentialOW</v>
      </c>
      <c r="B45" s="116" t="s">
        <v>373</v>
      </c>
      <c r="C45" s="116" t="s">
        <v>374</v>
      </c>
      <c r="D45" s="155">
        <v>7.75</v>
      </c>
      <c r="E45" s="155">
        <v>7.8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7">
        <f t="shared" si="3"/>
        <v>0</v>
      </c>
      <c r="S45" s="158">
        <f t="shared" si="4"/>
        <v>0</v>
      </c>
      <c r="T45" s="158">
        <f t="shared" si="4"/>
        <v>0</v>
      </c>
      <c r="U45" s="158">
        <f t="shared" si="4"/>
        <v>0</v>
      </c>
      <c r="V45" s="158">
        <f t="shared" si="4"/>
        <v>0</v>
      </c>
      <c r="W45" s="158">
        <f t="shared" si="4"/>
        <v>0</v>
      </c>
      <c r="X45" s="158">
        <f t="shared" si="5"/>
        <v>0</v>
      </c>
      <c r="Y45" s="158">
        <f t="shared" si="5"/>
        <v>0</v>
      </c>
      <c r="Z45" s="158">
        <f t="shared" si="5"/>
        <v>0</v>
      </c>
      <c r="AA45" s="158">
        <f t="shared" si="5"/>
        <v>0</v>
      </c>
      <c r="AB45" s="158">
        <f t="shared" si="5"/>
        <v>0</v>
      </c>
      <c r="AC45" s="158">
        <f t="shared" si="5"/>
        <v>0</v>
      </c>
      <c r="AD45" s="158">
        <f t="shared" si="5"/>
        <v>0</v>
      </c>
      <c r="AE45" s="157">
        <f t="shared" si="1"/>
        <v>0</v>
      </c>
    </row>
    <row r="46" spans="1:31" outlineLevel="2">
      <c r="A46" s="135" t="str">
        <f t="shared" si="2"/>
        <v>AmericanResidentialPACKLC</v>
      </c>
      <c r="B46" s="116" t="s">
        <v>375</v>
      </c>
      <c r="C46" s="116" t="s">
        <v>376</v>
      </c>
      <c r="D46" s="155">
        <v>0</v>
      </c>
      <c r="E46" s="155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7">
        <f t="shared" si="3"/>
        <v>0</v>
      </c>
      <c r="S46" s="158">
        <f t="shared" si="4"/>
        <v>0</v>
      </c>
      <c r="T46" s="158">
        <f t="shared" si="4"/>
        <v>0</v>
      </c>
      <c r="U46" s="158">
        <f t="shared" si="4"/>
        <v>0</v>
      </c>
      <c r="V46" s="158">
        <f t="shared" si="4"/>
        <v>0</v>
      </c>
      <c r="W46" s="158">
        <f t="shared" si="4"/>
        <v>0</v>
      </c>
      <c r="X46" s="158">
        <f t="shared" si="5"/>
        <v>0</v>
      </c>
      <c r="Y46" s="158">
        <f t="shared" si="5"/>
        <v>0</v>
      </c>
      <c r="Z46" s="158">
        <f t="shared" si="5"/>
        <v>0</v>
      </c>
      <c r="AA46" s="158">
        <f t="shared" si="5"/>
        <v>0</v>
      </c>
      <c r="AB46" s="158">
        <f t="shared" si="5"/>
        <v>0</v>
      </c>
      <c r="AC46" s="158">
        <f t="shared" si="5"/>
        <v>0</v>
      </c>
      <c r="AD46" s="158">
        <f t="shared" si="5"/>
        <v>0</v>
      </c>
      <c r="AE46" s="157">
        <f t="shared" si="1"/>
        <v>0</v>
      </c>
    </row>
    <row r="47" spans="1:31" outlineLevel="2">
      <c r="A47" s="135" t="str">
        <f t="shared" si="2"/>
        <v>AmericanResidentialPACKR</v>
      </c>
      <c r="B47" s="116" t="s">
        <v>377</v>
      </c>
      <c r="C47" s="116" t="s">
        <v>378</v>
      </c>
      <c r="D47" s="155">
        <v>2.08</v>
      </c>
      <c r="E47" s="155">
        <v>2.08</v>
      </c>
      <c r="F47" s="156">
        <v>50.26</v>
      </c>
      <c r="G47" s="156">
        <v>49.93</v>
      </c>
      <c r="H47" s="156">
        <v>58.739999999999995</v>
      </c>
      <c r="I47" s="156">
        <v>61.53</v>
      </c>
      <c r="J47" s="156">
        <v>70.289999999999992</v>
      </c>
      <c r="K47" s="156">
        <v>69.81</v>
      </c>
      <c r="L47" s="156">
        <v>69.81</v>
      </c>
      <c r="M47" s="156">
        <v>72.63</v>
      </c>
      <c r="N47" s="156">
        <v>75.490000000000009</v>
      </c>
      <c r="O47" s="156">
        <v>67.42</v>
      </c>
      <c r="P47" s="156">
        <v>71.84</v>
      </c>
      <c r="Q47" s="156">
        <v>72.62</v>
      </c>
      <c r="R47" s="157">
        <f t="shared" si="3"/>
        <v>790.37</v>
      </c>
      <c r="S47" s="158">
        <f t="shared" si="4"/>
        <v>24.163461538461537</v>
      </c>
      <c r="T47" s="158">
        <f t="shared" si="4"/>
        <v>24.00480769230769</v>
      </c>
      <c r="U47" s="158">
        <f t="shared" si="4"/>
        <v>28.240384615384613</v>
      </c>
      <c r="V47" s="158">
        <f t="shared" si="4"/>
        <v>29.58173076923077</v>
      </c>
      <c r="W47" s="158">
        <f t="shared" si="4"/>
        <v>33.793269230769226</v>
      </c>
      <c r="X47" s="158">
        <f t="shared" si="5"/>
        <v>33.5625</v>
      </c>
      <c r="Y47" s="158">
        <f t="shared" si="5"/>
        <v>33.5625</v>
      </c>
      <c r="Z47" s="158">
        <f t="shared" si="5"/>
        <v>34.918269230769226</v>
      </c>
      <c r="AA47" s="158">
        <f t="shared" si="5"/>
        <v>36.293269230769234</v>
      </c>
      <c r="AB47" s="158">
        <f t="shared" si="5"/>
        <v>32.41346153846154</v>
      </c>
      <c r="AC47" s="158">
        <f t="shared" si="5"/>
        <v>34.53846153846154</v>
      </c>
      <c r="AD47" s="158">
        <f t="shared" si="5"/>
        <v>34.91346153846154</v>
      </c>
      <c r="AE47" s="157">
        <f t="shared" si="1"/>
        <v>379.98557692307696</v>
      </c>
    </row>
    <row r="48" spans="1:31" outlineLevel="2">
      <c r="A48" s="135" t="str">
        <f t="shared" si="2"/>
        <v>AmericanResidentialPACKSNR</v>
      </c>
      <c r="B48" s="116" t="s">
        <v>379</v>
      </c>
      <c r="C48" s="116" t="s">
        <v>380</v>
      </c>
      <c r="D48" s="155">
        <v>0</v>
      </c>
      <c r="E48" s="155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7">
        <f t="shared" si="3"/>
        <v>0</v>
      </c>
      <c r="S48" s="158">
        <f t="shared" si="4"/>
        <v>0</v>
      </c>
      <c r="T48" s="158">
        <f t="shared" si="4"/>
        <v>0</v>
      </c>
      <c r="U48" s="158">
        <f t="shared" si="4"/>
        <v>0</v>
      </c>
      <c r="V48" s="158">
        <f t="shared" si="4"/>
        <v>0</v>
      </c>
      <c r="W48" s="158">
        <f t="shared" si="4"/>
        <v>0</v>
      </c>
      <c r="X48" s="158">
        <f t="shared" si="5"/>
        <v>0</v>
      </c>
      <c r="Y48" s="158">
        <f t="shared" si="5"/>
        <v>0</v>
      </c>
      <c r="Z48" s="158">
        <f t="shared" si="5"/>
        <v>0</v>
      </c>
      <c r="AA48" s="158">
        <f t="shared" si="5"/>
        <v>0</v>
      </c>
      <c r="AB48" s="158">
        <f t="shared" si="5"/>
        <v>0</v>
      </c>
      <c r="AC48" s="158">
        <f t="shared" si="5"/>
        <v>0</v>
      </c>
      <c r="AD48" s="158">
        <f t="shared" si="5"/>
        <v>0</v>
      </c>
      <c r="AE48" s="157">
        <f t="shared" si="1"/>
        <v>0</v>
      </c>
    </row>
    <row r="49" spans="1:31" outlineLevel="2">
      <c r="A49" s="135" t="str">
        <f t="shared" si="2"/>
        <v>AmericanResidentialRESTART FEE</v>
      </c>
      <c r="B49" s="116" t="s">
        <v>381</v>
      </c>
      <c r="C49" s="116" t="s">
        <v>381</v>
      </c>
      <c r="D49" s="155">
        <v>10.38</v>
      </c>
      <c r="E49" s="155">
        <v>10.38</v>
      </c>
      <c r="F49" s="156">
        <v>986.1</v>
      </c>
      <c r="G49" s="156">
        <v>467.1</v>
      </c>
      <c r="H49" s="156">
        <v>695.45999999999992</v>
      </c>
      <c r="I49" s="156">
        <v>1200.6600000000001</v>
      </c>
      <c r="J49" s="156">
        <v>716.22</v>
      </c>
      <c r="K49" s="156">
        <v>876.08999999999992</v>
      </c>
      <c r="L49" s="156">
        <v>685.07999999999993</v>
      </c>
      <c r="M49" s="156">
        <v>756.59999999999991</v>
      </c>
      <c r="N49" s="156">
        <v>736.9799999999999</v>
      </c>
      <c r="O49" s="156">
        <v>944.57999999999993</v>
      </c>
      <c r="P49" s="156">
        <v>1676.47</v>
      </c>
      <c r="Q49" s="156">
        <v>1546.62</v>
      </c>
      <c r="R49" s="157">
        <f t="shared" si="3"/>
        <v>11287.96</v>
      </c>
      <c r="S49" s="158">
        <f t="shared" si="4"/>
        <v>95</v>
      </c>
      <c r="T49" s="158">
        <f t="shared" si="4"/>
        <v>45</v>
      </c>
      <c r="U49" s="158">
        <f t="shared" si="4"/>
        <v>66.999999999999986</v>
      </c>
      <c r="V49" s="158">
        <f t="shared" si="4"/>
        <v>115.67052023121387</v>
      </c>
      <c r="W49" s="158">
        <f t="shared" si="4"/>
        <v>69</v>
      </c>
      <c r="X49" s="158">
        <f t="shared" si="5"/>
        <v>84.401734104046227</v>
      </c>
      <c r="Y49" s="158">
        <f t="shared" si="5"/>
        <v>65.999999999999986</v>
      </c>
      <c r="Z49" s="158">
        <f t="shared" si="5"/>
        <v>72.890173410404614</v>
      </c>
      <c r="AA49" s="158">
        <f t="shared" si="5"/>
        <v>70.999999999999986</v>
      </c>
      <c r="AB49" s="158">
        <f t="shared" si="5"/>
        <v>90.999999999999986</v>
      </c>
      <c r="AC49" s="158">
        <f t="shared" si="5"/>
        <v>161.50963391136801</v>
      </c>
      <c r="AD49" s="158">
        <f t="shared" si="5"/>
        <v>148.99999999999997</v>
      </c>
      <c r="AE49" s="157">
        <f t="shared" si="1"/>
        <v>1087.4720616570326</v>
      </c>
    </row>
    <row r="50" spans="1:31" outlineLevel="2">
      <c r="A50" s="135" t="str">
        <f t="shared" si="2"/>
        <v>AmericanResidentialREXTRA</v>
      </c>
      <c r="B50" s="116" t="s">
        <v>382</v>
      </c>
      <c r="C50" s="116" t="s">
        <v>106</v>
      </c>
      <c r="D50" s="155">
        <v>4.29</v>
      </c>
      <c r="E50" s="155">
        <v>4.34</v>
      </c>
      <c r="F50" s="156">
        <v>3702.27</v>
      </c>
      <c r="G50" s="156">
        <v>4646.0700000000006</v>
      </c>
      <c r="H50" s="156">
        <v>7674.96</v>
      </c>
      <c r="I50" s="156">
        <v>7293</v>
      </c>
      <c r="J50" s="156">
        <v>5613.81</v>
      </c>
      <c r="K50" s="156">
        <v>5544.0300000000007</v>
      </c>
      <c r="L50" s="156">
        <v>5897.67</v>
      </c>
      <c r="M50" s="156">
        <v>8491.85</v>
      </c>
      <c r="N50" s="156">
        <v>6900.27</v>
      </c>
      <c r="O50" s="156">
        <v>8429.8799999999992</v>
      </c>
      <c r="P50" s="156">
        <v>6692.74</v>
      </c>
      <c r="Q50" s="156">
        <v>5069.12</v>
      </c>
      <c r="R50" s="157">
        <f t="shared" si="3"/>
        <v>75955.669999999984</v>
      </c>
      <c r="S50" s="158">
        <f t="shared" si="4"/>
        <v>863</v>
      </c>
      <c r="T50" s="158">
        <f t="shared" si="4"/>
        <v>1083.0000000000002</v>
      </c>
      <c r="U50" s="158">
        <f t="shared" si="4"/>
        <v>1789.0349650349651</v>
      </c>
      <c r="V50" s="158">
        <f t="shared" si="4"/>
        <v>1700</v>
      </c>
      <c r="W50" s="158">
        <f t="shared" si="4"/>
        <v>1308.5804195804196</v>
      </c>
      <c r="X50" s="158">
        <f t="shared" si="5"/>
        <v>1277.4262672811062</v>
      </c>
      <c r="Y50" s="158">
        <f t="shared" si="5"/>
        <v>1358.9101382488479</v>
      </c>
      <c r="Z50" s="158">
        <f t="shared" si="5"/>
        <v>1956.6474654377882</v>
      </c>
      <c r="AA50" s="158">
        <f t="shared" si="5"/>
        <v>1589.9239631336407</v>
      </c>
      <c r="AB50" s="158">
        <f t="shared" si="5"/>
        <v>1942.36866359447</v>
      </c>
      <c r="AC50" s="158">
        <f t="shared" si="5"/>
        <v>1542.1059907834101</v>
      </c>
      <c r="AD50" s="158">
        <f t="shared" si="5"/>
        <v>1168</v>
      </c>
      <c r="AE50" s="157">
        <f t="shared" si="1"/>
        <v>17578.99787309465</v>
      </c>
    </row>
    <row r="51" spans="1:31" outlineLevel="2">
      <c r="A51" s="135" t="str">
        <f t="shared" si="2"/>
        <v>AmericanResidentialSUNKENR</v>
      </c>
      <c r="B51" s="116" t="s">
        <v>383</v>
      </c>
      <c r="C51" s="116" t="s">
        <v>384</v>
      </c>
      <c r="D51" s="155">
        <v>0.78</v>
      </c>
      <c r="E51" s="155">
        <v>0.78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7">
        <f t="shared" si="3"/>
        <v>0</v>
      </c>
      <c r="S51" s="158">
        <f t="shared" si="4"/>
        <v>0</v>
      </c>
      <c r="T51" s="158">
        <f t="shared" si="4"/>
        <v>0</v>
      </c>
      <c r="U51" s="158">
        <f t="shared" si="4"/>
        <v>0</v>
      </c>
      <c r="V51" s="158">
        <f t="shared" si="4"/>
        <v>0</v>
      </c>
      <c r="W51" s="158">
        <f t="shared" si="4"/>
        <v>0</v>
      </c>
      <c r="X51" s="158">
        <f t="shared" si="5"/>
        <v>0</v>
      </c>
      <c r="Y51" s="158">
        <f t="shared" si="5"/>
        <v>0</v>
      </c>
      <c r="Z51" s="158">
        <f t="shared" si="5"/>
        <v>0</v>
      </c>
      <c r="AA51" s="158">
        <f t="shared" si="5"/>
        <v>0</v>
      </c>
      <c r="AB51" s="158">
        <f t="shared" si="5"/>
        <v>0</v>
      </c>
      <c r="AC51" s="158">
        <f t="shared" si="5"/>
        <v>0</v>
      </c>
      <c r="AD51" s="158">
        <f t="shared" si="5"/>
        <v>0</v>
      </c>
      <c r="AE51" s="157">
        <f t="shared" si="1"/>
        <v>0</v>
      </c>
    </row>
    <row r="52" spans="1:31" outlineLevel="2">
      <c r="A52" s="135" t="str">
        <f t="shared" si="2"/>
        <v>AmericanResidentialTRIPRCANS</v>
      </c>
      <c r="B52" s="116" t="s">
        <v>385</v>
      </c>
      <c r="C52" s="116" t="s">
        <v>386</v>
      </c>
      <c r="D52" s="155">
        <v>8.32</v>
      </c>
      <c r="E52" s="155">
        <v>8.32</v>
      </c>
      <c r="F52" s="156">
        <v>91.52000000000001</v>
      </c>
      <c r="G52" s="156">
        <v>158.07999999999998</v>
      </c>
      <c r="H52" s="156">
        <v>224.64</v>
      </c>
      <c r="I52" s="156">
        <v>91.52000000000001</v>
      </c>
      <c r="J52" s="156">
        <v>141.44</v>
      </c>
      <c r="K52" s="156">
        <v>158.08000000000001</v>
      </c>
      <c r="L52" s="156">
        <v>83.2</v>
      </c>
      <c r="M52" s="156">
        <v>183.04000000000002</v>
      </c>
      <c r="N52" s="156">
        <v>124.80000000000001</v>
      </c>
      <c r="O52" s="156">
        <v>149.76</v>
      </c>
      <c r="P52" s="156">
        <v>266.24</v>
      </c>
      <c r="Q52" s="156">
        <v>133.12</v>
      </c>
      <c r="R52" s="157">
        <f t="shared" si="3"/>
        <v>1805.44</v>
      </c>
      <c r="S52" s="158">
        <f t="shared" si="4"/>
        <v>11</v>
      </c>
      <c r="T52" s="158">
        <f t="shared" si="4"/>
        <v>18.999999999999996</v>
      </c>
      <c r="U52" s="158">
        <f t="shared" si="4"/>
        <v>26.999999999999996</v>
      </c>
      <c r="V52" s="158">
        <f t="shared" si="4"/>
        <v>11</v>
      </c>
      <c r="W52" s="158">
        <f t="shared" si="4"/>
        <v>17</v>
      </c>
      <c r="X52" s="158">
        <f t="shared" si="5"/>
        <v>19</v>
      </c>
      <c r="Y52" s="158">
        <f t="shared" si="5"/>
        <v>10</v>
      </c>
      <c r="Z52" s="158">
        <f t="shared" si="5"/>
        <v>22</v>
      </c>
      <c r="AA52" s="158">
        <f t="shared" si="5"/>
        <v>15</v>
      </c>
      <c r="AB52" s="158">
        <f t="shared" si="5"/>
        <v>18</v>
      </c>
      <c r="AC52" s="158">
        <f t="shared" si="5"/>
        <v>32</v>
      </c>
      <c r="AD52" s="158">
        <f t="shared" si="5"/>
        <v>16</v>
      </c>
      <c r="AE52" s="157">
        <f t="shared" si="1"/>
        <v>217</v>
      </c>
    </row>
    <row r="53" spans="1:31" outlineLevel="2">
      <c r="A53" s="135" t="str">
        <f t="shared" si="2"/>
        <v>AmericanResidentialTRIPRCARTS</v>
      </c>
      <c r="B53" s="116" t="s">
        <v>387</v>
      </c>
      <c r="C53" s="116" t="s">
        <v>388</v>
      </c>
      <c r="D53" s="155">
        <v>12.5</v>
      </c>
      <c r="E53" s="155">
        <v>10.74</v>
      </c>
      <c r="F53" s="156">
        <v>50</v>
      </c>
      <c r="G53" s="156">
        <v>62.5</v>
      </c>
      <c r="H53" s="156">
        <v>100</v>
      </c>
      <c r="I53" s="156">
        <v>37.5</v>
      </c>
      <c r="J53" s="156">
        <v>25</v>
      </c>
      <c r="K53" s="156">
        <v>32.22</v>
      </c>
      <c r="L53" s="156">
        <v>75.180000000000007</v>
      </c>
      <c r="M53" s="156">
        <v>75.180000000000007</v>
      </c>
      <c r="N53" s="156">
        <v>42.96</v>
      </c>
      <c r="O53" s="156">
        <v>64.44</v>
      </c>
      <c r="P53" s="156">
        <v>75.179999999999993</v>
      </c>
      <c r="Q53" s="156">
        <v>21.48</v>
      </c>
      <c r="R53" s="157">
        <f t="shared" si="3"/>
        <v>661.64</v>
      </c>
      <c r="S53" s="158">
        <f t="shared" si="4"/>
        <v>4</v>
      </c>
      <c r="T53" s="158">
        <f t="shared" si="4"/>
        <v>5</v>
      </c>
      <c r="U53" s="158">
        <f t="shared" si="4"/>
        <v>8</v>
      </c>
      <c r="V53" s="158">
        <f t="shared" si="4"/>
        <v>3</v>
      </c>
      <c r="W53" s="158">
        <f t="shared" si="4"/>
        <v>2</v>
      </c>
      <c r="X53" s="158">
        <f t="shared" si="5"/>
        <v>3</v>
      </c>
      <c r="Y53" s="158">
        <f t="shared" si="5"/>
        <v>7.0000000000000009</v>
      </c>
      <c r="Z53" s="158">
        <f t="shared" si="5"/>
        <v>7.0000000000000009</v>
      </c>
      <c r="AA53" s="158">
        <f t="shared" si="5"/>
        <v>4</v>
      </c>
      <c r="AB53" s="158">
        <f t="shared" si="5"/>
        <v>6</v>
      </c>
      <c r="AC53" s="158">
        <f t="shared" si="5"/>
        <v>6.9999999999999991</v>
      </c>
      <c r="AD53" s="158">
        <f t="shared" si="5"/>
        <v>2</v>
      </c>
      <c r="AE53" s="157">
        <f t="shared" si="1"/>
        <v>58</v>
      </c>
    </row>
    <row r="54" spans="1:31" outlineLevel="2">
      <c r="B54" s="116"/>
      <c r="C54" s="116"/>
      <c r="D54" s="155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7">
        <f t="shared" si="3"/>
        <v>0</v>
      </c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7"/>
    </row>
    <row r="55" spans="1:31" outlineLevel="1">
      <c r="B55" s="116"/>
      <c r="C55" s="159" t="s">
        <v>389</v>
      </c>
      <c r="D55" s="155"/>
      <c r="E55" s="155"/>
      <c r="F55" s="162">
        <f t="shared" ref="F55:Q55" si="6">SUM(F11:F54)</f>
        <v>404648.70000000007</v>
      </c>
      <c r="G55" s="162">
        <f t="shared" si="6"/>
        <v>408544.33999999997</v>
      </c>
      <c r="H55" s="162">
        <f t="shared" si="6"/>
        <v>416362.65</v>
      </c>
      <c r="I55" s="162">
        <f t="shared" si="6"/>
        <v>416924.59</v>
      </c>
      <c r="J55" s="162">
        <f t="shared" si="6"/>
        <v>417738.15000000008</v>
      </c>
      <c r="K55" s="162">
        <f t="shared" si="6"/>
        <v>422508.83000000013</v>
      </c>
      <c r="L55" s="162">
        <f t="shared" si="6"/>
        <v>428670.74000000011</v>
      </c>
      <c r="M55" s="162">
        <f t="shared" si="6"/>
        <v>434426.25</v>
      </c>
      <c r="N55" s="162">
        <f t="shared" si="6"/>
        <v>435675.79</v>
      </c>
      <c r="O55" s="162">
        <f t="shared" si="6"/>
        <v>440018.10000000015</v>
      </c>
      <c r="P55" s="162">
        <f t="shared" si="6"/>
        <v>441239.89</v>
      </c>
      <c r="Q55" s="162">
        <f t="shared" si="6"/>
        <v>440606.7</v>
      </c>
      <c r="R55" s="163">
        <f t="shared" si="3"/>
        <v>5107364.7300000004</v>
      </c>
      <c r="S55" s="162">
        <f t="shared" ref="S55:AE55" si="7">SUM(S11:S33)</f>
        <v>18784.854743994565</v>
      </c>
      <c r="T55" s="162">
        <f t="shared" si="7"/>
        <v>18934.914460032622</v>
      </c>
      <c r="U55" s="162">
        <f t="shared" si="7"/>
        <v>19079.617256693509</v>
      </c>
      <c r="V55" s="162">
        <f t="shared" si="7"/>
        <v>19087.718695610656</v>
      </c>
      <c r="W55" s="162">
        <f t="shared" si="7"/>
        <v>19187.327008656903</v>
      </c>
      <c r="X55" s="162">
        <f t="shared" si="7"/>
        <v>19126.220186852068</v>
      </c>
      <c r="Y55" s="162">
        <f t="shared" si="7"/>
        <v>19334.613582639875</v>
      </c>
      <c r="Z55" s="162">
        <f t="shared" si="7"/>
        <v>19548.877187883772</v>
      </c>
      <c r="AA55" s="162">
        <f t="shared" si="7"/>
        <v>19625.825401817292</v>
      </c>
      <c r="AB55" s="162">
        <f t="shared" si="7"/>
        <v>19711.103225035706</v>
      </c>
      <c r="AC55" s="162">
        <f t="shared" si="7"/>
        <v>19782.902197175201</v>
      </c>
      <c r="AD55" s="162">
        <f t="shared" si="7"/>
        <v>19811.931319484884</v>
      </c>
      <c r="AE55" s="163">
        <f t="shared" si="7"/>
        <v>232015.90526587711</v>
      </c>
    </row>
    <row r="56" spans="1:31" outlineLevel="1">
      <c r="B56" s="116"/>
      <c r="C56" s="116"/>
      <c r="D56" s="155"/>
      <c r="E56" s="155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7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7"/>
    </row>
    <row r="57" spans="1:31" outlineLevel="2">
      <c r="B57" s="164" t="s">
        <v>390</v>
      </c>
      <c r="C57" s="116"/>
      <c r="D57" s="155"/>
      <c r="E57" s="155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7"/>
    </row>
    <row r="58" spans="1:31" outlineLevel="2">
      <c r="A58" s="135" t="str">
        <f t="shared" ref="A58:A64" si="8">+$A$5&amp;$A$10&amp;B58</f>
        <v>AmericanResidentialRECYONLY</v>
      </c>
      <c r="B58" s="116" t="s">
        <v>391</v>
      </c>
      <c r="C58" s="116" t="s">
        <v>392</v>
      </c>
      <c r="D58" s="155">
        <v>10.72</v>
      </c>
      <c r="E58" s="155">
        <v>9.2100000000000009</v>
      </c>
      <c r="F58" s="156">
        <v>1077.3599999999999</v>
      </c>
      <c r="G58" s="156">
        <v>1074.68</v>
      </c>
      <c r="H58" s="156">
        <v>1050.56</v>
      </c>
      <c r="I58" s="156">
        <v>1055.9199999999998</v>
      </c>
      <c r="J58" s="156">
        <v>1016.5899999999999</v>
      </c>
      <c r="K58" s="156">
        <v>965.7</v>
      </c>
      <c r="L58" s="156">
        <v>925.97</v>
      </c>
      <c r="M58" s="156">
        <v>916.40000000000009</v>
      </c>
      <c r="N58" s="156">
        <v>916.4</v>
      </c>
      <c r="O58" s="156">
        <v>897.9799999999999</v>
      </c>
      <c r="P58" s="156">
        <v>881.86</v>
      </c>
      <c r="Q58" s="156">
        <v>854.61000000000013</v>
      </c>
      <c r="R58" s="157">
        <f t="shared" ref="R58:R66" si="9">SUM(F58:Q58)</f>
        <v>11634.03</v>
      </c>
      <c r="S58" s="158">
        <f t="shared" ref="S58:W64" si="10">+IFERROR(F58/$D58,0)</f>
        <v>100.49999999999999</v>
      </c>
      <c r="T58" s="158">
        <f t="shared" si="10"/>
        <v>100.25</v>
      </c>
      <c r="U58" s="158">
        <f t="shared" si="10"/>
        <v>97.999999999999986</v>
      </c>
      <c r="V58" s="158">
        <f t="shared" si="10"/>
        <v>98.499999999999986</v>
      </c>
      <c r="W58" s="158">
        <f t="shared" si="10"/>
        <v>94.831156716417894</v>
      </c>
      <c r="X58" s="158">
        <f t="shared" ref="X58:AD64" si="11">+IFERROR(K58/$E58,0)</f>
        <v>104.85342019543974</v>
      </c>
      <c r="Y58" s="158">
        <f t="shared" si="11"/>
        <v>100.53963083604776</v>
      </c>
      <c r="Z58" s="158">
        <f t="shared" si="11"/>
        <v>99.500542888165043</v>
      </c>
      <c r="AA58" s="158">
        <f t="shared" si="11"/>
        <v>99.500542888165029</v>
      </c>
      <c r="AB58" s="158">
        <f t="shared" si="11"/>
        <v>97.500542888165015</v>
      </c>
      <c r="AC58" s="158">
        <f t="shared" si="11"/>
        <v>95.750271444082514</v>
      </c>
      <c r="AD58" s="158">
        <f t="shared" si="11"/>
        <v>92.791530944625407</v>
      </c>
      <c r="AE58" s="157">
        <f t="shared" ref="AE58:AE64" si="12">+SUM(S58:AD58)/$AB$3</f>
        <v>1182.5176388011084</v>
      </c>
    </row>
    <row r="59" spans="1:31" outlineLevel="2">
      <c r="A59" s="135" t="str">
        <f t="shared" si="8"/>
        <v>AmericanResidentialRECYR</v>
      </c>
      <c r="B59" s="116" t="s">
        <v>393</v>
      </c>
      <c r="C59" s="116" t="s">
        <v>394</v>
      </c>
      <c r="D59" s="155">
        <v>7.14</v>
      </c>
      <c r="E59" s="155">
        <v>6.14</v>
      </c>
      <c r="F59" s="156">
        <v>134784.21</v>
      </c>
      <c r="G59" s="156">
        <v>134248.53000000003</v>
      </c>
      <c r="H59" s="156">
        <v>134436.62</v>
      </c>
      <c r="I59" s="156">
        <v>134454.93000000002</v>
      </c>
      <c r="J59" s="156">
        <v>130129.22</v>
      </c>
      <c r="K59" s="156">
        <v>121276.70999999999</v>
      </c>
      <c r="L59" s="156">
        <v>117531.67000000001</v>
      </c>
      <c r="M59" s="156">
        <v>118867.07</v>
      </c>
      <c r="N59" s="156">
        <v>119292.62000000001</v>
      </c>
      <c r="O59" s="156">
        <v>119786.42</v>
      </c>
      <c r="P59" s="156">
        <v>120224.27</v>
      </c>
      <c r="Q59" s="156">
        <v>120343.09</v>
      </c>
      <c r="R59" s="157">
        <f t="shared" si="9"/>
        <v>1505375.36</v>
      </c>
      <c r="S59" s="158">
        <f t="shared" si="10"/>
        <v>18877.340336134454</v>
      </c>
      <c r="T59" s="158">
        <f t="shared" si="10"/>
        <v>18802.315126050424</v>
      </c>
      <c r="U59" s="158">
        <f t="shared" si="10"/>
        <v>18828.658263305322</v>
      </c>
      <c r="V59" s="158">
        <f t="shared" si="10"/>
        <v>18831.222689075636</v>
      </c>
      <c r="W59" s="158">
        <f t="shared" si="10"/>
        <v>18225.380952380954</v>
      </c>
      <c r="X59" s="158">
        <f t="shared" si="11"/>
        <v>19751.907166123779</v>
      </c>
      <c r="Y59" s="158">
        <f t="shared" si="11"/>
        <v>19141.965798045607</v>
      </c>
      <c r="Z59" s="158">
        <f t="shared" si="11"/>
        <v>19359.45765472313</v>
      </c>
      <c r="AA59" s="158">
        <f t="shared" si="11"/>
        <v>19428.765472312705</v>
      </c>
      <c r="AB59" s="158">
        <f t="shared" si="11"/>
        <v>19509.188925081435</v>
      </c>
      <c r="AC59" s="158">
        <f t="shared" si="11"/>
        <v>19580.5</v>
      </c>
      <c r="AD59" s="158">
        <f t="shared" si="11"/>
        <v>19599.851791530946</v>
      </c>
      <c r="AE59" s="157">
        <f t="shared" si="12"/>
        <v>229936.55417476437</v>
      </c>
    </row>
    <row r="60" spans="1:31" outlineLevel="2">
      <c r="A60" s="135" t="str">
        <f t="shared" si="8"/>
        <v>AmericanResidentialRECYRNB</v>
      </c>
      <c r="B60" s="116" t="s">
        <v>395</v>
      </c>
      <c r="C60" s="116" t="s">
        <v>396</v>
      </c>
      <c r="D60" s="155">
        <v>7.14</v>
      </c>
      <c r="E60" s="155">
        <v>6.14</v>
      </c>
      <c r="F60" s="156">
        <v>2047.4</v>
      </c>
      <c r="G60" s="156">
        <v>2002.7700000000002</v>
      </c>
      <c r="H60" s="156">
        <v>1977.5</v>
      </c>
      <c r="I60" s="156">
        <v>1963.5</v>
      </c>
      <c r="J60" s="156">
        <v>1879.51</v>
      </c>
      <c r="K60" s="156">
        <v>1752.29</v>
      </c>
      <c r="L60" s="156">
        <v>1670.33</v>
      </c>
      <c r="M60" s="156">
        <v>1683.8999999999999</v>
      </c>
      <c r="N60" s="156">
        <v>1697.71</v>
      </c>
      <c r="O60" s="156">
        <v>1702.32</v>
      </c>
      <c r="P60" s="156">
        <v>1710</v>
      </c>
      <c r="Q60" s="156">
        <v>1702.3200000000002</v>
      </c>
      <c r="R60" s="157">
        <f t="shared" si="9"/>
        <v>21789.55</v>
      </c>
      <c r="S60" s="158">
        <f t="shared" si="10"/>
        <v>286.75070028011208</v>
      </c>
      <c r="T60" s="158">
        <f t="shared" si="10"/>
        <v>280.50000000000006</v>
      </c>
      <c r="U60" s="158">
        <f t="shared" si="10"/>
        <v>276.96078431372553</v>
      </c>
      <c r="V60" s="158">
        <f t="shared" si="10"/>
        <v>275</v>
      </c>
      <c r="W60" s="158">
        <f t="shared" si="10"/>
        <v>263.23669467787118</v>
      </c>
      <c r="X60" s="158">
        <f t="shared" si="11"/>
        <v>285.38925081433223</v>
      </c>
      <c r="Y60" s="158">
        <f t="shared" si="11"/>
        <v>272.04071661237788</v>
      </c>
      <c r="Z60" s="158">
        <f t="shared" si="11"/>
        <v>274.25081433224756</v>
      </c>
      <c r="AA60" s="158">
        <f t="shared" si="11"/>
        <v>276.5</v>
      </c>
      <c r="AB60" s="158">
        <f t="shared" si="11"/>
        <v>277.25081433224756</v>
      </c>
      <c r="AC60" s="158">
        <f t="shared" si="11"/>
        <v>278.50162866449512</v>
      </c>
      <c r="AD60" s="158">
        <f t="shared" si="11"/>
        <v>277.25081433224761</v>
      </c>
      <c r="AE60" s="157">
        <f t="shared" si="12"/>
        <v>3323.6322183596562</v>
      </c>
    </row>
    <row r="61" spans="1:31" outlineLevel="2">
      <c r="A61" s="135" t="str">
        <f t="shared" si="8"/>
        <v>AmericanResidentialDRVNR-RECYCLE</v>
      </c>
      <c r="B61" s="116" t="s">
        <v>397</v>
      </c>
      <c r="C61" s="116" t="s">
        <v>398</v>
      </c>
      <c r="D61" s="155">
        <v>4.46</v>
      </c>
      <c r="E61" s="155">
        <v>3.84</v>
      </c>
      <c r="F61" s="156">
        <v>307.44</v>
      </c>
      <c r="G61" s="156">
        <v>302.98</v>
      </c>
      <c r="H61" s="156">
        <v>303.15999999999997</v>
      </c>
      <c r="I61" s="156">
        <v>302.98</v>
      </c>
      <c r="J61" s="156">
        <v>289.90000000000003</v>
      </c>
      <c r="K61" s="156">
        <v>267.93</v>
      </c>
      <c r="L61" s="156">
        <v>256.86</v>
      </c>
      <c r="M61" s="156">
        <v>253.02</v>
      </c>
      <c r="N61" s="156">
        <v>235.74</v>
      </c>
      <c r="O61" s="156">
        <v>220.53000000000003</v>
      </c>
      <c r="P61" s="156">
        <v>237.66000000000003</v>
      </c>
      <c r="Q61" s="156">
        <v>226.14000000000001</v>
      </c>
      <c r="R61" s="157">
        <f t="shared" si="9"/>
        <v>3204.34</v>
      </c>
      <c r="S61" s="158">
        <f t="shared" si="10"/>
        <v>68.932735426008975</v>
      </c>
      <c r="T61" s="158">
        <f t="shared" si="10"/>
        <v>67.932735426008975</v>
      </c>
      <c r="U61" s="158">
        <f t="shared" si="10"/>
        <v>67.973094170403584</v>
      </c>
      <c r="V61" s="158">
        <f t="shared" si="10"/>
        <v>67.932735426008975</v>
      </c>
      <c r="W61" s="158">
        <f t="shared" si="10"/>
        <v>65.000000000000014</v>
      </c>
      <c r="X61" s="158">
        <f t="shared" si="11"/>
        <v>69.7734375</v>
      </c>
      <c r="Y61" s="158">
        <f t="shared" si="11"/>
        <v>66.890625</v>
      </c>
      <c r="Z61" s="158">
        <f t="shared" si="11"/>
        <v>65.890625</v>
      </c>
      <c r="AA61" s="158">
        <f t="shared" si="11"/>
        <v>61.390625000000007</v>
      </c>
      <c r="AB61" s="158">
        <f t="shared" si="11"/>
        <v>57.429687500000007</v>
      </c>
      <c r="AC61" s="158">
        <f t="shared" si="11"/>
        <v>61.890625000000007</v>
      </c>
      <c r="AD61" s="158">
        <f t="shared" si="11"/>
        <v>58.890625000000007</v>
      </c>
      <c r="AE61" s="157">
        <f t="shared" si="12"/>
        <v>779.92755044843057</v>
      </c>
    </row>
    <row r="62" spans="1:31" outlineLevel="2">
      <c r="A62" s="135" t="str">
        <f t="shared" si="8"/>
        <v>AmericanResidentialPACKR-RECYCLE</v>
      </c>
      <c r="B62" s="116" t="s">
        <v>399</v>
      </c>
      <c r="C62" s="116" t="s">
        <v>400</v>
      </c>
      <c r="D62" s="155">
        <v>7.875</v>
      </c>
      <c r="E62" s="155">
        <v>7.875</v>
      </c>
      <c r="F62" s="156">
        <v>42.31</v>
      </c>
      <c r="G62" s="156">
        <v>42.31</v>
      </c>
      <c r="H62" s="156">
        <v>54.129999999999995</v>
      </c>
      <c r="I62" s="156">
        <v>50.189999999999991</v>
      </c>
      <c r="J62" s="156">
        <v>64.59</v>
      </c>
      <c r="K62" s="156">
        <v>63.74</v>
      </c>
      <c r="L62" s="156">
        <v>63.74</v>
      </c>
      <c r="M62" s="156">
        <v>66.94</v>
      </c>
      <c r="N62" s="156">
        <v>66.94</v>
      </c>
      <c r="O62" s="156">
        <v>63</v>
      </c>
      <c r="P62" s="156">
        <v>63</v>
      </c>
      <c r="Q62" s="156">
        <v>64.97</v>
      </c>
      <c r="R62" s="157">
        <f t="shared" si="9"/>
        <v>705.86</v>
      </c>
      <c r="S62" s="158">
        <f t="shared" si="10"/>
        <v>5.372698412698413</v>
      </c>
      <c r="T62" s="158">
        <f t="shared" si="10"/>
        <v>5.372698412698413</v>
      </c>
      <c r="U62" s="158">
        <f t="shared" si="10"/>
        <v>6.8736507936507927</v>
      </c>
      <c r="V62" s="158">
        <f t="shared" si="10"/>
        <v>6.3733333333333322</v>
      </c>
      <c r="W62" s="158">
        <f t="shared" si="10"/>
        <v>8.2019047619047623</v>
      </c>
      <c r="X62" s="158">
        <f t="shared" si="11"/>
        <v>8.0939682539682547</v>
      </c>
      <c r="Y62" s="158">
        <f t="shared" si="11"/>
        <v>8.0939682539682547</v>
      </c>
      <c r="Z62" s="158">
        <f t="shared" si="11"/>
        <v>8.5003174603174596</v>
      </c>
      <c r="AA62" s="158">
        <f t="shared" si="11"/>
        <v>8.5003174603174596</v>
      </c>
      <c r="AB62" s="158">
        <f t="shared" si="11"/>
        <v>8</v>
      </c>
      <c r="AC62" s="158">
        <f t="shared" si="11"/>
        <v>8</v>
      </c>
      <c r="AD62" s="158">
        <f t="shared" si="11"/>
        <v>8.2501587301587307</v>
      </c>
      <c r="AE62" s="157">
        <f t="shared" si="12"/>
        <v>89.633015873015879</v>
      </c>
    </row>
    <row r="63" spans="1:31" outlineLevel="2">
      <c r="A63" s="135" t="str">
        <f t="shared" si="8"/>
        <v>AmericanResidentialTOTERDEL</v>
      </c>
      <c r="B63" s="116" t="s">
        <v>401</v>
      </c>
      <c r="C63" s="116" t="s">
        <v>402</v>
      </c>
      <c r="D63" s="155">
        <v>0</v>
      </c>
      <c r="E63" s="155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7">
        <f t="shared" si="9"/>
        <v>0</v>
      </c>
      <c r="S63" s="158">
        <f t="shared" si="10"/>
        <v>0</v>
      </c>
      <c r="T63" s="158">
        <f t="shared" si="10"/>
        <v>0</v>
      </c>
      <c r="U63" s="158">
        <f t="shared" si="10"/>
        <v>0</v>
      </c>
      <c r="V63" s="158">
        <f t="shared" si="10"/>
        <v>0</v>
      </c>
      <c r="W63" s="158">
        <f t="shared" si="10"/>
        <v>0</v>
      </c>
      <c r="X63" s="158">
        <f t="shared" si="11"/>
        <v>0</v>
      </c>
      <c r="Y63" s="158">
        <f t="shared" si="11"/>
        <v>0</v>
      </c>
      <c r="Z63" s="158">
        <f t="shared" si="11"/>
        <v>0</v>
      </c>
      <c r="AA63" s="158">
        <f t="shared" si="11"/>
        <v>0</v>
      </c>
      <c r="AB63" s="158">
        <f t="shared" si="11"/>
        <v>0</v>
      </c>
      <c r="AC63" s="158">
        <f t="shared" si="11"/>
        <v>0</v>
      </c>
      <c r="AD63" s="158">
        <f t="shared" si="11"/>
        <v>0</v>
      </c>
      <c r="AE63" s="157">
        <f t="shared" si="12"/>
        <v>0</v>
      </c>
    </row>
    <row r="64" spans="1:31" outlineLevel="2">
      <c r="A64" s="135" t="str">
        <f t="shared" si="8"/>
        <v>AmericanResidentialRECYDEL</v>
      </c>
      <c r="B64" s="116" t="s">
        <v>403</v>
      </c>
      <c r="C64" s="116" t="s">
        <v>402</v>
      </c>
      <c r="D64" s="155">
        <v>20.84</v>
      </c>
      <c r="E64" s="155">
        <v>17.91</v>
      </c>
      <c r="F64" s="156">
        <v>20.84</v>
      </c>
      <c r="G64" s="156">
        <v>20.84</v>
      </c>
      <c r="H64" s="156">
        <v>41.68</v>
      </c>
      <c r="I64" s="156">
        <v>41.68</v>
      </c>
      <c r="J64" s="156">
        <v>83.36</v>
      </c>
      <c r="K64" s="156">
        <v>107.46</v>
      </c>
      <c r="L64" s="156">
        <v>50.8</v>
      </c>
      <c r="M64" s="156">
        <v>17.91</v>
      </c>
      <c r="N64" s="156">
        <v>35.82</v>
      </c>
      <c r="O64" s="156">
        <v>0</v>
      </c>
      <c r="P64" s="156">
        <v>35.82</v>
      </c>
      <c r="Q64" s="156">
        <v>35.82</v>
      </c>
      <c r="R64" s="157">
        <f t="shared" si="9"/>
        <v>492.03</v>
      </c>
      <c r="S64" s="158">
        <f t="shared" si="10"/>
        <v>1</v>
      </c>
      <c r="T64" s="158">
        <f t="shared" si="10"/>
        <v>1</v>
      </c>
      <c r="U64" s="158">
        <f t="shared" si="10"/>
        <v>2</v>
      </c>
      <c r="V64" s="158">
        <f t="shared" si="10"/>
        <v>2</v>
      </c>
      <c r="W64" s="158">
        <f t="shared" si="10"/>
        <v>4</v>
      </c>
      <c r="X64" s="158">
        <f t="shared" si="11"/>
        <v>6</v>
      </c>
      <c r="Y64" s="158">
        <f t="shared" si="11"/>
        <v>2.8364042434394192</v>
      </c>
      <c r="Z64" s="158">
        <f t="shared" si="11"/>
        <v>1</v>
      </c>
      <c r="AA64" s="158">
        <f t="shared" si="11"/>
        <v>2</v>
      </c>
      <c r="AB64" s="158">
        <f t="shared" si="11"/>
        <v>0</v>
      </c>
      <c r="AC64" s="158">
        <f t="shared" si="11"/>
        <v>2</v>
      </c>
      <c r="AD64" s="158">
        <f t="shared" si="11"/>
        <v>2</v>
      </c>
      <c r="AE64" s="157">
        <f t="shared" si="12"/>
        <v>25.836404243439418</v>
      </c>
    </row>
    <row r="65" spans="1:31" outlineLevel="2">
      <c r="B65" s="116"/>
      <c r="C65" s="116"/>
      <c r="D65" s="155"/>
      <c r="E65" s="155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7">
        <f t="shared" si="9"/>
        <v>0</v>
      </c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7"/>
    </row>
    <row r="66" spans="1:31" outlineLevel="1">
      <c r="B66" s="116"/>
      <c r="C66" s="159" t="s">
        <v>404</v>
      </c>
      <c r="D66" s="155"/>
      <c r="E66" s="155"/>
      <c r="F66" s="162">
        <f t="shared" ref="F66:Q66" si="13">SUM(F58:F65)</f>
        <v>138279.55999999997</v>
      </c>
      <c r="G66" s="162">
        <f t="shared" si="13"/>
        <v>137692.11000000002</v>
      </c>
      <c r="H66" s="162">
        <f t="shared" si="13"/>
        <v>137863.65</v>
      </c>
      <c r="I66" s="162">
        <f t="shared" si="13"/>
        <v>137869.20000000004</v>
      </c>
      <c r="J66" s="162">
        <f t="shared" si="13"/>
        <v>133463.16999999998</v>
      </c>
      <c r="K66" s="162">
        <f t="shared" si="13"/>
        <v>124433.82999999999</v>
      </c>
      <c r="L66" s="162">
        <f t="shared" si="13"/>
        <v>120499.37000000002</v>
      </c>
      <c r="M66" s="162">
        <f t="shared" si="13"/>
        <v>121805.24</v>
      </c>
      <c r="N66" s="162">
        <f t="shared" si="13"/>
        <v>122245.23000000003</v>
      </c>
      <c r="O66" s="162">
        <f t="shared" si="13"/>
        <v>122670.25</v>
      </c>
      <c r="P66" s="162">
        <f t="shared" si="13"/>
        <v>123152.61000000002</v>
      </c>
      <c r="Q66" s="162">
        <f t="shared" si="13"/>
        <v>123226.95000000001</v>
      </c>
      <c r="R66" s="163">
        <f t="shared" si="9"/>
        <v>1543201.17</v>
      </c>
      <c r="S66" s="162">
        <f>SUM(S58:S60)</f>
        <v>19264.591036414564</v>
      </c>
      <c r="T66" s="162">
        <f t="shared" ref="T66:AE66" si="14">SUM(T58:T60)</f>
        <v>19183.065126050424</v>
      </c>
      <c r="U66" s="162">
        <f t="shared" si="14"/>
        <v>19203.619047619046</v>
      </c>
      <c r="V66" s="162">
        <f t="shared" si="14"/>
        <v>19204.722689075636</v>
      </c>
      <c r="W66" s="162">
        <f t="shared" si="14"/>
        <v>18583.448803775242</v>
      </c>
      <c r="X66" s="162">
        <f t="shared" si="14"/>
        <v>20142.149837133551</v>
      </c>
      <c r="Y66" s="162">
        <f t="shared" si="14"/>
        <v>19514.54614549403</v>
      </c>
      <c r="Z66" s="162">
        <f t="shared" si="14"/>
        <v>19733.209011943545</v>
      </c>
      <c r="AA66" s="162">
        <f t="shared" si="14"/>
        <v>19804.766015200872</v>
      </c>
      <c r="AB66" s="162">
        <f t="shared" si="14"/>
        <v>19883.94028230185</v>
      </c>
      <c r="AC66" s="162">
        <f t="shared" si="14"/>
        <v>19954.751900108578</v>
      </c>
      <c r="AD66" s="162">
        <f t="shared" si="14"/>
        <v>19969.894136807819</v>
      </c>
      <c r="AE66" s="163">
        <f t="shared" si="14"/>
        <v>234442.70403192512</v>
      </c>
    </row>
    <row r="67" spans="1:31" outlineLevel="1">
      <c r="B67" s="116"/>
      <c r="C67" s="159"/>
      <c r="D67" s="155"/>
      <c r="E67" s="15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>
        <f>992*12</f>
        <v>11904</v>
      </c>
      <c r="R67" s="166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7"/>
    </row>
    <row r="68" spans="1:31" outlineLevel="2">
      <c r="B68" s="164" t="s">
        <v>405</v>
      </c>
      <c r="C68" s="116"/>
      <c r="D68" s="155"/>
      <c r="E68" s="155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7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7"/>
    </row>
    <row r="69" spans="1:31" outlineLevel="2">
      <c r="A69" s="135" t="str">
        <f t="shared" ref="A69:A75" si="15">+$A$5&amp;$A$10&amp;B69</f>
        <v>AmericanResidentialYDW90</v>
      </c>
      <c r="B69" s="116" t="s">
        <v>406</v>
      </c>
      <c r="C69" s="116" t="s">
        <v>407</v>
      </c>
      <c r="D69" s="155">
        <v>6.18</v>
      </c>
      <c r="E69" s="155">
        <v>6.18</v>
      </c>
      <c r="F69" s="156">
        <v>57536.19</v>
      </c>
      <c r="G69" s="156">
        <v>56947.649999999994</v>
      </c>
      <c r="H69" s="156">
        <v>56860.750000000007</v>
      </c>
      <c r="I69" s="156">
        <v>56775.710000000014</v>
      </c>
      <c r="J69" s="156">
        <v>56888.700000000004</v>
      </c>
      <c r="K69" s="156">
        <v>57226.51</v>
      </c>
      <c r="L69" s="156">
        <v>57984.72</v>
      </c>
      <c r="M69" s="156">
        <v>58955.710000000006</v>
      </c>
      <c r="N69" s="156">
        <v>59508.800000000003</v>
      </c>
      <c r="O69" s="156">
        <v>59915.360000000001</v>
      </c>
      <c r="P69" s="156">
        <v>60055.139999999992</v>
      </c>
      <c r="Q69" s="156">
        <v>60139.170000000006</v>
      </c>
      <c r="R69" s="157">
        <f t="shared" ref="R69:R78" si="16">SUM(F69:Q69)</f>
        <v>698794.41</v>
      </c>
      <c r="S69" s="158">
        <f t="shared" ref="S69:W75" si="17">+IFERROR(F69/$D69,0)</f>
        <v>9310.0631067961167</v>
      </c>
      <c r="T69" s="158">
        <f t="shared" si="17"/>
        <v>9214.8300970873788</v>
      </c>
      <c r="U69" s="158">
        <f t="shared" si="17"/>
        <v>9200.7686084142406</v>
      </c>
      <c r="V69" s="158">
        <f t="shared" si="17"/>
        <v>9187.0080906148887</v>
      </c>
      <c r="W69" s="158">
        <f t="shared" si="17"/>
        <v>9205.2912621359228</v>
      </c>
      <c r="X69" s="158">
        <f t="shared" ref="X69:AD76" si="18">+IFERROR(K69/$E69,0)</f>
        <v>9259.9530744336571</v>
      </c>
      <c r="Y69" s="158">
        <f t="shared" si="18"/>
        <v>9382.6407766990305</v>
      </c>
      <c r="Z69" s="158">
        <f t="shared" si="18"/>
        <v>9539.758899676377</v>
      </c>
      <c r="AA69" s="158">
        <f t="shared" si="18"/>
        <v>9629.2556634304219</v>
      </c>
      <c r="AB69" s="158">
        <f t="shared" si="18"/>
        <v>9695.0420711974111</v>
      </c>
      <c r="AC69" s="158">
        <f t="shared" si="18"/>
        <v>9717.6601941747558</v>
      </c>
      <c r="AD69" s="158">
        <f t="shared" si="18"/>
        <v>9731.2572815533986</v>
      </c>
      <c r="AE69" s="157">
        <f t="shared" ref="AE69:AE75" si="19">+SUM(S69:AD69)/$AB$3</f>
        <v>113073.52912621359</v>
      </c>
    </row>
    <row r="70" spans="1:31" outlineLevel="2">
      <c r="A70" s="135" t="str">
        <f t="shared" si="15"/>
        <v>AmericanResidentialYDW90SNR</v>
      </c>
      <c r="B70" s="116" t="s">
        <v>408</v>
      </c>
      <c r="C70" s="116" t="s">
        <v>409</v>
      </c>
      <c r="D70" s="155">
        <v>0</v>
      </c>
      <c r="E70" s="155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56">
        <v>0</v>
      </c>
      <c r="R70" s="157">
        <f t="shared" si="16"/>
        <v>0</v>
      </c>
      <c r="S70" s="158">
        <f t="shared" si="17"/>
        <v>0</v>
      </c>
      <c r="T70" s="158">
        <f t="shared" si="17"/>
        <v>0</v>
      </c>
      <c r="U70" s="158">
        <f t="shared" si="17"/>
        <v>0</v>
      </c>
      <c r="V70" s="158">
        <f t="shared" si="17"/>
        <v>0</v>
      </c>
      <c r="W70" s="158">
        <f t="shared" si="17"/>
        <v>0</v>
      </c>
      <c r="X70" s="158">
        <f t="shared" si="18"/>
        <v>0</v>
      </c>
      <c r="Y70" s="158">
        <f t="shared" si="18"/>
        <v>0</v>
      </c>
      <c r="Z70" s="158">
        <f t="shared" si="18"/>
        <v>0</v>
      </c>
      <c r="AA70" s="158">
        <f t="shared" si="18"/>
        <v>0</v>
      </c>
      <c r="AB70" s="158">
        <f t="shared" si="18"/>
        <v>0</v>
      </c>
      <c r="AC70" s="158">
        <f t="shared" si="18"/>
        <v>0</v>
      </c>
      <c r="AD70" s="158">
        <f t="shared" si="18"/>
        <v>0</v>
      </c>
      <c r="AE70" s="157">
        <f t="shared" si="19"/>
        <v>0</v>
      </c>
    </row>
    <row r="71" spans="1:31" outlineLevel="2">
      <c r="A71" s="135" t="str">
        <f t="shared" si="15"/>
        <v>AmericanResidentialYDWDEL</v>
      </c>
      <c r="B71" s="116" t="s">
        <v>410</v>
      </c>
      <c r="C71" s="116" t="s">
        <v>411</v>
      </c>
      <c r="D71" s="155">
        <v>18.3</v>
      </c>
      <c r="E71" s="155">
        <v>18.3</v>
      </c>
      <c r="F71" s="156">
        <v>0</v>
      </c>
      <c r="G71" s="156">
        <v>18.3</v>
      </c>
      <c r="H71" s="156">
        <v>0</v>
      </c>
      <c r="I71" s="156">
        <v>36.6</v>
      </c>
      <c r="J71" s="156">
        <v>36.6</v>
      </c>
      <c r="K71" s="156">
        <v>36.599999999999994</v>
      </c>
      <c r="L71" s="156">
        <v>18.3</v>
      </c>
      <c r="M71" s="156">
        <v>36.6</v>
      </c>
      <c r="N71" s="156">
        <v>0</v>
      </c>
      <c r="O71" s="156">
        <v>18.3</v>
      </c>
      <c r="P71" s="156">
        <v>54.900000000000006</v>
      </c>
      <c r="Q71" s="156">
        <v>0</v>
      </c>
      <c r="R71" s="157">
        <f t="shared" si="16"/>
        <v>256.20000000000005</v>
      </c>
      <c r="S71" s="158">
        <f t="shared" si="17"/>
        <v>0</v>
      </c>
      <c r="T71" s="158">
        <f t="shared" si="17"/>
        <v>1</v>
      </c>
      <c r="U71" s="158">
        <f t="shared" si="17"/>
        <v>0</v>
      </c>
      <c r="V71" s="158">
        <f t="shared" si="17"/>
        <v>2</v>
      </c>
      <c r="W71" s="158">
        <f t="shared" si="17"/>
        <v>2</v>
      </c>
      <c r="X71" s="158">
        <f t="shared" si="18"/>
        <v>1.9999999999999996</v>
      </c>
      <c r="Y71" s="158">
        <f t="shared" si="18"/>
        <v>1</v>
      </c>
      <c r="Z71" s="158">
        <f t="shared" si="18"/>
        <v>2</v>
      </c>
      <c r="AA71" s="158">
        <f t="shared" si="18"/>
        <v>0</v>
      </c>
      <c r="AB71" s="158">
        <f t="shared" si="18"/>
        <v>1</v>
      </c>
      <c r="AC71" s="158">
        <f t="shared" si="18"/>
        <v>3</v>
      </c>
      <c r="AD71" s="158">
        <f t="shared" si="18"/>
        <v>0</v>
      </c>
      <c r="AE71" s="157">
        <f t="shared" si="19"/>
        <v>14</v>
      </c>
    </row>
    <row r="72" spans="1:31" outlineLevel="2">
      <c r="A72" s="135" t="str">
        <f t="shared" si="15"/>
        <v>AmericanResidentialYDWEX</v>
      </c>
      <c r="B72" s="116" t="s">
        <v>412</v>
      </c>
      <c r="C72" s="116" t="s">
        <v>413</v>
      </c>
      <c r="D72" s="155">
        <v>1.99</v>
      </c>
      <c r="E72" s="155">
        <v>1.99</v>
      </c>
      <c r="F72" s="156">
        <v>57.71</v>
      </c>
      <c r="G72" s="156">
        <v>211.74</v>
      </c>
      <c r="H72" s="156">
        <v>47.76</v>
      </c>
      <c r="I72" s="156">
        <v>11.94</v>
      </c>
      <c r="J72" s="156">
        <v>0</v>
      </c>
      <c r="K72" s="156">
        <v>95.52</v>
      </c>
      <c r="L72" s="156">
        <v>208.95</v>
      </c>
      <c r="M72" s="156">
        <v>360.19</v>
      </c>
      <c r="N72" s="156">
        <v>252.73000000000002</v>
      </c>
      <c r="O72" s="156">
        <v>282.58000000000004</v>
      </c>
      <c r="P72" s="156">
        <v>204.97</v>
      </c>
      <c r="Q72" s="156">
        <v>157.21</v>
      </c>
      <c r="R72" s="157">
        <f t="shared" si="16"/>
        <v>1891.3</v>
      </c>
      <c r="S72" s="158">
        <f t="shared" si="17"/>
        <v>29</v>
      </c>
      <c r="T72" s="158">
        <f t="shared" si="17"/>
        <v>106.40201005025126</v>
      </c>
      <c r="U72" s="158">
        <f t="shared" si="17"/>
        <v>24</v>
      </c>
      <c r="V72" s="158">
        <f t="shared" si="17"/>
        <v>6</v>
      </c>
      <c r="W72" s="158">
        <f t="shared" si="17"/>
        <v>0</v>
      </c>
      <c r="X72" s="158">
        <f t="shared" si="18"/>
        <v>48</v>
      </c>
      <c r="Y72" s="158">
        <f t="shared" si="18"/>
        <v>105</v>
      </c>
      <c r="Z72" s="158">
        <f t="shared" si="18"/>
        <v>181</v>
      </c>
      <c r="AA72" s="158">
        <f t="shared" si="18"/>
        <v>127.00000000000001</v>
      </c>
      <c r="AB72" s="158">
        <f t="shared" si="18"/>
        <v>142.00000000000003</v>
      </c>
      <c r="AC72" s="158">
        <f t="shared" si="18"/>
        <v>103</v>
      </c>
      <c r="AD72" s="158">
        <f t="shared" si="18"/>
        <v>79</v>
      </c>
      <c r="AE72" s="157">
        <f t="shared" si="19"/>
        <v>950.40201005025131</v>
      </c>
    </row>
    <row r="73" spans="1:31" outlineLevel="2">
      <c r="A73" s="135" t="str">
        <f t="shared" si="15"/>
        <v>AmericanResidentialDRVNR-YARDWASTE</v>
      </c>
      <c r="B73" s="116" t="s">
        <v>414</v>
      </c>
      <c r="C73" s="116" t="s">
        <v>415</v>
      </c>
      <c r="D73" s="155">
        <v>4.3</v>
      </c>
      <c r="E73" s="155">
        <v>4.3</v>
      </c>
      <c r="F73" s="156">
        <v>34.4</v>
      </c>
      <c r="G73" s="156">
        <v>34.4</v>
      </c>
      <c r="H73" s="156">
        <v>38.700000000000003</v>
      </c>
      <c r="I73" s="156">
        <v>36.549999999999997</v>
      </c>
      <c r="J73" s="156">
        <v>36.549999999999997</v>
      </c>
      <c r="K73" s="156">
        <v>34.4</v>
      </c>
      <c r="L73" s="156">
        <v>32.25</v>
      </c>
      <c r="M73" s="156">
        <v>36.549999999999997</v>
      </c>
      <c r="N73" s="156">
        <v>34.4</v>
      </c>
      <c r="O73" s="156">
        <v>34.4</v>
      </c>
      <c r="P73" s="156">
        <v>34.4</v>
      </c>
      <c r="Q73" s="156">
        <v>34.4</v>
      </c>
      <c r="R73" s="157">
        <f t="shared" si="16"/>
        <v>421.39999999999992</v>
      </c>
      <c r="S73" s="158">
        <f t="shared" si="17"/>
        <v>8</v>
      </c>
      <c r="T73" s="158">
        <f t="shared" si="17"/>
        <v>8</v>
      </c>
      <c r="U73" s="158">
        <f t="shared" si="17"/>
        <v>9.0000000000000018</v>
      </c>
      <c r="V73" s="158">
        <f t="shared" si="17"/>
        <v>8.5</v>
      </c>
      <c r="W73" s="158">
        <f t="shared" si="17"/>
        <v>8.5</v>
      </c>
      <c r="X73" s="158">
        <f t="shared" si="18"/>
        <v>8</v>
      </c>
      <c r="Y73" s="158">
        <f t="shared" si="18"/>
        <v>7.5</v>
      </c>
      <c r="Z73" s="158">
        <f t="shared" si="18"/>
        <v>8.5</v>
      </c>
      <c r="AA73" s="158">
        <f t="shared" si="18"/>
        <v>8</v>
      </c>
      <c r="AB73" s="158">
        <f t="shared" si="18"/>
        <v>8</v>
      </c>
      <c r="AC73" s="158">
        <f t="shared" si="18"/>
        <v>8</v>
      </c>
      <c r="AD73" s="158">
        <f t="shared" si="18"/>
        <v>8</v>
      </c>
      <c r="AE73" s="157">
        <f t="shared" si="19"/>
        <v>98</v>
      </c>
    </row>
    <row r="74" spans="1:31" outlineLevel="2">
      <c r="A74" s="135" t="str">
        <f t="shared" si="15"/>
        <v>AmericanResidentialPACKR-YARDWASTE</v>
      </c>
      <c r="B74" s="116" t="s">
        <v>416</v>
      </c>
      <c r="C74" s="116" t="s">
        <v>417</v>
      </c>
      <c r="D74" s="155">
        <v>7.875</v>
      </c>
      <c r="E74" s="155">
        <v>7.875</v>
      </c>
      <c r="F74" s="156">
        <v>31.48</v>
      </c>
      <c r="G74" s="156">
        <v>31.48</v>
      </c>
      <c r="H74" s="156">
        <v>31.48</v>
      </c>
      <c r="I74" s="156">
        <v>23.6</v>
      </c>
      <c r="J74" s="156">
        <v>23.6</v>
      </c>
      <c r="K74" s="156">
        <v>23.6</v>
      </c>
      <c r="L74" s="156">
        <v>23.6</v>
      </c>
      <c r="M74" s="156">
        <v>27.54</v>
      </c>
      <c r="N74" s="156">
        <v>27.54</v>
      </c>
      <c r="O74" s="156">
        <v>23.6</v>
      </c>
      <c r="P74" s="156">
        <v>15.74</v>
      </c>
      <c r="Q74" s="156">
        <v>23.6</v>
      </c>
      <c r="R74" s="157">
        <f t="shared" si="16"/>
        <v>306.86</v>
      </c>
      <c r="S74" s="158">
        <f t="shared" si="17"/>
        <v>3.9974603174603174</v>
      </c>
      <c r="T74" s="158">
        <f t="shared" si="17"/>
        <v>3.9974603174603174</v>
      </c>
      <c r="U74" s="158">
        <f t="shared" si="17"/>
        <v>3.9974603174603174</v>
      </c>
      <c r="V74" s="158">
        <f t="shared" si="17"/>
        <v>2.9968253968253968</v>
      </c>
      <c r="W74" s="158">
        <f t="shared" si="17"/>
        <v>2.9968253968253968</v>
      </c>
      <c r="X74" s="158">
        <f t="shared" si="18"/>
        <v>2.9968253968253968</v>
      </c>
      <c r="Y74" s="158">
        <f t="shared" si="18"/>
        <v>2.9968253968253968</v>
      </c>
      <c r="Z74" s="158">
        <f t="shared" si="18"/>
        <v>3.4971428571428569</v>
      </c>
      <c r="AA74" s="158">
        <f t="shared" si="18"/>
        <v>3.4971428571428569</v>
      </c>
      <c r="AB74" s="158">
        <f t="shared" si="18"/>
        <v>2.9968253968253968</v>
      </c>
      <c r="AC74" s="158">
        <f t="shared" si="18"/>
        <v>1.9987301587301587</v>
      </c>
      <c r="AD74" s="158">
        <f t="shared" si="18"/>
        <v>2.9968253968253968</v>
      </c>
      <c r="AE74" s="157">
        <f t="shared" si="19"/>
        <v>38.966349206349207</v>
      </c>
    </row>
    <row r="75" spans="1:31" outlineLevel="2">
      <c r="A75" s="135" t="str">
        <f t="shared" si="15"/>
        <v>AmericanResidentialTRIPYCARTS</v>
      </c>
      <c r="B75" s="116" t="s">
        <v>418</v>
      </c>
      <c r="C75" s="116" t="s">
        <v>419</v>
      </c>
      <c r="D75" s="155">
        <v>10.97</v>
      </c>
      <c r="E75" s="155">
        <v>10.97</v>
      </c>
      <c r="F75" s="156">
        <v>10.97</v>
      </c>
      <c r="G75" s="156">
        <v>32.910000000000004</v>
      </c>
      <c r="H75" s="156">
        <v>43.879999999999995</v>
      </c>
      <c r="I75" s="156">
        <v>10.97</v>
      </c>
      <c r="J75" s="156">
        <v>0</v>
      </c>
      <c r="K75" s="156">
        <v>43.879999999999995</v>
      </c>
      <c r="L75" s="156">
        <v>0</v>
      </c>
      <c r="M75" s="156">
        <v>43.879999999999995</v>
      </c>
      <c r="N75" s="156">
        <v>10.97</v>
      </c>
      <c r="O75" s="156">
        <v>21.94</v>
      </c>
      <c r="P75" s="156">
        <v>21.94</v>
      </c>
      <c r="Q75" s="156">
        <v>10.97</v>
      </c>
      <c r="R75" s="157">
        <f t="shared" si="16"/>
        <v>252.30999999999997</v>
      </c>
      <c r="S75" s="158">
        <f t="shared" si="17"/>
        <v>1</v>
      </c>
      <c r="T75" s="158">
        <f t="shared" si="17"/>
        <v>3</v>
      </c>
      <c r="U75" s="158">
        <f t="shared" si="17"/>
        <v>3.9999999999999996</v>
      </c>
      <c r="V75" s="158">
        <f t="shared" si="17"/>
        <v>1</v>
      </c>
      <c r="W75" s="158">
        <f t="shared" si="17"/>
        <v>0</v>
      </c>
      <c r="X75" s="158">
        <f t="shared" si="18"/>
        <v>3.9999999999999996</v>
      </c>
      <c r="Y75" s="158">
        <f t="shared" si="18"/>
        <v>0</v>
      </c>
      <c r="Z75" s="158">
        <f t="shared" si="18"/>
        <v>3.9999999999999996</v>
      </c>
      <c r="AA75" s="158">
        <f t="shared" si="18"/>
        <v>1</v>
      </c>
      <c r="AB75" s="158">
        <f t="shared" si="18"/>
        <v>2</v>
      </c>
      <c r="AC75" s="158">
        <f t="shared" si="18"/>
        <v>2</v>
      </c>
      <c r="AD75" s="158">
        <f t="shared" si="18"/>
        <v>1</v>
      </c>
      <c r="AE75" s="157">
        <f t="shared" si="19"/>
        <v>23</v>
      </c>
    </row>
    <row r="76" spans="1:31" outlineLevel="2">
      <c r="A76" s="135" t="str">
        <f>+$A$5&amp;$A$161&amp;B76</f>
        <v>AmericanMulti-FamilyMYDW90</v>
      </c>
      <c r="B76" s="116" t="s">
        <v>420</v>
      </c>
      <c r="C76" s="116" t="s">
        <v>421</v>
      </c>
      <c r="D76" s="155">
        <v>3.09</v>
      </c>
      <c r="E76" s="155">
        <v>6.18</v>
      </c>
      <c r="F76" s="156">
        <v>538.01</v>
      </c>
      <c r="G76" s="156">
        <v>538.01</v>
      </c>
      <c r="H76" s="156">
        <v>538.01</v>
      </c>
      <c r="I76" s="156">
        <v>538.01</v>
      </c>
      <c r="J76" s="156">
        <v>538.01</v>
      </c>
      <c r="K76" s="156">
        <v>525.29999999999995</v>
      </c>
      <c r="L76" s="156">
        <v>533.03</v>
      </c>
      <c r="M76" s="156">
        <v>537.66</v>
      </c>
      <c r="N76" s="156">
        <v>543.84</v>
      </c>
      <c r="O76" s="156">
        <v>553.11</v>
      </c>
      <c r="P76" s="156">
        <v>556.20000000000005</v>
      </c>
      <c r="Q76" s="156">
        <v>562.38</v>
      </c>
      <c r="R76" s="157">
        <f t="shared" si="16"/>
        <v>6501.57</v>
      </c>
      <c r="S76" s="158">
        <f>+IFERROR(F76/$D76,0)</f>
        <v>174.11326860841424</v>
      </c>
      <c r="T76" s="158">
        <f>+IFERROR(G76/$D76,0)</f>
        <v>174.11326860841424</v>
      </c>
      <c r="U76" s="158">
        <f>+IFERROR(H76/$D76,0)</f>
        <v>174.11326860841424</v>
      </c>
      <c r="V76" s="158">
        <f>+IFERROR(I76/$D76,0)</f>
        <v>174.11326860841424</v>
      </c>
      <c r="W76" s="158">
        <f>+IFERROR(J76/$D76,0)</f>
        <v>174.11326860841424</v>
      </c>
      <c r="X76" s="158">
        <f t="shared" si="18"/>
        <v>85</v>
      </c>
      <c r="Y76" s="158">
        <f t="shared" si="18"/>
        <v>86.250809061488667</v>
      </c>
      <c r="Z76" s="158">
        <f t="shared" si="18"/>
        <v>87</v>
      </c>
      <c r="AA76" s="158">
        <f t="shared" si="18"/>
        <v>88.000000000000014</v>
      </c>
      <c r="AB76" s="158">
        <f t="shared" si="18"/>
        <v>89.5</v>
      </c>
      <c r="AC76" s="158">
        <f t="shared" si="18"/>
        <v>90.000000000000014</v>
      </c>
      <c r="AD76" s="158">
        <f t="shared" si="18"/>
        <v>91</v>
      </c>
      <c r="AE76" s="157">
        <f>+SUM(S76:AD76)/$AB$3</f>
        <v>1487.3171521035599</v>
      </c>
    </row>
    <row r="77" spans="1:31" outlineLevel="2">
      <c r="B77" s="116"/>
      <c r="C77" s="116"/>
      <c r="D77" s="155"/>
      <c r="E77" s="155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7">
        <f t="shared" si="16"/>
        <v>0</v>
      </c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7"/>
    </row>
    <row r="78" spans="1:31" outlineLevel="1">
      <c r="B78" s="116"/>
      <c r="C78" s="159" t="s">
        <v>422</v>
      </c>
      <c r="D78" s="155"/>
      <c r="E78" s="155"/>
      <c r="F78" s="162">
        <f t="shared" ref="F78:K78" si="20">SUM(F69:F77)</f>
        <v>58208.760000000009</v>
      </c>
      <c r="G78" s="162">
        <f t="shared" si="20"/>
        <v>57814.490000000005</v>
      </c>
      <c r="H78" s="162">
        <f t="shared" si="20"/>
        <v>57560.580000000009</v>
      </c>
      <c r="I78" s="162">
        <f t="shared" si="20"/>
        <v>57433.380000000019</v>
      </c>
      <c r="J78" s="162">
        <f t="shared" si="20"/>
        <v>57523.460000000006</v>
      </c>
      <c r="K78" s="162">
        <f t="shared" si="20"/>
        <v>57985.81</v>
      </c>
      <c r="L78" s="162">
        <f t="shared" ref="L78:Q78" si="21">SUM(L69:L77)</f>
        <v>58800.85</v>
      </c>
      <c r="M78" s="162">
        <f t="shared" si="21"/>
        <v>59998.130000000012</v>
      </c>
      <c r="N78" s="162">
        <f t="shared" si="21"/>
        <v>60378.280000000006</v>
      </c>
      <c r="O78" s="162">
        <f t="shared" si="21"/>
        <v>60849.290000000008</v>
      </c>
      <c r="P78" s="162">
        <f t="shared" si="21"/>
        <v>60943.289999999994</v>
      </c>
      <c r="Q78" s="162">
        <f t="shared" si="21"/>
        <v>60927.73</v>
      </c>
      <c r="R78" s="163">
        <f t="shared" si="16"/>
        <v>708424.05</v>
      </c>
      <c r="S78" s="162">
        <f>SUM(S69:S70,S76)</f>
        <v>9484.1763754045314</v>
      </c>
      <c r="T78" s="162">
        <f t="shared" ref="T78:AE78" si="22">SUM(T69:T70,T76)</f>
        <v>9388.9433656957935</v>
      </c>
      <c r="U78" s="162">
        <f t="shared" si="22"/>
        <v>9374.8818770226553</v>
      </c>
      <c r="V78" s="162">
        <f t="shared" si="22"/>
        <v>9361.1213592233034</v>
      </c>
      <c r="W78" s="162">
        <f t="shared" si="22"/>
        <v>9379.4045307443375</v>
      </c>
      <c r="X78" s="162">
        <f t="shared" si="22"/>
        <v>9344.9530744336571</v>
      </c>
      <c r="Y78" s="162">
        <f t="shared" si="22"/>
        <v>9468.8915857605189</v>
      </c>
      <c r="Z78" s="162">
        <f t="shared" si="22"/>
        <v>9626.758899676377</v>
      </c>
      <c r="AA78" s="162">
        <f t="shared" si="22"/>
        <v>9717.2556634304219</v>
      </c>
      <c r="AB78" s="162">
        <f t="shared" si="22"/>
        <v>9784.5420711974111</v>
      </c>
      <c r="AC78" s="162">
        <f t="shared" si="22"/>
        <v>9807.6601941747558</v>
      </c>
      <c r="AD78" s="162">
        <f t="shared" si="22"/>
        <v>9822.2572815533986</v>
      </c>
      <c r="AE78" s="163">
        <f t="shared" si="22"/>
        <v>114560.84627831714</v>
      </c>
    </row>
    <row r="79" spans="1:31" outlineLevel="1">
      <c r="B79" s="116"/>
      <c r="C79" s="159"/>
      <c r="D79" s="155"/>
      <c r="E79" s="155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7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7"/>
    </row>
    <row r="80" spans="1:31" outlineLevel="1">
      <c r="D80" s="155"/>
      <c r="E80" s="155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7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7"/>
    </row>
    <row r="81" spans="1:31" s="136" customFormat="1">
      <c r="B81" s="136" t="s">
        <v>423</v>
      </c>
      <c r="D81" s="155"/>
      <c r="E81" s="155"/>
      <c r="F81" s="167">
        <f t="shared" ref="F81:Q81" si="23">+F55+F66+F78</f>
        <v>601137.02</v>
      </c>
      <c r="G81" s="167">
        <f t="shared" si="23"/>
        <v>604050.93999999994</v>
      </c>
      <c r="H81" s="167">
        <f t="shared" si="23"/>
        <v>611786.88</v>
      </c>
      <c r="I81" s="167">
        <f t="shared" si="23"/>
        <v>612227.17000000004</v>
      </c>
      <c r="J81" s="167">
        <f t="shared" si="23"/>
        <v>608724.78</v>
      </c>
      <c r="K81" s="167">
        <f t="shared" si="23"/>
        <v>604928.4700000002</v>
      </c>
      <c r="L81" s="167">
        <f t="shared" si="23"/>
        <v>607970.96000000008</v>
      </c>
      <c r="M81" s="167">
        <f t="shared" si="23"/>
        <v>616229.62</v>
      </c>
      <c r="N81" s="167">
        <f t="shared" si="23"/>
        <v>618299.30000000005</v>
      </c>
      <c r="O81" s="167">
        <f t="shared" si="23"/>
        <v>623537.64000000013</v>
      </c>
      <c r="P81" s="167">
        <f t="shared" si="23"/>
        <v>625335.79</v>
      </c>
      <c r="Q81" s="167">
        <f t="shared" si="23"/>
        <v>624761.38</v>
      </c>
      <c r="R81" s="168">
        <f>SUM(F81:Q81)</f>
        <v>7358989.9500000011</v>
      </c>
      <c r="S81" s="167">
        <f t="shared" ref="S81:AE81" si="24">+S55+S66+S78</f>
        <v>47533.62215581366</v>
      </c>
      <c r="T81" s="167">
        <f t="shared" si="24"/>
        <v>47506.922951778841</v>
      </c>
      <c r="U81" s="167">
        <f t="shared" si="24"/>
        <v>47658.118181335209</v>
      </c>
      <c r="V81" s="167">
        <f t="shared" si="24"/>
        <v>47653.562743909592</v>
      </c>
      <c r="W81" s="167">
        <f t="shared" si="24"/>
        <v>47150.180343176478</v>
      </c>
      <c r="X81" s="167">
        <f t="shared" si="24"/>
        <v>48613.323098419278</v>
      </c>
      <c r="Y81" s="167">
        <f t="shared" si="24"/>
        <v>48318.051313894422</v>
      </c>
      <c r="Z81" s="167">
        <f t="shared" si="24"/>
        <v>48908.845099503698</v>
      </c>
      <c r="AA81" s="167">
        <f t="shared" si="24"/>
        <v>49147.847080448584</v>
      </c>
      <c r="AB81" s="167">
        <f t="shared" si="24"/>
        <v>49379.58557853497</v>
      </c>
      <c r="AC81" s="167">
        <f t="shared" si="24"/>
        <v>49545.314291458541</v>
      </c>
      <c r="AD81" s="167">
        <f t="shared" si="24"/>
        <v>49604.082737846104</v>
      </c>
      <c r="AE81" s="168">
        <f t="shared" si="24"/>
        <v>581019.45557611936</v>
      </c>
    </row>
    <row r="82" spans="1:31" s="136" customFormat="1">
      <c r="D82" s="155"/>
      <c r="E82" s="155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8"/>
    </row>
    <row r="83" spans="1:31" s="136" customFormat="1">
      <c r="D83" s="155"/>
      <c r="E83" s="155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8"/>
    </row>
    <row r="84" spans="1:31" outlineLevel="1">
      <c r="B84" s="150" t="s">
        <v>424</v>
      </c>
      <c r="C84" s="151"/>
      <c r="D84" s="155"/>
      <c r="E84" s="155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7"/>
    </row>
    <row r="85" spans="1:31" outlineLevel="1">
      <c r="B85" s="150"/>
      <c r="C85" s="151"/>
      <c r="D85" s="155"/>
      <c r="E85" s="155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7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7"/>
    </row>
    <row r="86" spans="1:31" outlineLevel="2">
      <c r="A86" s="135" t="s">
        <v>12</v>
      </c>
      <c r="B86" s="154" t="s">
        <v>425</v>
      </c>
      <c r="C86" s="151"/>
      <c r="D86" s="155"/>
      <c r="E86" s="155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7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7"/>
    </row>
    <row r="87" spans="1:31" outlineLevel="2">
      <c r="A87" s="135" t="str">
        <f t="shared" ref="A87:A150" si="25">+$A$5&amp;$A$86&amp;B87</f>
        <v>AmericanCommercial20CW1</v>
      </c>
      <c r="B87" s="116" t="s">
        <v>426</v>
      </c>
      <c r="C87" s="116" t="s">
        <v>199</v>
      </c>
      <c r="D87" s="155">
        <v>14.93</v>
      </c>
      <c r="E87" s="155">
        <v>15.45</v>
      </c>
      <c r="F87" s="156">
        <v>14.93</v>
      </c>
      <c r="G87" s="156">
        <v>15.31</v>
      </c>
      <c r="H87" s="156">
        <v>15.31</v>
      </c>
      <c r="I87" s="156">
        <v>15.31</v>
      </c>
      <c r="J87" s="156">
        <v>15.31</v>
      </c>
      <c r="K87" s="156">
        <v>15.45</v>
      </c>
      <c r="L87" s="156">
        <v>15.45</v>
      </c>
      <c r="M87" s="156">
        <v>15.45</v>
      </c>
      <c r="N87" s="156">
        <v>15.45</v>
      </c>
      <c r="O87" s="156">
        <v>15.45</v>
      </c>
      <c r="P87" s="156">
        <v>15.45</v>
      </c>
      <c r="Q87" s="156">
        <v>30.9</v>
      </c>
      <c r="R87" s="157">
        <f t="shared" ref="R87:R150" si="26">SUM(F87:Q87)</f>
        <v>199.76999999999998</v>
      </c>
      <c r="S87" s="158">
        <f t="shared" ref="S87:W102" si="27">+IFERROR(F87/$D87,0)</f>
        <v>1</v>
      </c>
      <c r="T87" s="158">
        <f t="shared" si="27"/>
        <v>1.0254521098459477</v>
      </c>
      <c r="U87" s="158">
        <f t="shared" si="27"/>
        <v>1.0254521098459477</v>
      </c>
      <c r="V87" s="158">
        <f t="shared" si="27"/>
        <v>1.0254521098459477</v>
      </c>
      <c r="W87" s="158">
        <f t="shared" si="27"/>
        <v>1.0254521098459477</v>
      </c>
      <c r="X87" s="158">
        <f t="shared" ref="X87:AD102" si="28">+IFERROR(K87/$E87,0)</f>
        <v>1</v>
      </c>
      <c r="Y87" s="158">
        <f t="shared" si="28"/>
        <v>1</v>
      </c>
      <c r="Z87" s="158">
        <f t="shared" si="28"/>
        <v>1</v>
      </c>
      <c r="AA87" s="158">
        <f t="shared" si="28"/>
        <v>1</v>
      </c>
      <c r="AB87" s="158">
        <f t="shared" si="28"/>
        <v>1</v>
      </c>
      <c r="AC87" s="158">
        <f t="shared" si="28"/>
        <v>1</v>
      </c>
      <c r="AD87" s="158">
        <f t="shared" si="28"/>
        <v>2</v>
      </c>
      <c r="AE87" s="157">
        <f t="shared" ref="AE87:AE113" si="29">+SUM(S87:AD87)/$AB$3</f>
        <v>13.101808439383792</v>
      </c>
    </row>
    <row r="88" spans="1:31" outlineLevel="2">
      <c r="A88" s="135" t="str">
        <f t="shared" si="25"/>
        <v>AmericanCommercial35CW1</v>
      </c>
      <c r="B88" s="116" t="s">
        <v>427</v>
      </c>
      <c r="C88" s="116" t="s">
        <v>200</v>
      </c>
      <c r="D88" s="155">
        <v>18.55</v>
      </c>
      <c r="E88" s="155">
        <v>19.260000000000002</v>
      </c>
      <c r="F88" s="156">
        <v>955.34</v>
      </c>
      <c r="G88" s="156">
        <v>970.05</v>
      </c>
      <c r="H88" s="156">
        <v>946.26</v>
      </c>
      <c r="I88" s="156">
        <v>913.45</v>
      </c>
      <c r="J88" s="156">
        <v>922.95</v>
      </c>
      <c r="K88" s="156">
        <v>943.74</v>
      </c>
      <c r="L88" s="156">
        <v>924.48</v>
      </c>
      <c r="M88" s="156">
        <v>895.6</v>
      </c>
      <c r="N88" s="156">
        <v>885.96</v>
      </c>
      <c r="O88" s="156">
        <v>876.33</v>
      </c>
      <c r="P88" s="156">
        <v>876.33</v>
      </c>
      <c r="Q88" s="156">
        <v>1016.09</v>
      </c>
      <c r="R88" s="157">
        <f t="shared" si="26"/>
        <v>11126.579999999998</v>
      </c>
      <c r="S88" s="158">
        <f t="shared" si="27"/>
        <v>51.50080862533693</v>
      </c>
      <c r="T88" s="158">
        <f t="shared" si="27"/>
        <v>52.293800539083556</v>
      </c>
      <c r="U88" s="158">
        <f t="shared" si="27"/>
        <v>51.011320754716976</v>
      </c>
      <c r="V88" s="158">
        <f t="shared" si="27"/>
        <v>49.242587601078171</v>
      </c>
      <c r="W88" s="158">
        <f t="shared" si="27"/>
        <v>49.754716981132077</v>
      </c>
      <c r="X88" s="158">
        <f t="shared" si="28"/>
        <v>49</v>
      </c>
      <c r="Y88" s="158">
        <f t="shared" si="28"/>
        <v>48</v>
      </c>
      <c r="Z88" s="158">
        <f t="shared" si="28"/>
        <v>46.500519210799581</v>
      </c>
      <c r="AA88" s="158">
        <f t="shared" si="28"/>
        <v>46</v>
      </c>
      <c r="AB88" s="158">
        <f t="shared" si="28"/>
        <v>45.5</v>
      </c>
      <c r="AC88" s="158">
        <f t="shared" si="28"/>
        <v>45.5</v>
      </c>
      <c r="AD88" s="158">
        <f t="shared" si="28"/>
        <v>52.756490134994806</v>
      </c>
      <c r="AE88" s="157">
        <f t="shared" si="29"/>
        <v>587.06024384714203</v>
      </c>
    </row>
    <row r="89" spans="1:31" outlineLevel="2">
      <c r="A89" s="135" t="str">
        <f t="shared" si="25"/>
        <v>AmericanCommercial65CW1</v>
      </c>
      <c r="B89" s="116" t="s">
        <v>428</v>
      </c>
      <c r="C89" s="116" t="s">
        <v>201</v>
      </c>
      <c r="D89" s="155">
        <v>27.8</v>
      </c>
      <c r="E89" s="155">
        <v>28.83</v>
      </c>
      <c r="F89" s="156">
        <v>778.4</v>
      </c>
      <c r="G89" s="156">
        <v>762.64</v>
      </c>
      <c r="H89" s="156">
        <v>819.66</v>
      </c>
      <c r="I89" s="156">
        <v>855.3</v>
      </c>
      <c r="J89" s="156">
        <v>826.79</v>
      </c>
      <c r="K89" s="156">
        <v>836.07</v>
      </c>
      <c r="L89" s="156">
        <v>893.73</v>
      </c>
      <c r="M89" s="156">
        <v>922.56</v>
      </c>
      <c r="N89" s="156">
        <v>951.39</v>
      </c>
      <c r="O89" s="156">
        <v>987.43</v>
      </c>
      <c r="P89" s="156">
        <v>1016.27</v>
      </c>
      <c r="Q89" s="156">
        <v>1095.54</v>
      </c>
      <c r="R89" s="157">
        <f t="shared" si="26"/>
        <v>10745.779999999999</v>
      </c>
      <c r="S89" s="158">
        <f t="shared" si="27"/>
        <v>28</v>
      </c>
      <c r="T89" s="158">
        <f t="shared" si="27"/>
        <v>27.433093525179856</v>
      </c>
      <c r="U89" s="158">
        <f t="shared" si="27"/>
        <v>29.484172661870502</v>
      </c>
      <c r="V89" s="158">
        <f t="shared" si="27"/>
        <v>30.766187050359711</v>
      </c>
      <c r="W89" s="158">
        <f t="shared" si="27"/>
        <v>29.740647482014385</v>
      </c>
      <c r="X89" s="158">
        <f t="shared" si="28"/>
        <v>29.000000000000004</v>
      </c>
      <c r="Y89" s="158">
        <f t="shared" si="28"/>
        <v>31.000000000000004</v>
      </c>
      <c r="Z89" s="158">
        <f t="shared" si="28"/>
        <v>32</v>
      </c>
      <c r="AA89" s="158">
        <f t="shared" si="28"/>
        <v>33</v>
      </c>
      <c r="AB89" s="158">
        <f t="shared" si="28"/>
        <v>34.250086715227191</v>
      </c>
      <c r="AC89" s="158">
        <f t="shared" si="28"/>
        <v>35.250433576135968</v>
      </c>
      <c r="AD89" s="158">
        <f t="shared" si="28"/>
        <v>38</v>
      </c>
      <c r="AE89" s="157">
        <f t="shared" si="29"/>
        <v>377.92462101078763</v>
      </c>
    </row>
    <row r="90" spans="1:31" outlineLevel="2">
      <c r="A90" s="135" t="str">
        <f t="shared" si="25"/>
        <v>AmericanCommercial95CW1</v>
      </c>
      <c r="B90" s="116" t="s">
        <v>429</v>
      </c>
      <c r="C90" s="116" t="s">
        <v>202</v>
      </c>
      <c r="D90" s="155">
        <v>38.89</v>
      </c>
      <c r="E90" s="155">
        <v>40.35</v>
      </c>
      <c r="F90" s="156">
        <v>583.35</v>
      </c>
      <c r="G90" s="156">
        <v>637.09</v>
      </c>
      <c r="H90" s="156">
        <v>676.97</v>
      </c>
      <c r="I90" s="156">
        <v>677.96</v>
      </c>
      <c r="J90" s="156">
        <v>677.96</v>
      </c>
      <c r="K90" s="156">
        <v>685.95</v>
      </c>
      <c r="L90" s="156">
        <v>605.25</v>
      </c>
      <c r="M90" s="156">
        <v>766.68</v>
      </c>
      <c r="N90" s="156">
        <v>655.69</v>
      </c>
      <c r="O90" s="156">
        <v>675.86</v>
      </c>
      <c r="P90" s="156">
        <v>726.31</v>
      </c>
      <c r="Q90" s="156">
        <v>766.65</v>
      </c>
      <c r="R90" s="157">
        <f t="shared" si="26"/>
        <v>8135.7199999999993</v>
      </c>
      <c r="S90" s="158">
        <f t="shared" si="27"/>
        <v>15</v>
      </c>
      <c r="T90" s="158">
        <f t="shared" si="27"/>
        <v>16.381846232964772</v>
      </c>
      <c r="U90" s="158">
        <f t="shared" si="27"/>
        <v>17.407302648495758</v>
      </c>
      <c r="V90" s="158">
        <f t="shared" si="27"/>
        <v>17.432759064026744</v>
      </c>
      <c r="W90" s="158">
        <f t="shared" si="27"/>
        <v>17.432759064026744</v>
      </c>
      <c r="X90" s="158">
        <f t="shared" si="28"/>
        <v>17</v>
      </c>
      <c r="Y90" s="158">
        <f t="shared" si="28"/>
        <v>15</v>
      </c>
      <c r="Z90" s="158">
        <f t="shared" si="28"/>
        <v>19.000743494423791</v>
      </c>
      <c r="AA90" s="158">
        <f t="shared" si="28"/>
        <v>16.250061957868649</v>
      </c>
      <c r="AB90" s="158">
        <f t="shared" si="28"/>
        <v>16.749938042131351</v>
      </c>
      <c r="AC90" s="158">
        <f t="shared" si="28"/>
        <v>18.000247831474596</v>
      </c>
      <c r="AD90" s="158">
        <f t="shared" si="28"/>
        <v>19</v>
      </c>
      <c r="AE90" s="157">
        <f t="shared" si="29"/>
        <v>204.6556583354124</v>
      </c>
    </row>
    <row r="91" spans="1:31" outlineLevel="2">
      <c r="A91" s="135" t="str">
        <f t="shared" si="25"/>
        <v>AmericanCommercialF1.5YD1W</v>
      </c>
      <c r="B91" s="116" t="s">
        <v>430</v>
      </c>
      <c r="C91" s="116" t="s">
        <v>84</v>
      </c>
      <c r="D91" s="155">
        <v>126</v>
      </c>
      <c r="E91" s="155">
        <v>127.74</v>
      </c>
      <c r="F91" s="156">
        <v>126</v>
      </c>
      <c r="G91" s="156">
        <v>126</v>
      </c>
      <c r="H91" s="156">
        <v>126</v>
      </c>
      <c r="I91" s="156">
        <v>126</v>
      </c>
      <c r="J91" s="156">
        <v>126</v>
      </c>
      <c r="K91" s="156">
        <v>127.74</v>
      </c>
      <c r="L91" s="156">
        <v>127.74</v>
      </c>
      <c r="M91" s="156">
        <v>127.74</v>
      </c>
      <c r="N91" s="156">
        <v>127.74</v>
      </c>
      <c r="O91" s="156">
        <v>127.74</v>
      </c>
      <c r="P91" s="156">
        <v>127.74</v>
      </c>
      <c r="Q91" s="156">
        <v>127.74</v>
      </c>
      <c r="R91" s="157">
        <f t="shared" si="26"/>
        <v>1524.18</v>
      </c>
      <c r="S91" s="158">
        <f t="shared" si="27"/>
        <v>1</v>
      </c>
      <c r="T91" s="158">
        <f t="shared" si="27"/>
        <v>1</v>
      </c>
      <c r="U91" s="158">
        <f t="shared" si="27"/>
        <v>1</v>
      </c>
      <c r="V91" s="158">
        <f t="shared" si="27"/>
        <v>1</v>
      </c>
      <c r="W91" s="158">
        <f t="shared" si="27"/>
        <v>1</v>
      </c>
      <c r="X91" s="158">
        <f t="shared" si="28"/>
        <v>1</v>
      </c>
      <c r="Y91" s="158">
        <f t="shared" si="28"/>
        <v>1</v>
      </c>
      <c r="Z91" s="158">
        <f t="shared" si="28"/>
        <v>1</v>
      </c>
      <c r="AA91" s="158">
        <f t="shared" si="28"/>
        <v>1</v>
      </c>
      <c r="AB91" s="158">
        <f t="shared" si="28"/>
        <v>1</v>
      </c>
      <c r="AC91" s="158">
        <f t="shared" si="28"/>
        <v>1</v>
      </c>
      <c r="AD91" s="158">
        <f t="shared" si="28"/>
        <v>1</v>
      </c>
      <c r="AE91" s="157">
        <f t="shared" si="29"/>
        <v>12</v>
      </c>
    </row>
    <row r="92" spans="1:31" outlineLevel="2">
      <c r="A92" s="135" t="str">
        <f t="shared" si="25"/>
        <v>AmericanCommercialF1YD1W</v>
      </c>
      <c r="B92" s="116" t="s">
        <v>431</v>
      </c>
      <c r="C92" s="116" t="s">
        <v>83</v>
      </c>
      <c r="D92" s="155">
        <v>91.15</v>
      </c>
      <c r="E92" s="155">
        <v>92.36</v>
      </c>
      <c r="F92" s="156">
        <v>91.15</v>
      </c>
      <c r="G92" s="156">
        <v>91.15</v>
      </c>
      <c r="H92" s="156">
        <v>91.15</v>
      </c>
      <c r="I92" s="156">
        <v>91.15</v>
      </c>
      <c r="J92" s="156">
        <v>91.15</v>
      </c>
      <c r="K92" s="156">
        <v>92.36</v>
      </c>
      <c r="L92" s="156">
        <v>92.36</v>
      </c>
      <c r="M92" s="156">
        <v>92.36</v>
      </c>
      <c r="N92" s="156">
        <v>23.09</v>
      </c>
      <c r="O92" s="156">
        <v>0</v>
      </c>
      <c r="P92" s="156">
        <v>0</v>
      </c>
      <c r="Q92" s="156">
        <v>0</v>
      </c>
      <c r="R92" s="157">
        <f t="shared" si="26"/>
        <v>755.92000000000007</v>
      </c>
      <c r="S92" s="158">
        <f t="shared" si="27"/>
        <v>1</v>
      </c>
      <c r="T92" s="158">
        <f t="shared" si="27"/>
        <v>1</v>
      </c>
      <c r="U92" s="158">
        <f t="shared" si="27"/>
        <v>1</v>
      </c>
      <c r="V92" s="158">
        <f t="shared" si="27"/>
        <v>1</v>
      </c>
      <c r="W92" s="158">
        <f t="shared" si="27"/>
        <v>1</v>
      </c>
      <c r="X92" s="158">
        <f t="shared" si="28"/>
        <v>1</v>
      </c>
      <c r="Y92" s="158">
        <f t="shared" si="28"/>
        <v>1</v>
      </c>
      <c r="Z92" s="158">
        <f t="shared" si="28"/>
        <v>1</v>
      </c>
      <c r="AA92" s="158">
        <f t="shared" si="28"/>
        <v>0.25</v>
      </c>
      <c r="AB92" s="158">
        <f t="shared" si="28"/>
        <v>0</v>
      </c>
      <c r="AC92" s="158">
        <f t="shared" si="28"/>
        <v>0</v>
      </c>
      <c r="AD92" s="158">
        <f t="shared" si="28"/>
        <v>0</v>
      </c>
      <c r="AE92" s="157">
        <f t="shared" si="29"/>
        <v>8.25</v>
      </c>
    </row>
    <row r="93" spans="1:31" outlineLevel="2">
      <c r="A93" s="135" t="str">
        <f t="shared" si="25"/>
        <v>AmericanCommercialF1YD2W</v>
      </c>
      <c r="B93" s="116" t="s">
        <v>432</v>
      </c>
      <c r="C93" s="116" t="s">
        <v>203</v>
      </c>
      <c r="D93" s="155">
        <v>182.29</v>
      </c>
      <c r="E93" s="155">
        <v>184.72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7">
        <f t="shared" si="26"/>
        <v>0</v>
      </c>
      <c r="S93" s="158">
        <f t="shared" si="27"/>
        <v>0</v>
      </c>
      <c r="T93" s="158">
        <f t="shared" si="27"/>
        <v>0</v>
      </c>
      <c r="U93" s="158">
        <f t="shared" si="27"/>
        <v>0</v>
      </c>
      <c r="V93" s="158">
        <f t="shared" si="27"/>
        <v>0</v>
      </c>
      <c r="W93" s="158">
        <f t="shared" si="27"/>
        <v>0</v>
      </c>
      <c r="X93" s="158">
        <f t="shared" si="28"/>
        <v>0</v>
      </c>
      <c r="Y93" s="158">
        <f t="shared" si="28"/>
        <v>0</v>
      </c>
      <c r="Z93" s="158">
        <f t="shared" si="28"/>
        <v>0</v>
      </c>
      <c r="AA93" s="158">
        <f t="shared" si="28"/>
        <v>0</v>
      </c>
      <c r="AB93" s="158">
        <f t="shared" si="28"/>
        <v>0</v>
      </c>
      <c r="AC93" s="158">
        <f t="shared" si="28"/>
        <v>0</v>
      </c>
      <c r="AD93" s="158">
        <f t="shared" si="28"/>
        <v>0</v>
      </c>
      <c r="AE93" s="157">
        <f t="shared" si="29"/>
        <v>0</v>
      </c>
    </row>
    <row r="94" spans="1:31" outlineLevel="2">
      <c r="A94" s="135" t="str">
        <f t="shared" si="25"/>
        <v>AmericanCommercialF1YDEX</v>
      </c>
      <c r="B94" s="116" t="s">
        <v>433</v>
      </c>
      <c r="C94" s="116" t="s">
        <v>204</v>
      </c>
      <c r="D94" s="155">
        <v>23.06</v>
      </c>
      <c r="E94" s="155">
        <v>23.34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7">
        <f t="shared" si="26"/>
        <v>0</v>
      </c>
      <c r="S94" s="158">
        <f t="shared" si="27"/>
        <v>0</v>
      </c>
      <c r="T94" s="158">
        <f t="shared" si="27"/>
        <v>0</v>
      </c>
      <c r="U94" s="158">
        <f t="shared" si="27"/>
        <v>0</v>
      </c>
      <c r="V94" s="158">
        <f t="shared" si="27"/>
        <v>0</v>
      </c>
      <c r="W94" s="158">
        <f t="shared" si="27"/>
        <v>0</v>
      </c>
      <c r="X94" s="158">
        <f t="shared" si="28"/>
        <v>0</v>
      </c>
      <c r="Y94" s="158">
        <f t="shared" si="28"/>
        <v>0</v>
      </c>
      <c r="Z94" s="158">
        <f t="shared" si="28"/>
        <v>0</v>
      </c>
      <c r="AA94" s="158">
        <f t="shared" si="28"/>
        <v>0</v>
      </c>
      <c r="AB94" s="158">
        <f t="shared" si="28"/>
        <v>0</v>
      </c>
      <c r="AC94" s="158">
        <f t="shared" si="28"/>
        <v>0</v>
      </c>
      <c r="AD94" s="158">
        <f t="shared" si="28"/>
        <v>0</v>
      </c>
      <c r="AE94" s="157">
        <f t="shared" si="29"/>
        <v>0</v>
      </c>
    </row>
    <row r="95" spans="1:31" outlineLevel="2">
      <c r="A95" s="135" t="str">
        <f t="shared" si="25"/>
        <v>AmericanCommercialF2YD1W</v>
      </c>
      <c r="B95" s="116" t="s">
        <v>434</v>
      </c>
      <c r="C95" s="116" t="s">
        <v>85</v>
      </c>
      <c r="D95" s="155">
        <v>156.96</v>
      </c>
      <c r="E95" s="155">
        <v>159.16999999999999</v>
      </c>
      <c r="F95" s="156">
        <v>941.76</v>
      </c>
      <c r="G95" s="156">
        <v>941.76</v>
      </c>
      <c r="H95" s="156">
        <v>941.76</v>
      </c>
      <c r="I95" s="156">
        <v>941.76</v>
      </c>
      <c r="J95" s="156">
        <v>941.76</v>
      </c>
      <c r="K95" s="156">
        <v>994.81</v>
      </c>
      <c r="L95" s="156">
        <v>1114.19</v>
      </c>
      <c r="M95" s="156">
        <v>1114.19</v>
      </c>
      <c r="N95" s="156">
        <v>1114.19</v>
      </c>
      <c r="O95" s="156">
        <v>1114.19</v>
      </c>
      <c r="P95" s="156">
        <v>1114.19</v>
      </c>
      <c r="Q95" s="156">
        <v>1114.19</v>
      </c>
      <c r="R95" s="157">
        <f t="shared" si="26"/>
        <v>12388.750000000004</v>
      </c>
      <c r="S95" s="158">
        <f t="shared" si="27"/>
        <v>6</v>
      </c>
      <c r="T95" s="158">
        <f t="shared" si="27"/>
        <v>6</v>
      </c>
      <c r="U95" s="158">
        <f t="shared" si="27"/>
        <v>6</v>
      </c>
      <c r="V95" s="158">
        <f t="shared" si="27"/>
        <v>6</v>
      </c>
      <c r="W95" s="158">
        <f t="shared" si="27"/>
        <v>6</v>
      </c>
      <c r="X95" s="158">
        <f t="shared" si="28"/>
        <v>6.2499842935226493</v>
      </c>
      <c r="Y95" s="158">
        <f t="shared" si="28"/>
        <v>7.0000000000000009</v>
      </c>
      <c r="Z95" s="158">
        <f t="shared" si="28"/>
        <v>7.0000000000000009</v>
      </c>
      <c r="AA95" s="158">
        <f t="shared" si="28"/>
        <v>7.0000000000000009</v>
      </c>
      <c r="AB95" s="158">
        <f t="shared" si="28"/>
        <v>7.0000000000000009</v>
      </c>
      <c r="AC95" s="158">
        <f t="shared" si="28"/>
        <v>7.0000000000000009</v>
      </c>
      <c r="AD95" s="158">
        <f t="shared" si="28"/>
        <v>7.0000000000000009</v>
      </c>
      <c r="AE95" s="157">
        <f t="shared" si="29"/>
        <v>78.249984293522658</v>
      </c>
    </row>
    <row r="96" spans="1:31" outlineLevel="2">
      <c r="A96" s="135" t="str">
        <f t="shared" si="25"/>
        <v>AmericanCommercialF2YD2W</v>
      </c>
      <c r="B96" s="116" t="s">
        <v>435</v>
      </c>
      <c r="C96" s="116" t="s">
        <v>86</v>
      </c>
      <c r="D96" s="155">
        <v>313.93</v>
      </c>
      <c r="E96" s="155">
        <v>318.33999999999997</v>
      </c>
      <c r="F96" s="156">
        <v>0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7">
        <f t="shared" si="26"/>
        <v>0</v>
      </c>
      <c r="S96" s="158">
        <f t="shared" si="27"/>
        <v>0</v>
      </c>
      <c r="T96" s="158">
        <f t="shared" si="27"/>
        <v>0</v>
      </c>
      <c r="U96" s="158">
        <f t="shared" si="27"/>
        <v>0</v>
      </c>
      <c r="V96" s="158">
        <f t="shared" si="27"/>
        <v>0</v>
      </c>
      <c r="W96" s="158">
        <f t="shared" si="27"/>
        <v>0</v>
      </c>
      <c r="X96" s="158">
        <f t="shared" si="28"/>
        <v>0</v>
      </c>
      <c r="Y96" s="158">
        <f t="shared" si="28"/>
        <v>0</v>
      </c>
      <c r="Z96" s="158">
        <f t="shared" si="28"/>
        <v>0</v>
      </c>
      <c r="AA96" s="158">
        <f t="shared" si="28"/>
        <v>0</v>
      </c>
      <c r="AB96" s="158">
        <f t="shared" si="28"/>
        <v>0</v>
      </c>
      <c r="AC96" s="158">
        <f t="shared" si="28"/>
        <v>0</v>
      </c>
      <c r="AD96" s="158">
        <f t="shared" si="28"/>
        <v>0</v>
      </c>
      <c r="AE96" s="157">
        <f t="shared" si="29"/>
        <v>0</v>
      </c>
    </row>
    <row r="97" spans="1:31" outlineLevel="2">
      <c r="A97" s="135" t="str">
        <f t="shared" si="25"/>
        <v>AmericanCommercialF2YD3W</v>
      </c>
      <c r="B97" s="116" t="s">
        <v>436</v>
      </c>
      <c r="C97" s="116" t="s">
        <v>122</v>
      </c>
      <c r="D97" s="155">
        <v>470.89</v>
      </c>
      <c r="E97" s="155">
        <v>477.51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7">
        <f t="shared" si="26"/>
        <v>0</v>
      </c>
      <c r="S97" s="158">
        <f t="shared" si="27"/>
        <v>0</v>
      </c>
      <c r="T97" s="158">
        <f t="shared" si="27"/>
        <v>0</v>
      </c>
      <c r="U97" s="158">
        <f t="shared" si="27"/>
        <v>0</v>
      </c>
      <c r="V97" s="158">
        <f t="shared" si="27"/>
        <v>0</v>
      </c>
      <c r="W97" s="158">
        <f t="shared" si="27"/>
        <v>0</v>
      </c>
      <c r="X97" s="158">
        <f t="shared" si="28"/>
        <v>0</v>
      </c>
      <c r="Y97" s="158">
        <f t="shared" si="28"/>
        <v>0</v>
      </c>
      <c r="Z97" s="158">
        <f t="shared" si="28"/>
        <v>0</v>
      </c>
      <c r="AA97" s="158">
        <f t="shared" si="28"/>
        <v>0</v>
      </c>
      <c r="AB97" s="158">
        <f t="shared" si="28"/>
        <v>0</v>
      </c>
      <c r="AC97" s="158">
        <f t="shared" si="28"/>
        <v>0</v>
      </c>
      <c r="AD97" s="158">
        <f t="shared" si="28"/>
        <v>0</v>
      </c>
      <c r="AE97" s="157">
        <f t="shared" si="29"/>
        <v>0</v>
      </c>
    </row>
    <row r="98" spans="1:31" outlineLevel="2">
      <c r="A98" s="135" t="str">
        <f t="shared" si="25"/>
        <v>AmericanCommercialF2YDEX</v>
      </c>
      <c r="B98" s="116" t="s">
        <v>437</v>
      </c>
      <c r="C98" s="116" t="s">
        <v>205</v>
      </c>
      <c r="D98" s="155">
        <v>38.26</v>
      </c>
      <c r="E98" s="155">
        <v>38.770000000000003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77.540000000000006</v>
      </c>
      <c r="N98" s="156">
        <v>0</v>
      </c>
      <c r="O98" s="156">
        <v>0</v>
      </c>
      <c r="P98" s="156">
        <v>38.770000000000003</v>
      </c>
      <c r="Q98" s="156">
        <v>38.770000000000003</v>
      </c>
      <c r="R98" s="157">
        <f t="shared" si="26"/>
        <v>155.08000000000001</v>
      </c>
      <c r="S98" s="158">
        <f t="shared" si="27"/>
        <v>0</v>
      </c>
      <c r="T98" s="158">
        <f t="shared" si="27"/>
        <v>0</v>
      </c>
      <c r="U98" s="158">
        <f t="shared" si="27"/>
        <v>0</v>
      </c>
      <c r="V98" s="158">
        <f t="shared" si="27"/>
        <v>0</v>
      </c>
      <c r="W98" s="158">
        <f t="shared" si="27"/>
        <v>0</v>
      </c>
      <c r="X98" s="158">
        <f t="shared" si="28"/>
        <v>0</v>
      </c>
      <c r="Y98" s="158">
        <f t="shared" si="28"/>
        <v>0</v>
      </c>
      <c r="Z98" s="158">
        <f t="shared" si="28"/>
        <v>2</v>
      </c>
      <c r="AA98" s="158">
        <f t="shared" si="28"/>
        <v>0</v>
      </c>
      <c r="AB98" s="158">
        <f t="shared" si="28"/>
        <v>0</v>
      </c>
      <c r="AC98" s="158">
        <f t="shared" si="28"/>
        <v>1</v>
      </c>
      <c r="AD98" s="158">
        <f t="shared" si="28"/>
        <v>1</v>
      </c>
      <c r="AE98" s="157">
        <f t="shared" si="29"/>
        <v>4</v>
      </c>
    </row>
    <row r="99" spans="1:31" outlineLevel="2">
      <c r="A99" s="135" t="str">
        <f t="shared" si="25"/>
        <v>AmericanCommercialF4YD1W</v>
      </c>
      <c r="B99" s="116" t="s">
        <v>438</v>
      </c>
      <c r="C99" s="116" t="s">
        <v>123</v>
      </c>
      <c r="D99" s="155">
        <v>294.79000000000002</v>
      </c>
      <c r="E99" s="155">
        <v>298.99</v>
      </c>
      <c r="F99" s="156">
        <v>15329.08</v>
      </c>
      <c r="G99" s="156">
        <v>15181.69</v>
      </c>
      <c r="H99" s="156">
        <v>15181.69</v>
      </c>
      <c r="I99" s="156">
        <v>14710.039999999999</v>
      </c>
      <c r="J99" s="156">
        <v>15255.38</v>
      </c>
      <c r="K99" s="156">
        <v>15547.48</v>
      </c>
      <c r="L99" s="156">
        <v>15397.98</v>
      </c>
      <c r="M99" s="156">
        <v>14650.51</v>
      </c>
      <c r="N99" s="156">
        <v>14351.53</v>
      </c>
      <c r="O99" s="156">
        <v>15024.25</v>
      </c>
      <c r="P99" s="156">
        <v>15099.01</v>
      </c>
      <c r="Q99" s="156">
        <v>14501.02</v>
      </c>
      <c r="R99" s="157">
        <f t="shared" si="26"/>
        <v>180229.66</v>
      </c>
      <c r="S99" s="158">
        <f t="shared" si="27"/>
        <v>51.999999999999993</v>
      </c>
      <c r="T99" s="158">
        <f t="shared" si="27"/>
        <v>51.500016961226635</v>
      </c>
      <c r="U99" s="158">
        <f t="shared" si="27"/>
        <v>51.500016961226635</v>
      </c>
      <c r="V99" s="158">
        <f t="shared" si="27"/>
        <v>49.900064452661212</v>
      </c>
      <c r="W99" s="158">
        <f t="shared" si="27"/>
        <v>51.749991519386676</v>
      </c>
      <c r="X99" s="158">
        <f t="shared" si="28"/>
        <v>52</v>
      </c>
      <c r="Y99" s="158">
        <f t="shared" si="28"/>
        <v>51.499983277032676</v>
      </c>
      <c r="Z99" s="158">
        <f t="shared" si="28"/>
        <v>49</v>
      </c>
      <c r="AA99" s="158">
        <f t="shared" si="28"/>
        <v>48.000033445934648</v>
      </c>
      <c r="AB99" s="158">
        <f t="shared" si="28"/>
        <v>50.250008361483658</v>
      </c>
      <c r="AC99" s="158">
        <f t="shared" si="28"/>
        <v>50.500050168901971</v>
      </c>
      <c r="AD99" s="158">
        <f t="shared" si="28"/>
        <v>48.500016722967324</v>
      </c>
      <c r="AE99" s="157">
        <f t="shared" si="29"/>
        <v>606.40018187082148</v>
      </c>
    </row>
    <row r="100" spans="1:31" outlineLevel="2">
      <c r="A100" s="135" t="str">
        <f t="shared" si="25"/>
        <v>AmericanCommercialF4YD2W</v>
      </c>
      <c r="B100" s="116" t="s">
        <v>439</v>
      </c>
      <c r="C100" s="116" t="s">
        <v>124</v>
      </c>
      <c r="D100" s="155">
        <v>589.57000000000005</v>
      </c>
      <c r="E100" s="155">
        <v>597.97</v>
      </c>
      <c r="F100" s="156">
        <v>6485.27</v>
      </c>
      <c r="G100" s="156">
        <v>6485.27</v>
      </c>
      <c r="H100" s="156">
        <v>6264.18</v>
      </c>
      <c r="I100" s="156">
        <v>5895.7</v>
      </c>
      <c r="J100" s="156">
        <v>5895.7</v>
      </c>
      <c r="K100" s="156">
        <v>5498</v>
      </c>
      <c r="L100" s="156">
        <v>5456.48</v>
      </c>
      <c r="M100" s="156">
        <v>5904.95</v>
      </c>
      <c r="N100" s="156">
        <v>5979.7</v>
      </c>
      <c r="O100" s="156">
        <v>5979.7</v>
      </c>
      <c r="P100" s="156">
        <v>5979.7</v>
      </c>
      <c r="Q100" s="156">
        <v>5979.7</v>
      </c>
      <c r="R100" s="157">
        <f t="shared" si="26"/>
        <v>71804.349999999991</v>
      </c>
      <c r="S100" s="158">
        <f t="shared" si="27"/>
        <v>11</v>
      </c>
      <c r="T100" s="158">
        <f t="shared" si="27"/>
        <v>11</v>
      </c>
      <c r="U100" s="158">
        <f t="shared" si="27"/>
        <v>10.624997879810708</v>
      </c>
      <c r="V100" s="158">
        <f t="shared" si="27"/>
        <v>9.9999999999999982</v>
      </c>
      <c r="W100" s="158">
        <f t="shared" si="27"/>
        <v>9.9999999999999982</v>
      </c>
      <c r="X100" s="158">
        <f t="shared" si="28"/>
        <v>9.1944411927019747</v>
      </c>
      <c r="Y100" s="158">
        <f t="shared" si="28"/>
        <v>9.1250062712176181</v>
      </c>
      <c r="Z100" s="158">
        <f t="shared" si="28"/>
        <v>9.8749937287823801</v>
      </c>
      <c r="AA100" s="158">
        <f t="shared" si="28"/>
        <v>10</v>
      </c>
      <c r="AB100" s="158">
        <f t="shared" si="28"/>
        <v>10</v>
      </c>
      <c r="AC100" s="158">
        <f t="shared" si="28"/>
        <v>10</v>
      </c>
      <c r="AD100" s="158">
        <f t="shared" si="28"/>
        <v>10</v>
      </c>
      <c r="AE100" s="157">
        <f t="shared" si="29"/>
        <v>120.81943907251268</v>
      </c>
    </row>
    <row r="101" spans="1:31" outlineLevel="2">
      <c r="A101" s="135" t="str">
        <f t="shared" si="25"/>
        <v>AmericanCommercialF4YD3W</v>
      </c>
      <c r="B101" s="116" t="s">
        <v>440</v>
      </c>
      <c r="C101" s="116" t="s">
        <v>125</v>
      </c>
      <c r="D101" s="155">
        <v>884.36</v>
      </c>
      <c r="E101" s="155">
        <v>896.96</v>
      </c>
      <c r="F101" s="156">
        <v>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>
        <v>0</v>
      </c>
      <c r="R101" s="157">
        <f t="shared" si="26"/>
        <v>0</v>
      </c>
      <c r="S101" s="158">
        <f t="shared" si="27"/>
        <v>0</v>
      </c>
      <c r="T101" s="158">
        <f t="shared" si="27"/>
        <v>0</v>
      </c>
      <c r="U101" s="158">
        <f t="shared" si="27"/>
        <v>0</v>
      </c>
      <c r="V101" s="158">
        <f t="shared" si="27"/>
        <v>0</v>
      </c>
      <c r="W101" s="158">
        <f t="shared" si="27"/>
        <v>0</v>
      </c>
      <c r="X101" s="158">
        <f t="shared" si="28"/>
        <v>0</v>
      </c>
      <c r="Y101" s="158">
        <f t="shared" si="28"/>
        <v>0</v>
      </c>
      <c r="Z101" s="158">
        <f t="shared" si="28"/>
        <v>0</v>
      </c>
      <c r="AA101" s="158">
        <f t="shared" si="28"/>
        <v>0</v>
      </c>
      <c r="AB101" s="158">
        <f t="shared" si="28"/>
        <v>0</v>
      </c>
      <c r="AC101" s="158">
        <f t="shared" si="28"/>
        <v>0</v>
      </c>
      <c r="AD101" s="158">
        <f t="shared" si="28"/>
        <v>0</v>
      </c>
      <c r="AE101" s="157">
        <f t="shared" si="29"/>
        <v>0</v>
      </c>
    </row>
    <row r="102" spans="1:31" outlineLevel="2">
      <c r="A102" s="135" t="str">
        <f t="shared" si="25"/>
        <v>AmericanCommercialF4YD4W</v>
      </c>
      <c r="B102" s="116" t="s">
        <v>441</v>
      </c>
      <c r="C102" s="116" t="s">
        <v>206</v>
      </c>
      <c r="D102" s="155">
        <v>0</v>
      </c>
      <c r="E102" s="155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>
        <v>0</v>
      </c>
      <c r="R102" s="157">
        <f t="shared" si="26"/>
        <v>0</v>
      </c>
      <c r="S102" s="158">
        <f t="shared" si="27"/>
        <v>0</v>
      </c>
      <c r="T102" s="158">
        <f t="shared" si="27"/>
        <v>0</v>
      </c>
      <c r="U102" s="158">
        <f t="shared" si="27"/>
        <v>0</v>
      </c>
      <c r="V102" s="158">
        <f t="shared" si="27"/>
        <v>0</v>
      </c>
      <c r="W102" s="158">
        <f t="shared" si="27"/>
        <v>0</v>
      </c>
      <c r="X102" s="158">
        <f t="shared" si="28"/>
        <v>0</v>
      </c>
      <c r="Y102" s="158">
        <f t="shared" si="28"/>
        <v>0</v>
      </c>
      <c r="Z102" s="158">
        <f t="shared" si="28"/>
        <v>0</v>
      </c>
      <c r="AA102" s="158">
        <f t="shared" si="28"/>
        <v>0</v>
      </c>
      <c r="AB102" s="158">
        <f t="shared" si="28"/>
        <v>0</v>
      </c>
      <c r="AC102" s="158">
        <f t="shared" si="28"/>
        <v>0</v>
      </c>
      <c r="AD102" s="158">
        <f t="shared" si="28"/>
        <v>0</v>
      </c>
      <c r="AE102" s="157">
        <f t="shared" si="29"/>
        <v>0</v>
      </c>
    </row>
    <row r="103" spans="1:31" outlineLevel="2">
      <c r="A103" s="135" t="str">
        <f t="shared" si="25"/>
        <v>AmericanCommercialF4YDEX</v>
      </c>
      <c r="B103" s="116" t="s">
        <v>442</v>
      </c>
      <c r="C103" s="116" t="s">
        <v>207</v>
      </c>
      <c r="D103" s="155">
        <v>70.09</v>
      </c>
      <c r="E103" s="155">
        <v>71.06</v>
      </c>
      <c r="F103" s="156">
        <v>0</v>
      </c>
      <c r="G103" s="156">
        <v>0</v>
      </c>
      <c r="H103" s="156">
        <v>70.09</v>
      </c>
      <c r="I103" s="156">
        <v>140.18</v>
      </c>
      <c r="J103" s="156">
        <v>0</v>
      </c>
      <c r="K103" s="156">
        <v>71.06</v>
      </c>
      <c r="L103" s="156">
        <v>71.06</v>
      </c>
      <c r="M103" s="156">
        <v>142.12</v>
      </c>
      <c r="N103" s="156">
        <v>0</v>
      </c>
      <c r="O103" s="156">
        <v>0</v>
      </c>
      <c r="P103" s="156">
        <v>0</v>
      </c>
      <c r="Q103" s="156">
        <v>0</v>
      </c>
      <c r="R103" s="157">
        <f t="shared" si="26"/>
        <v>494.51000000000005</v>
      </c>
      <c r="S103" s="158">
        <f t="shared" ref="S103:W153" si="30">+IFERROR(F103/$D103,0)</f>
        <v>0</v>
      </c>
      <c r="T103" s="158">
        <f t="shared" si="30"/>
        <v>0</v>
      </c>
      <c r="U103" s="158">
        <f t="shared" si="30"/>
        <v>1</v>
      </c>
      <c r="V103" s="158">
        <f t="shared" si="30"/>
        <v>2</v>
      </c>
      <c r="W103" s="158">
        <f t="shared" si="30"/>
        <v>0</v>
      </c>
      <c r="X103" s="158">
        <f t="shared" ref="X103:AD139" si="31">+IFERROR(K103/$E103,0)</f>
        <v>1</v>
      </c>
      <c r="Y103" s="158">
        <f t="shared" si="31"/>
        <v>1</v>
      </c>
      <c r="Z103" s="158">
        <f t="shared" si="31"/>
        <v>2</v>
      </c>
      <c r="AA103" s="158">
        <f t="shared" si="31"/>
        <v>0</v>
      </c>
      <c r="AB103" s="158">
        <f t="shared" si="31"/>
        <v>0</v>
      </c>
      <c r="AC103" s="158">
        <f t="shared" si="31"/>
        <v>0</v>
      </c>
      <c r="AD103" s="158">
        <f t="shared" si="31"/>
        <v>0</v>
      </c>
      <c r="AE103" s="157">
        <f t="shared" si="29"/>
        <v>7</v>
      </c>
    </row>
    <row r="104" spans="1:31" outlineLevel="2">
      <c r="A104" s="135" t="str">
        <f t="shared" si="25"/>
        <v>AmericanCommercialF6YD1W</v>
      </c>
      <c r="B104" s="116" t="s">
        <v>443</v>
      </c>
      <c r="C104" s="116" t="s">
        <v>126</v>
      </c>
      <c r="D104" s="155">
        <v>407.5</v>
      </c>
      <c r="E104" s="155">
        <v>413.26</v>
      </c>
      <c r="F104" s="156">
        <v>14262.5</v>
      </c>
      <c r="G104" s="156">
        <v>14466.25</v>
      </c>
      <c r="H104" s="156">
        <v>14262.5</v>
      </c>
      <c r="I104" s="156">
        <v>14670</v>
      </c>
      <c r="J104" s="156">
        <v>14568.14</v>
      </c>
      <c r="K104" s="156">
        <v>15393.94</v>
      </c>
      <c r="L104" s="156">
        <v>15290.63</v>
      </c>
      <c r="M104" s="156">
        <v>15910.51</v>
      </c>
      <c r="N104" s="156">
        <v>15703.88</v>
      </c>
      <c r="O104" s="156">
        <v>15703.88</v>
      </c>
      <c r="P104" s="156">
        <v>15703.88</v>
      </c>
      <c r="Q104" s="156">
        <v>15703.88</v>
      </c>
      <c r="R104" s="157">
        <f t="shared" si="26"/>
        <v>181639.99000000002</v>
      </c>
      <c r="S104" s="158">
        <f t="shared" si="30"/>
        <v>35</v>
      </c>
      <c r="T104" s="158">
        <f t="shared" si="30"/>
        <v>35.5</v>
      </c>
      <c r="U104" s="158">
        <f t="shared" si="30"/>
        <v>35</v>
      </c>
      <c r="V104" s="158">
        <f t="shared" si="30"/>
        <v>36</v>
      </c>
      <c r="W104" s="158">
        <f t="shared" si="30"/>
        <v>35.750036809815953</v>
      </c>
      <c r="X104" s="158">
        <f t="shared" si="31"/>
        <v>37.250012098920777</v>
      </c>
      <c r="Y104" s="158">
        <f t="shared" si="31"/>
        <v>37.000024197841554</v>
      </c>
      <c r="Z104" s="158">
        <f t="shared" si="31"/>
        <v>38.5</v>
      </c>
      <c r="AA104" s="158">
        <f t="shared" si="31"/>
        <v>38</v>
      </c>
      <c r="AB104" s="158">
        <f t="shared" si="31"/>
        <v>38</v>
      </c>
      <c r="AC104" s="158">
        <f t="shared" si="31"/>
        <v>38</v>
      </c>
      <c r="AD104" s="158">
        <f t="shared" si="31"/>
        <v>38</v>
      </c>
      <c r="AE104" s="157">
        <f t="shared" si="29"/>
        <v>442.00007310657827</v>
      </c>
    </row>
    <row r="105" spans="1:31" outlineLevel="2">
      <c r="A105" s="135" t="str">
        <f t="shared" si="25"/>
        <v>AmericanCommercialF6YD2W</v>
      </c>
      <c r="B105" s="116" t="s">
        <v>444</v>
      </c>
      <c r="C105" s="116" t="s">
        <v>127</v>
      </c>
      <c r="D105" s="155">
        <v>814.99</v>
      </c>
      <c r="E105" s="155">
        <v>826.51</v>
      </c>
      <c r="F105" s="156">
        <v>31784.61</v>
      </c>
      <c r="G105" s="156">
        <v>30969.62</v>
      </c>
      <c r="H105" s="156">
        <v>30969.62</v>
      </c>
      <c r="I105" s="156">
        <v>29849.01</v>
      </c>
      <c r="J105" s="156">
        <v>30154.63</v>
      </c>
      <c r="K105" s="156">
        <v>30741.58</v>
      </c>
      <c r="L105" s="156">
        <v>33473.660000000003</v>
      </c>
      <c r="M105" s="156">
        <v>35023.360000000001</v>
      </c>
      <c r="N105" s="156">
        <v>35539.93</v>
      </c>
      <c r="O105" s="156">
        <v>35333.300000000003</v>
      </c>
      <c r="P105" s="156">
        <v>34713.42</v>
      </c>
      <c r="Q105" s="156">
        <v>34713.42</v>
      </c>
      <c r="R105" s="157">
        <f t="shared" si="26"/>
        <v>393266.16</v>
      </c>
      <c r="S105" s="158">
        <f t="shared" si="30"/>
        <v>39</v>
      </c>
      <c r="T105" s="158">
        <f t="shared" si="30"/>
        <v>38</v>
      </c>
      <c r="U105" s="158">
        <f t="shared" si="30"/>
        <v>38</v>
      </c>
      <c r="V105" s="158">
        <f t="shared" si="30"/>
        <v>36.62500153376115</v>
      </c>
      <c r="W105" s="158">
        <f t="shared" si="30"/>
        <v>37</v>
      </c>
      <c r="X105" s="158">
        <f t="shared" si="31"/>
        <v>37.194444108359249</v>
      </c>
      <c r="Y105" s="158">
        <f t="shared" si="31"/>
        <v>40.500006049533589</v>
      </c>
      <c r="Z105" s="158">
        <f t="shared" si="31"/>
        <v>42.374998487616608</v>
      </c>
      <c r="AA105" s="158">
        <f t="shared" si="31"/>
        <v>43</v>
      </c>
      <c r="AB105" s="158">
        <f t="shared" si="31"/>
        <v>42.749996975233216</v>
      </c>
      <c r="AC105" s="158">
        <f t="shared" si="31"/>
        <v>42</v>
      </c>
      <c r="AD105" s="158">
        <f t="shared" si="31"/>
        <v>42</v>
      </c>
      <c r="AE105" s="157">
        <f t="shared" si="29"/>
        <v>478.44444715450379</v>
      </c>
    </row>
    <row r="106" spans="1:31" outlineLevel="2">
      <c r="A106" s="135" t="str">
        <f t="shared" si="25"/>
        <v>AmericanCommercialF6YD3W</v>
      </c>
      <c r="B106" s="116" t="s">
        <v>445</v>
      </c>
      <c r="C106" s="116" t="s">
        <v>128</v>
      </c>
      <c r="D106" s="155">
        <v>1222.49</v>
      </c>
      <c r="E106" s="155">
        <v>1239.77</v>
      </c>
      <c r="F106" s="156">
        <v>0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>
        <v>0</v>
      </c>
      <c r="R106" s="157">
        <f t="shared" si="26"/>
        <v>0</v>
      </c>
      <c r="S106" s="158">
        <f t="shared" si="30"/>
        <v>0</v>
      </c>
      <c r="T106" s="158">
        <f t="shared" si="30"/>
        <v>0</v>
      </c>
      <c r="U106" s="158">
        <f t="shared" si="30"/>
        <v>0</v>
      </c>
      <c r="V106" s="158">
        <f t="shared" si="30"/>
        <v>0</v>
      </c>
      <c r="W106" s="158">
        <f t="shared" si="30"/>
        <v>0</v>
      </c>
      <c r="X106" s="158">
        <f t="shared" si="31"/>
        <v>0</v>
      </c>
      <c r="Y106" s="158">
        <f t="shared" si="31"/>
        <v>0</v>
      </c>
      <c r="Z106" s="158">
        <f t="shared" si="31"/>
        <v>0</v>
      </c>
      <c r="AA106" s="158">
        <f t="shared" si="31"/>
        <v>0</v>
      </c>
      <c r="AB106" s="158">
        <f t="shared" si="31"/>
        <v>0</v>
      </c>
      <c r="AC106" s="158">
        <f t="shared" si="31"/>
        <v>0</v>
      </c>
      <c r="AD106" s="158">
        <f t="shared" si="31"/>
        <v>0</v>
      </c>
      <c r="AE106" s="157">
        <f t="shared" si="29"/>
        <v>0</v>
      </c>
    </row>
    <row r="107" spans="1:31" outlineLevel="2">
      <c r="A107" s="135" t="str">
        <f t="shared" si="25"/>
        <v>AmericanCommercialF6YD4W</v>
      </c>
      <c r="B107" s="116" t="s">
        <v>446</v>
      </c>
      <c r="C107" s="116" t="s">
        <v>129</v>
      </c>
      <c r="D107" s="155">
        <v>1629.99</v>
      </c>
      <c r="E107" s="155">
        <v>1653.02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6">
        <v>0</v>
      </c>
      <c r="Q107" s="156">
        <v>0</v>
      </c>
      <c r="R107" s="157">
        <f t="shared" si="26"/>
        <v>0</v>
      </c>
      <c r="S107" s="158">
        <f t="shared" si="30"/>
        <v>0</v>
      </c>
      <c r="T107" s="158">
        <f t="shared" si="30"/>
        <v>0</v>
      </c>
      <c r="U107" s="158">
        <f t="shared" si="30"/>
        <v>0</v>
      </c>
      <c r="V107" s="158">
        <f t="shared" si="30"/>
        <v>0</v>
      </c>
      <c r="W107" s="158">
        <f t="shared" si="30"/>
        <v>0</v>
      </c>
      <c r="X107" s="158">
        <f t="shared" si="31"/>
        <v>0</v>
      </c>
      <c r="Y107" s="158">
        <f t="shared" si="31"/>
        <v>0</v>
      </c>
      <c r="Z107" s="158">
        <f t="shared" si="31"/>
        <v>0</v>
      </c>
      <c r="AA107" s="158">
        <f t="shared" si="31"/>
        <v>0</v>
      </c>
      <c r="AB107" s="158">
        <f t="shared" si="31"/>
        <v>0</v>
      </c>
      <c r="AC107" s="158">
        <f t="shared" si="31"/>
        <v>0</v>
      </c>
      <c r="AD107" s="158">
        <f t="shared" si="31"/>
        <v>0</v>
      </c>
      <c r="AE107" s="157">
        <f t="shared" si="29"/>
        <v>0</v>
      </c>
    </row>
    <row r="108" spans="1:31" outlineLevel="2">
      <c r="A108" s="135" t="str">
        <f t="shared" si="25"/>
        <v>AmericanCommercialF6YD5W</v>
      </c>
      <c r="B108" s="116" t="s">
        <v>447</v>
      </c>
      <c r="C108" s="116" t="s">
        <v>130</v>
      </c>
      <c r="D108" s="155">
        <v>0</v>
      </c>
      <c r="E108" s="155">
        <v>0</v>
      </c>
      <c r="F108" s="156">
        <v>0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>
        <v>0</v>
      </c>
      <c r="R108" s="157">
        <f t="shared" si="26"/>
        <v>0</v>
      </c>
      <c r="S108" s="158">
        <f t="shared" si="30"/>
        <v>0</v>
      </c>
      <c r="T108" s="158">
        <f t="shared" si="30"/>
        <v>0</v>
      </c>
      <c r="U108" s="158">
        <f t="shared" si="30"/>
        <v>0</v>
      </c>
      <c r="V108" s="158">
        <f t="shared" si="30"/>
        <v>0</v>
      </c>
      <c r="W108" s="158">
        <f t="shared" si="30"/>
        <v>0</v>
      </c>
      <c r="X108" s="158">
        <f t="shared" si="31"/>
        <v>0</v>
      </c>
      <c r="Y108" s="158">
        <f t="shared" si="31"/>
        <v>0</v>
      </c>
      <c r="Z108" s="158">
        <f t="shared" si="31"/>
        <v>0</v>
      </c>
      <c r="AA108" s="158">
        <f t="shared" si="31"/>
        <v>0</v>
      </c>
      <c r="AB108" s="158">
        <f t="shared" si="31"/>
        <v>0</v>
      </c>
      <c r="AC108" s="158">
        <f t="shared" si="31"/>
        <v>0</v>
      </c>
      <c r="AD108" s="158">
        <f t="shared" si="31"/>
        <v>0</v>
      </c>
      <c r="AE108" s="157">
        <f t="shared" si="29"/>
        <v>0</v>
      </c>
    </row>
    <row r="109" spans="1:31" outlineLevel="2">
      <c r="A109" s="135" t="str">
        <f t="shared" si="25"/>
        <v>AmericanCommercialF6YDEX</v>
      </c>
      <c r="B109" s="116" t="s">
        <v>448</v>
      </c>
      <c r="C109" s="116" t="s">
        <v>208</v>
      </c>
      <c r="D109" s="155">
        <v>96.13</v>
      </c>
      <c r="E109" s="155">
        <v>97.46</v>
      </c>
      <c r="F109" s="156">
        <v>0</v>
      </c>
      <c r="G109" s="156">
        <v>96.13</v>
      </c>
      <c r="H109" s="156">
        <v>192.26</v>
      </c>
      <c r="I109" s="156">
        <v>96.13</v>
      </c>
      <c r="J109" s="156">
        <v>0</v>
      </c>
      <c r="K109" s="156">
        <v>97.46</v>
      </c>
      <c r="L109" s="156">
        <v>194.92</v>
      </c>
      <c r="M109" s="156">
        <v>435.32</v>
      </c>
      <c r="N109" s="156">
        <v>337.86</v>
      </c>
      <c r="O109" s="156">
        <v>217.66</v>
      </c>
      <c r="P109" s="156">
        <v>97.46</v>
      </c>
      <c r="Q109" s="156">
        <v>292.38</v>
      </c>
      <c r="R109" s="157">
        <f t="shared" si="26"/>
        <v>2057.58</v>
      </c>
      <c r="S109" s="158">
        <f t="shared" si="30"/>
        <v>0</v>
      </c>
      <c r="T109" s="158">
        <f t="shared" si="30"/>
        <v>1</v>
      </c>
      <c r="U109" s="158">
        <f t="shared" si="30"/>
        <v>2</v>
      </c>
      <c r="V109" s="158">
        <f t="shared" si="30"/>
        <v>1</v>
      </c>
      <c r="W109" s="158">
        <f t="shared" si="30"/>
        <v>0</v>
      </c>
      <c r="X109" s="158">
        <f t="shared" si="31"/>
        <v>1</v>
      </c>
      <c r="Y109" s="158">
        <f t="shared" si="31"/>
        <v>2</v>
      </c>
      <c r="Z109" s="158">
        <f t="shared" si="31"/>
        <v>4.4666529858403452</v>
      </c>
      <c r="AA109" s="158">
        <f t="shared" si="31"/>
        <v>3.4666529858403452</v>
      </c>
      <c r="AB109" s="158">
        <f t="shared" si="31"/>
        <v>2.2333264929201726</v>
      </c>
      <c r="AC109" s="158">
        <f t="shared" si="31"/>
        <v>1</v>
      </c>
      <c r="AD109" s="158">
        <f t="shared" si="31"/>
        <v>3</v>
      </c>
      <c r="AE109" s="157">
        <f t="shared" si="29"/>
        <v>21.166632464600863</v>
      </c>
    </row>
    <row r="110" spans="1:31" outlineLevel="2">
      <c r="A110" s="135" t="str">
        <f t="shared" si="25"/>
        <v>AmericanCommercialF8YD2W</v>
      </c>
      <c r="B110" s="116" t="s">
        <v>449</v>
      </c>
      <c r="C110" s="116" t="s">
        <v>209</v>
      </c>
      <c r="D110" s="155">
        <v>0</v>
      </c>
      <c r="E110" s="155">
        <v>0</v>
      </c>
      <c r="F110" s="156">
        <v>0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7">
        <f t="shared" si="26"/>
        <v>0</v>
      </c>
      <c r="S110" s="158">
        <f t="shared" si="30"/>
        <v>0</v>
      </c>
      <c r="T110" s="158">
        <f t="shared" si="30"/>
        <v>0</v>
      </c>
      <c r="U110" s="158">
        <f t="shared" si="30"/>
        <v>0</v>
      </c>
      <c r="V110" s="158">
        <f t="shared" si="30"/>
        <v>0</v>
      </c>
      <c r="W110" s="158">
        <f t="shared" si="30"/>
        <v>0</v>
      </c>
      <c r="X110" s="158">
        <f t="shared" si="31"/>
        <v>0</v>
      </c>
      <c r="Y110" s="158">
        <f t="shared" si="31"/>
        <v>0</v>
      </c>
      <c r="Z110" s="158">
        <f t="shared" si="31"/>
        <v>0</v>
      </c>
      <c r="AA110" s="158">
        <f t="shared" si="31"/>
        <v>0</v>
      </c>
      <c r="AB110" s="158">
        <f t="shared" si="31"/>
        <v>0</v>
      </c>
      <c r="AC110" s="158">
        <f t="shared" si="31"/>
        <v>0</v>
      </c>
      <c r="AD110" s="158">
        <f t="shared" si="31"/>
        <v>0</v>
      </c>
      <c r="AE110" s="157">
        <f t="shared" si="29"/>
        <v>0</v>
      </c>
    </row>
    <row r="111" spans="1:31" outlineLevel="2">
      <c r="A111" s="135" t="str">
        <f t="shared" si="25"/>
        <v>AmericanCommercialFCP2YD1W2.25-1</v>
      </c>
      <c r="B111" s="116" t="s">
        <v>450</v>
      </c>
      <c r="C111" s="116" t="s">
        <v>210</v>
      </c>
      <c r="D111" s="155">
        <v>334.19</v>
      </c>
      <c r="E111" s="155">
        <v>339.17</v>
      </c>
      <c r="F111" s="156">
        <v>0</v>
      </c>
      <c r="G111" s="156">
        <v>0</v>
      </c>
      <c r="H111" s="156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6">
        <v>0</v>
      </c>
      <c r="Q111" s="156">
        <v>0</v>
      </c>
      <c r="R111" s="157">
        <f t="shared" si="26"/>
        <v>0</v>
      </c>
      <c r="S111" s="158">
        <f t="shared" si="30"/>
        <v>0</v>
      </c>
      <c r="T111" s="158">
        <f t="shared" si="30"/>
        <v>0</v>
      </c>
      <c r="U111" s="158">
        <f t="shared" si="30"/>
        <v>0</v>
      </c>
      <c r="V111" s="158">
        <f t="shared" si="30"/>
        <v>0</v>
      </c>
      <c r="W111" s="158">
        <f t="shared" si="30"/>
        <v>0</v>
      </c>
      <c r="X111" s="158">
        <f t="shared" si="31"/>
        <v>0</v>
      </c>
      <c r="Y111" s="158">
        <f t="shared" si="31"/>
        <v>0</v>
      </c>
      <c r="Z111" s="158">
        <f t="shared" si="31"/>
        <v>0</v>
      </c>
      <c r="AA111" s="158">
        <f t="shared" si="31"/>
        <v>0</v>
      </c>
      <c r="AB111" s="158">
        <f t="shared" si="31"/>
        <v>0</v>
      </c>
      <c r="AC111" s="158">
        <f t="shared" si="31"/>
        <v>0</v>
      </c>
      <c r="AD111" s="158">
        <f t="shared" si="31"/>
        <v>0</v>
      </c>
      <c r="AE111" s="157">
        <f t="shared" si="29"/>
        <v>0</v>
      </c>
    </row>
    <row r="112" spans="1:31" outlineLevel="2">
      <c r="A112" s="135" t="str">
        <f t="shared" si="25"/>
        <v>AmericanCommercialFCP2YD1W4-1</v>
      </c>
      <c r="B112" s="116" t="s">
        <v>451</v>
      </c>
      <c r="C112" s="116" t="s">
        <v>452</v>
      </c>
      <c r="D112" s="155">
        <v>0</v>
      </c>
      <c r="E112" s="155">
        <v>0</v>
      </c>
      <c r="F112" s="156">
        <v>0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7">
        <f t="shared" si="26"/>
        <v>0</v>
      </c>
      <c r="S112" s="158">
        <f t="shared" si="30"/>
        <v>0</v>
      </c>
      <c r="T112" s="158">
        <f t="shared" si="30"/>
        <v>0</v>
      </c>
      <c r="U112" s="158">
        <f t="shared" si="30"/>
        <v>0</v>
      </c>
      <c r="V112" s="158">
        <f t="shared" si="30"/>
        <v>0</v>
      </c>
      <c r="W112" s="158">
        <f t="shared" si="30"/>
        <v>0</v>
      </c>
      <c r="X112" s="158">
        <f t="shared" si="31"/>
        <v>0</v>
      </c>
      <c r="Y112" s="158">
        <f t="shared" si="31"/>
        <v>0</v>
      </c>
      <c r="Z112" s="158">
        <f t="shared" si="31"/>
        <v>0</v>
      </c>
      <c r="AA112" s="158">
        <f t="shared" si="31"/>
        <v>0</v>
      </c>
      <c r="AB112" s="158">
        <f t="shared" si="31"/>
        <v>0</v>
      </c>
      <c r="AC112" s="158">
        <f t="shared" si="31"/>
        <v>0</v>
      </c>
      <c r="AD112" s="158">
        <f t="shared" si="31"/>
        <v>0</v>
      </c>
      <c r="AE112" s="157">
        <f t="shared" si="29"/>
        <v>0</v>
      </c>
    </row>
    <row r="113" spans="1:31" outlineLevel="2">
      <c r="A113" s="135" t="str">
        <f t="shared" si="25"/>
        <v>AmericanCommercialFCP2YD2W</v>
      </c>
      <c r="B113" s="116" t="s">
        <v>453</v>
      </c>
      <c r="C113" s="116" t="s">
        <v>454</v>
      </c>
      <c r="D113" s="155">
        <v>0</v>
      </c>
      <c r="E113" s="155">
        <v>0</v>
      </c>
      <c r="F113" s="156">
        <v>0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0</v>
      </c>
      <c r="Q113" s="156">
        <v>0</v>
      </c>
      <c r="R113" s="157">
        <f t="shared" si="26"/>
        <v>0</v>
      </c>
      <c r="S113" s="158">
        <f t="shared" si="30"/>
        <v>0</v>
      </c>
      <c r="T113" s="158">
        <f t="shared" si="30"/>
        <v>0</v>
      </c>
      <c r="U113" s="158">
        <f t="shared" si="30"/>
        <v>0</v>
      </c>
      <c r="V113" s="158">
        <f t="shared" si="30"/>
        <v>0</v>
      </c>
      <c r="W113" s="158">
        <f t="shared" si="30"/>
        <v>0</v>
      </c>
      <c r="X113" s="158">
        <f t="shared" si="31"/>
        <v>0</v>
      </c>
      <c r="Y113" s="158">
        <f t="shared" si="31"/>
        <v>0</v>
      </c>
      <c r="Z113" s="158">
        <f t="shared" si="31"/>
        <v>0</v>
      </c>
      <c r="AA113" s="158">
        <f t="shared" si="31"/>
        <v>0</v>
      </c>
      <c r="AB113" s="158">
        <f t="shared" si="31"/>
        <v>0</v>
      </c>
      <c r="AC113" s="158">
        <f t="shared" si="31"/>
        <v>0</v>
      </c>
      <c r="AD113" s="158">
        <f t="shared" si="31"/>
        <v>0</v>
      </c>
      <c r="AE113" s="157">
        <f t="shared" si="29"/>
        <v>0</v>
      </c>
    </row>
    <row r="114" spans="1:31" outlineLevel="2">
      <c r="A114" s="135" t="str">
        <f t="shared" si="25"/>
        <v>AmericanCommercialFCP4YD1W2.25-1</v>
      </c>
      <c r="B114" s="116" t="s">
        <v>455</v>
      </c>
      <c r="C114" s="116" t="s">
        <v>211</v>
      </c>
      <c r="D114" s="155">
        <v>605.94000000000005</v>
      </c>
      <c r="E114" s="155">
        <v>615.38</v>
      </c>
      <c r="F114" s="156">
        <v>0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6">
        <v>0</v>
      </c>
      <c r="Q114" s="156">
        <v>0</v>
      </c>
      <c r="R114" s="157">
        <f t="shared" si="26"/>
        <v>0</v>
      </c>
      <c r="S114" s="158">
        <f t="shared" si="30"/>
        <v>0</v>
      </c>
      <c r="T114" s="158">
        <f t="shared" si="30"/>
        <v>0</v>
      </c>
      <c r="U114" s="158">
        <f t="shared" si="30"/>
        <v>0</v>
      </c>
      <c r="V114" s="158">
        <f t="shared" si="30"/>
        <v>0</v>
      </c>
      <c r="W114" s="158">
        <f t="shared" si="30"/>
        <v>0</v>
      </c>
      <c r="X114" s="158">
        <f t="shared" si="31"/>
        <v>0</v>
      </c>
      <c r="Y114" s="158">
        <f t="shared" si="31"/>
        <v>0</v>
      </c>
      <c r="Z114" s="158">
        <f t="shared" si="31"/>
        <v>0</v>
      </c>
      <c r="AA114" s="158">
        <f t="shared" si="31"/>
        <v>0</v>
      </c>
      <c r="AB114" s="158">
        <f t="shared" si="31"/>
        <v>0</v>
      </c>
      <c r="AC114" s="158">
        <f t="shared" si="31"/>
        <v>0</v>
      </c>
      <c r="AD114" s="158">
        <f t="shared" si="31"/>
        <v>0</v>
      </c>
      <c r="AE114" s="157">
        <f t="shared" ref="AE114:AE156" si="32">+SUM(S114:AD114)/$AB$3</f>
        <v>0</v>
      </c>
    </row>
    <row r="115" spans="1:31" outlineLevel="2">
      <c r="A115" s="135" t="str">
        <f t="shared" si="25"/>
        <v>AmericanCommercialFCP4YD1W4-1</v>
      </c>
      <c r="B115" s="116" t="s">
        <v>456</v>
      </c>
      <c r="C115" s="116" t="s">
        <v>212</v>
      </c>
      <c r="D115" s="155">
        <v>966.33</v>
      </c>
      <c r="E115" s="155">
        <v>983.13</v>
      </c>
      <c r="F115" s="156">
        <v>0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56">
        <v>0</v>
      </c>
      <c r="Q115" s="156">
        <v>0</v>
      </c>
      <c r="R115" s="157">
        <f t="shared" si="26"/>
        <v>0</v>
      </c>
      <c r="S115" s="158">
        <f t="shared" si="30"/>
        <v>0</v>
      </c>
      <c r="T115" s="158">
        <f t="shared" si="30"/>
        <v>0</v>
      </c>
      <c r="U115" s="158">
        <f t="shared" si="30"/>
        <v>0</v>
      </c>
      <c r="V115" s="158">
        <f t="shared" si="30"/>
        <v>0</v>
      </c>
      <c r="W115" s="158">
        <f t="shared" si="30"/>
        <v>0</v>
      </c>
      <c r="X115" s="158">
        <f t="shared" si="31"/>
        <v>0</v>
      </c>
      <c r="Y115" s="158">
        <f t="shared" si="31"/>
        <v>0</v>
      </c>
      <c r="Z115" s="158">
        <f t="shared" si="31"/>
        <v>0</v>
      </c>
      <c r="AA115" s="158">
        <f t="shared" si="31"/>
        <v>0</v>
      </c>
      <c r="AB115" s="158">
        <f t="shared" si="31"/>
        <v>0</v>
      </c>
      <c r="AC115" s="158">
        <f t="shared" si="31"/>
        <v>0</v>
      </c>
      <c r="AD115" s="158">
        <f t="shared" si="31"/>
        <v>0</v>
      </c>
      <c r="AE115" s="157">
        <f t="shared" si="32"/>
        <v>0</v>
      </c>
    </row>
    <row r="116" spans="1:31" outlineLevel="2">
      <c r="A116" s="135" t="str">
        <f t="shared" si="25"/>
        <v>AmericanCommercialFCP4YD1W5-1</v>
      </c>
      <c r="B116" s="116" t="s">
        <v>457</v>
      </c>
      <c r="C116" s="116" t="s">
        <v>213</v>
      </c>
      <c r="D116" s="155">
        <v>1086.8699999999999</v>
      </c>
      <c r="E116" s="155">
        <v>1107.8699999999999</v>
      </c>
      <c r="F116" s="156">
        <v>0</v>
      </c>
      <c r="G116" s="156">
        <v>0</v>
      </c>
      <c r="H116" s="156">
        <v>0</v>
      </c>
      <c r="I116" s="156">
        <v>0</v>
      </c>
      <c r="J116" s="156">
        <v>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56">
        <v>0</v>
      </c>
      <c r="Q116" s="156">
        <v>0</v>
      </c>
      <c r="R116" s="157">
        <f t="shared" si="26"/>
        <v>0</v>
      </c>
      <c r="S116" s="158">
        <f t="shared" si="30"/>
        <v>0</v>
      </c>
      <c r="T116" s="158">
        <f t="shared" si="30"/>
        <v>0</v>
      </c>
      <c r="U116" s="158">
        <f t="shared" si="30"/>
        <v>0</v>
      </c>
      <c r="V116" s="158">
        <f t="shared" si="30"/>
        <v>0</v>
      </c>
      <c r="W116" s="158">
        <f t="shared" si="30"/>
        <v>0</v>
      </c>
      <c r="X116" s="158">
        <f t="shared" si="31"/>
        <v>0</v>
      </c>
      <c r="Y116" s="158">
        <f t="shared" si="31"/>
        <v>0</v>
      </c>
      <c r="Z116" s="158">
        <f t="shared" si="31"/>
        <v>0</v>
      </c>
      <c r="AA116" s="158">
        <f t="shared" si="31"/>
        <v>0</v>
      </c>
      <c r="AB116" s="158">
        <f t="shared" si="31"/>
        <v>0</v>
      </c>
      <c r="AC116" s="158">
        <f t="shared" si="31"/>
        <v>0</v>
      </c>
      <c r="AD116" s="158">
        <f t="shared" si="31"/>
        <v>0</v>
      </c>
      <c r="AE116" s="157">
        <f t="shared" si="32"/>
        <v>0</v>
      </c>
    </row>
    <row r="117" spans="1:31" outlineLevel="2">
      <c r="A117" s="135" t="str">
        <f t="shared" si="25"/>
        <v>AmericanCommercialFCP4YDEOW5-1</v>
      </c>
      <c r="B117" s="116" t="s">
        <v>458</v>
      </c>
      <c r="C117" s="116" t="s">
        <v>214</v>
      </c>
      <c r="D117" s="155">
        <v>544.69000000000005</v>
      </c>
      <c r="E117" s="155">
        <v>555.22</v>
      </c>
      <c r="F117" s="156">
        <v>544.69000000000005</v>
      </c>
      <c r="G117" s="156">
        <v>544.69000000000005</v>
      </c>
      <c r="H117" s="156">
        <v>544.69000000000005</v>
      </c>
      <c r="I117" s="156">
        <v>544.69000000000005</v>
      </c>
      <c r="J117" s="156">
        <v>544.69000000000005</v>
      </c>
      <c r="K117" s="156">
        <v>555.22</v>
      </c>
      <c r="L117" s="156">
        <v>555.22</v>
      </c>
      <c r="M117" s="156">
        <v>555.22</v>
      </c>
      <c r="N117" s="156">
        <v>555.22</v>
      </c>
      <c r="O117" s="156">
        <v>555.22</v>
      </c>
      <c r="P117" s="156">
        <v>555.22</v>
      </c>
      <c r="Q117" s="156">
        <v>555.22</v>
      </c>
      <c r="R117" s="157">
        <f t="shared" si="26"/>
        <v>6609.9900000000016</v>
      </c>
      <c r="S117" s="158">
        <f t="shared" si="30"/>
        <v>1</v>
      </c>
      <c r="T117" s="158">
        <f t="shared" si="30"/>
        <v>1</v>
      </c>
      <c r="U117" s="158">
        <f t="shared" si="30"/>
        <v>1</v>
      </c>
      <c r="V117" s="158">
        <f t="shared" si="30"/>
        <v>1</v>
      </c>
      <c r="W117" s="158">
        <f t="shared" si="30"/>
        <v>1</v>
      </c>
      <c r="X117" s="158">
        <f t="shared" si="31"/>
        <v>1</v>
      </c>
      <c r="Y117" s="158">
        <f t="shared" si="31"/>
        <v>1</v>
      </c>
      <c r="Z117" s="158">
        <f t="shared" si="31"/>
        <v>1</v>
      </c>
      <c r="AA117" s="158">
        <f t="shared" si="31"/>
        <v>1</v>
      </c>
      <c r="AB117" s="158">
        <f t="shared" si="31"/>
        <v>1</v>
      </c>
      <c r="AC117" s="158">
        <f t="shared" si="31"/>
        <v>1</v>
      </c>
      <c r="AD117" s="158">
        <f t="shared" si="31"/>
        <v>1</v>
      </c>
      <c r="AE117" s="157">
        <f t="shared" si="32"/>
        <v>12</v>
      </c>
    </row>
    <row r="118" spans="1:31" outlineLevel="2">
      <c r="A118" s="135" t="str">
        <f t="shared" si="25"/>
        <v>AmericanCommercialFCP4YDOC5-1</v>
      </c>
      <c r="B118" s="116" t="s">
        <v>459</v>
      </c>
      <c r="C118" s="116" t="s">
        <v>215</v>
      </c>
      <c r="D118" s="155">
        <v>257.06</v>
      </c>
      <c r="E118" s="155">
        <v>261.91000000000003</v>
      </c>
      <c r="F118" s="156">
        <v>0</v>
      </c>
      <c r="G118" s="156">
        <v>0</v>
      </c>
      <c r="H118" s="156">
        <v>0</v>
      </c>
      <c r="I118" s="156">
        <v>0</v>
      </c>
      <c r="J118" s="156">
        <v>0</v>
      </c>
      <c r="K118" s="156">
        <v>0</v>
      </c>
      <c r="L118" s="156">
        <v>0</v>
      </c>
      <c r="M118" s="156">
        <v>0</v>
      </c>
      <c r="N118" s="156">
        <v>0</v>
      </c>
      <c r="O118" s="156">
        <v>0</v>
      </c>
      <c r="P118" s="156">
        <v>0</v>
      </c>
      <c r="Q118" s="156">
        <v>0</v>
      </c>
      <c r="R118" s="157">
        <f t="shared" si="26"/>
        <v>0</v>
      </c>
      <c r="S118" s="158">
        <f t="shared" si="30"/>
        <v>0</v>
      </c>
      <c r="T118" s="158">
        <f t="shared" si="30"/>
        <v>0</v>
      </c>
      <c r="U118" s="158">
        <f t="shared" si="30"/>
        <v>0</v>
      </c>
      <c r="V118" s="158">
        <f t="shared" si="30"/>
        <v>0</v>
      </c>
      <c r="W118" s="158">
        <f t="shared" si="30"/>
        <v>0</v>
      </c>
      <c r="X118" s="158">
        <f t="shared" si="31"/>
        <v>0</v>
      </c>
      <c r="Y118" s="158">
        <f t="shared" si="31"/>
        <v>0</v>
      </c>
      <c r="Z118" s="158">
        <f t="shared" si="31"/>
        <v>0</v>
      </c>
      <c r="AA118" s="158">
        <f t="shared" si="31"/>
        <v>0</v>
      </c>
      <c r="AB118" s="158">
        <f t="shared" si="31"/>
        <v>0</v>
      </c>
      <c r="AC118" s="158">
        <f t="shared" si="31"/>
        <v>0</v>
      </c>
      <c r="AD118" s="158">
        <f t="shared" si="31"/>
        <v>0</v>
      </c>
      <c r="AE118" s="157">
        <f t="shared" si="32"/>
        <v>0</v>
      </c>
    </row>
    <row r="119" spans="1:31" outlineLevel="2">
      <c r="A119" s="135" t="str">
        <f t="shared" si="25"/>
        <v>AmericanCommercialFCP6YD2W</v>
      </c>
      <c r="B119" s="116" t="s">
        <v>460</v>
      </c>
      <c r="C119" s="116" t="s">
        <v>461</v>
      </c>
      <c r="D119" s="155">
        <v>0</v>
      </c>
      <c r="E119" s="155">
        <v>0</v>
      </c>
      <c r="F119" s="156">
        <v>0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  <c r="Q119" s="156">
        <v>0</v>
      </c>
      <c r="R119" s="157">
        <f t="shared" si="26"/>
        <v>0</v>
      </c>
      <c r="S119" s="158">
        <f t="shared" si="30"/>
        <v>0</v>
      </c>
      <c r="T119" s="158">
        <f t="shared" si="30"/>
        <v>0</v>
      </c>
      <c r="U119" s="158">
        <f t="shared" si="30"/>
        <v>0</v>
      </c>
      <c r="V119" s="158">
        <f t="shared" si="30"/>
        <v>0</v>
      </c>
      <c r="W119" s="158">
        <f t="shared" si="30"/>
        <v>0</v>
      </c>
      <c r="X119" s="158">
        <f t="shared" si="31"/>
        <v>0</v>
      </c>
      <c r="Y119" s="158">
        <f t="shared" si="31"/>
        <v>0</v>
      </c>
      <c r="Z119" s="158">
        <f t="shared" si="31"/>
        <v>0</v>
      </c>
      <c r="AA119" s="158">
        <f t="shared" si="31"/>
        <v>0</v>
      </c>
      <c r="AB119" s="158">
        <f t="shared" si="31"/>
        <v>0</v>
      </c>
      <c r="AC119" s="158">
        <f t="shared" si="31"/>
        <v>0</v>
      </c>
      <c r="AD119" s="158">
        <f t="shared" si="31"/>
        <v>0</v>
      </c>
      <c r="AE119" s="157">
        <f>+SUM(S119:AD119)/$AB$3</f>
        <v>0</v>
      </c>
    </row>
    <row r="120" spans="1:31" outlineLevel="2">
      <c r="A120" s="135" t="str">
        <f t="shared" si="25"/>
        <v>AmericanCommercialFCP6YD2W3-1</v>
      </c>
      <c r="B120" s="116" t="s">
        <v>462</v>
      </c>
      <c r="C120" s="116" t="s">
        <v>216</v>
      </c>
      <c r="D120" s="155">
        <v>2139.9699999999998</v>
      </c>
      <c r="E120" s="155">
        <v>2174.5300000000002</v>
      </c>
      <c r="F120" s="156">
        <v>2139.9699999999998</v>
      </c>
      <c r="G120" s="156">
        <v>2139.9699999999998</v>
      </c>
      <c r="H120" s="156">
        <v>2139.9699999999998</v>
      </c>
      <c r="I120" s="156">
        <v>2139.9699999999998</v>
      </c>
      <c r="J120" s="156">
        <v>2139.9699999999998</v>
      </c>
      <c r="K120" s="156">
        <v>2174.5300000000002</v>
      </c>
      <c r="L120" s="156">
        <v>2174.5300000000002</v>
      </c>
      <c r="M120" s="156">
        <v>2174.5300000000002</v>
      </c>
      <c r="N120" s="156">
        <v>2174.5300000000002</v>
      </c>
      <c r="O120" s="156">
        <v>2174.5300000000002</v>
      </c>
      <c r="P120" s="156">
        <v>2174.5300000000002</v>
      </c>
      <c r="Q120" s="156">
        <v>2174.5300000000002</v>
      </c>
      <c r="R120" s="157">
        <f t="shared" si="26"/>
        <v>25921.559999999994</v>
      </c>
      <c r="S120" s="158">
        <f t="shared" si="30"/>
        <v>1</v>
      </c>
      <c r="T120" s="158">
        <f t="shared" si="30"/>
        <v>1</v>
      </c>
      <c r="U120" s="158">
        <f t="shared" si="30"/>
        <v>1</v>
      </c>
      <c r="V120" s="158">
        <f t="shared" si="30"/>
        <v>1</v>
      </c>
      <c r="W120" s="158">
        <f t="shared" si="30"/>
        <v>1</v>
      </c>
      <c r="X120" s="158">
        <f t="shared" si="31"/>
        <v>1</v>
      </c>
      <c r="Y120" s="158">
        <f t="shared" si="31"/>
        <v>1</v>
      </c>
      <c r="Z120" s="158">
        <f t="shared" si="31"/>
        <v>1</v>
      </c>
      <c r="AA120" s="158">
        <f t="shared" si="31"/>
        <v>1</v>
      </c>
      <c r="AB120" s="158">
        <f t="shared" si="31"/>
        <v>1</v>
      </c>
      <c r="AC120" s="158">
        <f t="shared" si="31"/>
        <v>1</v>
      </c>
      <c r="AD120" s="158">
        <f t="shared" si="31"/>
        <v>1</v>
      </c>
      <c r="AE120" s="157">
        <f t="shared" si="32"/>
        <v>12</v>
      </c>
    </row>
    <row r="121" spans="1:31" outlineLevel="2">
      <c r="A121" s="135" t="str">
        <f t="shared" si="25"/>
        <v>AmericanCommercialFCP6YD2W4-1</v>
      </c>
      <c r="B121" s="116" t="s">
        <v>463</v>
      </c>
      <c r="C121" s="116" t="s">
        <v>217</v>
      </c>
      <c r="D121" s="155">
        <v>2755.09</v>
      </c>
      <c r="E121" s="155">
        <v>2801.16</v>
      </c>
      <c r="F121" s="156">
        <v>0</v>
      </c>
      <c r="G121" s="156">
        <v>0</v>
      </c>
      <c r="H121" s="156">
        <v>0</v>
      </c>
      <c r="I121" s="156">
        <v>0</v>
      </c>
      <c r="J121" s="156">
        <v>0</v>
      </c>
      <c r="K121" s="156">
        <v>0</v>
      </c>
      <c r="L121" s="156">
        <v>0</v>
      </c>
      <c r="M121" s="156">
        <v>0</v>
      </c>
      <c r="N121" s="156">
        <v>0</v>
      </c>
      <c r="O121" s="156">
        <v>0</v>
      </c>
      <c r="P121" s="156">
        <v>0</v>
      </c>
      <c r="Q121" s="156">
        <v>0</v>
      </c>
      <c r="R121" s="157">
        <f t="shared" si="26"/>
        <v>0</v>
      </c>
      <c r="S121" s="158">
        <f t="shared" si="30"/>
        <v>0</v>
      </c>
      <c r="T121" s="158">
        <f t="shared" si="30"/>
        <v>0</v>
      </c>
      <c r="U121" s="158">
        <f t="shared" si="30"/>
        <v>0</v>
      </c>
      <c r="V121" s="158">
        <f t="shared" si="30"/>
        <v>0</v>
      </c>
      <c r="W121" s="158">
        <f t="shared" si="30"/>
        <v>0</v>
      </c>
      <c r="X121" s="158">
        <f t="shared" si="31"/>
        <v>0</v>
      </c>
      <c r="Y121" s="158">
        <f t="shared" si="31"/>
        <v>0</v>
      </c>
      <c r="Z121" s="158">
        <f t="shared" si="31"/>
        <v>0</v>
      </c>
      <c r="AA121" s="158">
        <f t="shared" si="31"/>
        <v>0</v>
      </c>
      <c r="AB121" s="158">
        <f t="shared" si="31"/>
        <v>0</v>
      </c>
      <c r="AC121" s="158">
        <f t="shared" si="31"/>
        <v>0</v>
      </c>
      <c r="AD121" s="158">
        <f t="shared" si="31"/>
        <v>0</v>
      </c>
      <c r="AE121" s="157">
        <f t="shared" si="32"/>
        <v>0</v>
      </c>
    </row>
    <row r="122" spans="1:31" outlineLevel="2">
      <c r="A122" s="135" t="str">
        <f t="shared" si="25"/>
        <v>AmericanCommercialPACKC</v>
      </c>
      <c r="B122" s="116" t="s">
        <v>464</v>
      </c>
      <c r="C122" s="116" t="s">
        <v>465</v>
      </c>
      <c r="D122" s="155">
        <v>2.08</v>
      </c>
      <c r="E122" s="155">
        <v>2.08</v>
      </c>
      <c r="F122" s="156">
        <v>10.4</v>
      </c>
      <c r="G122" s="156">
        <v>10.4</v>
      </c>
      <c r="H122" s="156">
        <v>10.4</v>
      </c>
      <c r="I122" s="156">
        <v>10.4</v>
      </c>
      <c r="J122" s="156">
        <v>10.4</v>
      </c>
      <c r="K122" s="156">
        <v>10.4</v>
      </c>
      <c r="L122" s="156">
        <v>10.4</v>
      </c>
      <c r="M122" s="156">
        <v>6.24</v>
      </c>
      <c r="N122" s="156">
        <v>6.24</v>
      </c>
      <c r="O122" s="156">
        <v>6.24</v>
      </c>
      <c r="P122" s="156">
        <v>6.24</v>
      </c>
      <c r="Q122" s="156">
        <v>6.24</v>
      </c>
      <c r="R122" s="157">
        <f t="shared" si="26"/>
        <v>103.99999999999997</v>
      </c>
      <c r="S122" s="158">
        <f t="shared" si="30"/>
        <v>5</v>
      </c>
      <c r="T122" s="158">
        <f t="shared" si="30"/>
        <v>5</v>
      </c>
      <c r="U122" s="158">
        <f t="shared" si="30"/>
        <v>5</v>
      </c>
      <c r="V122" s="158">
        <f t="shared" si="30"/>
        <v>5</v>
      </c>
      <c r="W122" s="158">
        <f t="shared" si="30"/>
        <v>5</v>
      </c>
      <c r="X122" s="158">
        <f t="shared" si="31"/>
        <v>5</v>
      </c>
      <c r="Y122" s="158">
        <f t="shared" si="31"/>
        <v>5</v>
      </c>
      <c r="Z122" s="158">
        <f t="shared" si="31"/>
        <v>3</v>
      </c>
      <c r="AA122" s="158">
        <f t="shared" si="31"/>
        <v>3</v>
      </c>
      <c r="AB122" s="158">
        <f t="shared" si="31"/>
        <v>3</v>
      </c>
      <c r="AC122" s="158">
        <f t="shared" si="31"/>
        <v>3</v>
      </c>
      <c r="AD122" s="158">
        <f t="shared" si="31"/>
        <v>3</v>
      </c>
      <c r="AE122" s="157">
        <f t="shared" si="32"/>
        <v>50</v>
      </c>
    </row>
    <row r="123" spans="1:31" outlineLevel="2">
      <c r="A123" s="135" t="str">
        <f t="shared" si="25"/>
        <v>AmericanCommercialR1.5YD1W</v>
      </c>
      <c r="B123" s="116" t="s">
        <v>466</v>
      </c>
      <c r="C123" s="116" t="s">
        <v>467</v>
      </c>
      <c r="D123" s="155">
        <v>126</v>
      </c>
      <c r="E123" s="155">
        <v>127.74</v>
      </c>
      <c r="F123" s="156">
        <v>2488.5</v>
      </c>
      <c r="G123" s="156">
        <v>2488.5</v>
      </c>
      <c r="H123" s="156">
        <v>2646</v>
      </c>
      <c r="I123" s="156">
        <v>2551.5</v>
      </c>
      <c r="J123" s="156">
        <v>2488.5</v>
      </c>
      <c r="K123" s="156">
        <v>2554.8000000000002</v>
      </c>
      <c r="L123" s="156">
        <v>2554.8000000000002</v>
      </c>
      <c r="M123" s="156">
        <v>2554.8000000000002</v>
      </c>
      <c r="N123" s="156">
        <v>2427.06</v>
      </c>
      <c r="O123" s="156">
        <v>2363.1999999999998</v>
      </c>
      <c r="P123" s="156">
        <v>2299.3200000000002</v>
      </c>
      <c r="Q123" s="156">
        <v>2267.39</v>
      </c>
      <c r="R123" s="157">
        <f t="shared" si="26"/>
        <v>29684.37</v>
      </c>
      <c r="S123" s="158">
        <f t="shared" si="30"/>
        <v>19.75</v>
      </c>
      <c r="T123" s="158">
        <f t="shared" si="30"/>
        <v>19.75</v>
      </c>
      <c r="U123" s="158">
        <f t="shared" si="30"/>
        <v>21</v>
      </c>
      <c r="V123" s="158">
        <f t="shared" si="30"/>
        <v>20.25</v>
      </c>
      <c r="W123" s="158">
        <f t="shared" si="30"/>
        <v>19.75</v>
      </c>
      <c r="X123" s="158">
        <f t="shared" si="31"/>
        <v>20.000000000000004</v>
      </c>
      <c r="Y123" s="158">
        <f t="shared" si="31"/>
        <v>20.000000000000004</v>
      </c>
      <c r="Z123" s="158">
        <f t="shared" si="31"/>
        <v>20.000000000000004</v>
      </c>
      <c r="AA123" s="158">
        <f t="shared" si="31"/>
        <v>19</v>
      </c>
      <c r="AB123" s="158">
        <f t="shared" si="31"/>
        <v>18.500078284014403</v>
      </c>
      <c r="AC123" s="158">
        <f t="shared" si="31"/>
        <v>18.000000000000004</v>
      </c>
      <c r="AD123" s="158">
        <f t="shared" si="31"/>
        <v>17.750039142007203</v>
      </c>
      <c r="AE123" s="157">
        <f t="shared" si="32"/>
        <v>233.7501174260216</v>
      </c>
    </row>
    <row r="124" spans="1:31" outlineLevel="2">
      <c r="A124" s="135" t="str">
        <f t="shared" si="25"/>
        <v>AmericanCommercialR1.5YD2W</v>
      </c>
      <c r="B124" s="116" t="s">
        <v>468</v>
      </c>
      <c r="C124" s="116" t="s">
        <v>133</v>
      </c>
      <c r="D124" s="155">
        <v>252.01</v>
      </c>
      <c r="E124" s="155">
        <v>255.47</v>
      </c>
      <c r="F124" s="156">
        <v>1512.06</v>
      </c>
      <c r="G124" s="156">
        <v>1417.56</v>
      </c>
      <c r="H124" s="156">
        <v>1260.05</v>
      </c>
      <c r="I124" s="156">
        <v>1260.05</v>
      </c>
      <c r="J124" s="156">
        <v>1260.05</v>
      </c>
      <c r="K124" s="156">
        <v>1277.3499999999999</v>
      </c>
      <c r="L124" s="156">
        <v>1277.3499999999999</v>
      </c>
      <c r="M124" s="156">
        <v>1277.3499999999999</v>
      </c>
      <c r="N124" s="156">
        <v>1532.82</v>
      </c>
      <c r="O124" s="156">
        <v>1532.82</v>
      </c>
      <c r="P124" s="156">
        <v>1532.82</v>
      </c>
      <c r="Q124" s="156">
        <v>1532.82</v>
      </c>
      <c r="R124" s="157">
        <f t="shared" si="26"/>
        <v>16673.100000000002</v>
      </c>
      <c r="S124" s="158">
        <f t="shared" si="30"/>
        <v>6</v>
      </c>
      <c r="T124" s="158">
        <f t="shared" si="30"/>
        <v>5.6250148803618902</v>
      </c>
      <c r="U124" s="158">
        <f t="shared" si="30"/>
        <v>5</v>
      </c>
      <c r="V124" s="158">
        <f t="shared" si="30"/>
        <v>5</v>
      </c>
      <c r="W124" s="158">
        <f t="shared" si="30"/>
        <v>5</v>
      </c>
      <c r="X124" s="158">
        <f t="shared" si="31"/>
        <v>5</v>
      </c>
      <c r="Y124" s="158">
        <f t="shared" si="31"/>
        <v>5</v>
      </c>
      <c r="Z124" s="158">
        <f t="shared" si="31"/>
        <v>5</v>
      </c>
      <c r="AA124" s="158">
        <f t="shared" si="31"/>
        <v>6</v>
      </c>
      <c r="AB124" s="158">
        <f t="shared" si="31"/>
        <v>6</v>
      </c>
      <c r="AC124" s="158">
        <f t="shared" si="31"/>
        <v>6</v>
      </c>
      <c r="AD124" s="158">
        <f t="shared" si="31"/>
        <v>6</v>
      </c>
      <c r="AE124" s="157">
        <f t="shared" si="32"/>
        <v>65.625014880361888</v>
      </c>
    </row>
    <row r="125" spans="1:31" outlineLevel="2">
      <c r="A125" s="135" t="str">
        <f t="shared" si="25"/>
        <v>AmericanCommercialR1.5YD3W</v>
      </c>
      <c r="B125" s="116" t="s">
        <v>469</v>
      </c>
      <c r="C125" s="116" t="s">
        <v>218</v>
      </c>
      <c r="D125" s="155">
        <v>378.01</v>
      </c>
      <c r="E125" s="155">
        <v>383.21</v>
      </c>
      <c r="F125" s="156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7">
        <f t="shared" si="26"/>
        <v>0</v>
      </c>
      <c r="S125" s="158">
        <f t="shared" si="30"/>
        <v>0</v>
      </c>
      <c r="T125" s="158">
        <f t="shared" si="30"/>
        <v>0</v>
      </c>
      <c r="U125" s="158">
        <f t="shared" si="30"/>
        <v>0</v>
      </c>
      <c r="V125" s="158">
        <f t="shared" si="30"/>
        <v>0</v>
      </c>
      <c r="W125" s="158">
        <f t="shared" si="30"/>
        <v>0</v>
      </c>
      <c r="X125" s="158">
        <f t="shared" si="31"/>
        <v>0</v>
      </c>
      <c r="Y125" s="158">
        <f t="shared" si="31"/>
        <v>0</v>
      </c>
      <c r="Z125" s="158">
        <f t="shared" si="31"/>
        <v>0</v>
      </c>
      <c r="AA125" s="158">
        <f t="shared" si="31"/>
        <v>0</v>
      </c>
      <c r="AB125" s="158">
        <f t="shared" si="31"/>
        <v>0</v>
      </c>
      <c r="AC125" s="158">
        <f t="shared" si="31"/>
        <v>0</v>
      </c>
      <c r="AD125" s="158">
        <f t="shared" si="31"/>
        <v>0</v>
      </c>
      <c r="AE125" s="157">
        <f t="shared" si="32"/>
        <v>0</v>
      </c>
    </row>
    <row r="126" spans="1:31" outlineLevel="2">
      <c r="A126" s="135" t="str">
        <f t="shared" si="25"/>
        <v>AmericanCommercialR1.5YDEOW</v>
      </c>
      <c r="B126" s="116" t="s">
        <v>470</v>
      </c>
      <c r="C126" s="116" t="s">
        <v>219</v>
      </c>
      <c r="D126" s="155">
        <v>0</v>
      </c>
      <c r="E126" s="155">
        <v>0</v>
      </c>
      <c r="F126" s="156">
        <v>0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6">
        <v>0</v>
      </c>
      <c r="Q126" s="156">
        <v>0</v>
      </c>
      <c r="R126" s="157">
        <f t="shared" si="26"/>
        <v>0</v>
      </c>
      <c r="S126" s="158">
        <f t="shared" si="30"/>
        <v>0</v>
      </c>
      <c r="T126" s="158">
        <f t="shared" si="30"/>
        <v>0</v>
      </c>
      <c r="U126" s="158">
        <f t="shared" si="30"/>
        <v>0</v>
      </c>
      <c r="V126" s="158">
        <f t="shared" si="30"/>
        <v>0</v>
      </c>
      <c r="W126" s="158">
        <f t="shared" si="30"/>
        <v>0</v>
      </c>
      <c r="X126" s="158">
        <f t="shared" si="31"/>
        <v>0</v>
      </c>
      <c r="Y126" s="158">
        <f t="shared" si="31"/>
        <v>0</v>
      </c>
      <c r="Z126" s="158">
        <f t="shared" si="31"/>
        <v>0</v>
      </c>
      <c r="AA126" s="158">
        <f t="shared" si="31"/>
        <v>0</v>
      </c>
      <c r="AB126" s="158">
        <f t="shared" si="31"/>
        <v>0</v>
      </c>
      <c r="AC126" s="158">
        <f t="shared" si="31"/>
        <v>0</v>
      </c>
      <c r="AD126" s="158">
        <f t="shared" si="31"/>
        <v>0</v>
      </c>
      <c r="AE126" s="157">
        <f>+SUM(S126:AD126)/$AB$3</f>
        <v>0</v>
      </c>
    </row>
    <row r="127" spans="1:31" outlineLevel="2">
      <c r="A127" s="135" t="str">
        <f t="shared" si="25"/>
        <v>AmericanCommercialR1.5YDEX</v>
      </c>
      <c r="B127" s="116" t="s">
        <v>471</v>
      </c>
      <c r="C127" s="116" t="s">
        <v>220</v>
      </c>
      <c r="D127" s="155">
        <v>31.12</v>
      </c>
      <c r="E127" s="155">
        <v>31.52</v>
      </c>
      <c r="F127" s="156">
        <v>0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31.52</v>
      </c>
      <c r="M127" s="156">
        <v>0</v>
      </c>
      <c r="N127" s="156">
        <v>0</v>
      </c>
      <c r="O127" s="156">
        <v>0</v>
      </c>
      <c r="P127" s="156">
        <v>0</v>
      </c>
      <c r="Q127" s="156">
        <v>0</v>
      </c>
      <c r="R127" s="157">
        <f t="shared" si="26"/>
        <v>31.52</v>
      </c>
      <c r="S127" s="158">
        <f t="shared" si="30"/>
        <v>0</v>
      </c>
      <c r="T127" s="158">
        <f t="shared" si="30"/>
        <v>0</v>
      </c>
      <c r="U127" s="158">
        <f t="shared" si="30"/>
        <v>0</v>
      </c>
      <c r="V127" s="158">
        <f t="shared" si="30"/>
        <v>0</v>
      </c>
      <c r="W127" s="158">
        <f t="shared" si="30"/>
        <v>0</v>
      </c>
      <c r="X127" s="158">
        <f t="shared" si="31"/>
        <v>0</v>
      </c>
      <c r="Y127" s="158">
        <f t="shared" si="31"/>
        <v>1</v>
      </c>
      <c r="Z127" s="158">
        <f t="shared" si="31"/>
        <v>0</v>
      </c>
      <c r="AA127" s="158">
        <f t="shared" si="31"/>
        <v>0</v>
      </c>
      <c r="AB127" s="158">
        <f t="shared" si="31"/>
        <v>0</v>
      </c>
      <c r="AC127" s="158">
        <f t="shared" si="31"/>
        <v>0</v>
      </c>
      <c r="AD127" s="158">
        <f t="shared" si="31"/>
        <v>0</v>
      </c>
      <c r="AE127" s="157">
        <f t="shared" si="32"/>
        <v>1</v>
      </c>
    </row>
    <row r="128" spans="1:31" outlineLevel="2">
      <c r="A128" s="135" t="str">
        <f t="shared" si="25"/>
        <v>AmericanCommercialR1.5YDTPU</v>
      </c>
      <c r="B128" s="116" t="s">
        <v>472</v>
      </c>
      <c r="C128" s="116" t="s">
        <v>139</v>
      </c>
      <c r="D128" s="155">
        <v>124.48</v>
      </c>
      <c r="E128" s="155">
        <v>126.08</v>
      </c>
      <c r="F128" s="156">
        <v>0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94.56</v>
      </c>
      <c r="M128" s="156">
        <v>189.12</v>
      </c>
      <c r="N128" s="156">
        <v>0</v>
      </c>
      <c r="O128" s="156">
        <v>0</v>
      </c>
      <c r="P128" s="156">
        <v>63.04</v>
      </c>
      <c r="Q128" s="156">
        <v>126.08</v>
      </c>
      <c r="R128" s="157">
        <f t="shared" si="26"/>
        <v>472.8</v>
      </c>
      <c r="S128" s="158">
        <f t="shared" si="30"/>
        <v>0</v>
      </c>
      <c r="T128" s="158">
        <f t="shared" si="30"/>
        <v>0</v>
      </c>
      <c r="U128" s="158">
        <f t="shared" si="30"/>
        <v>0</v>
      </c>
      <c r="V128" s="158">
        <f t="shared" si="30"/>
        <v>0</v>
      </c>
      <c r="W128" s="158">
        <f t="shared" si="30"/>
        <v>0</v>
      </c>
      <c r="X128" s="158">
        <f t="shared" si="31"/>
        <v>0</v>
      </c>
      <c r="Y128" s="158">
        <f t="shared" si="31"/>
        <v>0.75</v>
      </c>
      <c r="Z128" s="158">
        <f t="shared" si="31"/>
        <v>1.5</v>
      </c>
      <c r="AA128" s="158">
        <f t="shared" si="31"/>
        <v>0</v>
      </c>
      <c r="AB128" s="158">
        <f t="shared" si="31"/>
        <v>0</v>
      </c>
      <c r="AC128" s="158">
        <f t="shared" si="31"/>
        <v>0.5</v>
      </c>
      <c r="AD128" s="158">
        <f t="shared" si="31"/>
        <v>1</v>
      </c>
      <c r="AE128" s="157">
        <f t="shared" si="32"/>
        <v>3.75</v>
      </c>
    </row>
    <row r="129" spans="1:31" outlineLevel="2">
      <c r="A129" s="135" t="str">
        <f t="shared" si="25"/>
        <v>AmericanCommercialR1YD1W</v>
      </c>
      <c r="B129" s="116" t="s">
        <v>473</v>
      </c>
      <c r="C129" s="116" t="s">
        <v>474</v>
      </c>
      <c r="D129" s="155">
        <v>91.15</v>
      </c>
      <c r="E129" s="155">
        <v>92.36</v>
      </c>
      <c r="F129" s="156">
        <v>11462.11</v>
      </c>
      <c r="G129" s="156">
        <v>11370.96</v>
      </c>
      <c r="H129" s="156">
        <v>11462.12</v>
      </c>
      <c r="I129" s="156">
        <v>11530.48</v>
      </c>
      <c r="J129" s="156">
        <v>11553.26</v>
      </c>
      <c r="K129" s="156">
        <v>11660.45</v>
      </c>
      <c r="L129" s="156">
        <v>11637.36</v>
      </c>
      <c r="M129" s="156">
        <v>11383.37</v>
      </c>
      <c r="N129" s="156">
        <v>11637.36</v>
      </c>
      <c r="O129" s="156">
        <v>11429.55</v>
      </c>
      <c r="P129" s="156">
        <v>11406.46</v>
      </c>
      <c r="Q129" s="156">
        <v>11152.47</v>
      </c>
      <c r="R129" s="157">
        <f t="shared" si="26"/>
        <v>137685.95000000001</v>
      </c>
      <c r="S129" s="158">
        <f t="shared" si="30"/>
        <v>125.7499725726824</v>
      </c>
      <c r="T129" s="158">
        <f t="shared" si="30"/>
        <v>124.74997257268238</v>
      </c>
      <c r="U129" s="158">
        <f t="shared" si="30"/>
        <v>125.75008228195283</v>
      </c>
      <c r="V129" s="158">
        <f t="shared" si="30"/>
        <v>126.50005485463521</v>
      </c>
      <c r="W129" s="158">
        <f t="shared" si="30"/>
        <v>126.74997257268238</v>
      </c>
      <c r="X129" s="158">
        <f t="shared" si="31"/>
        <v>126.25000000000001</v>
      </c>
      <c r="Y129" s="158">
        <f t="shared" si="31"/>
        <v>126</v>
      </c>
      <c r="Z129" s="158">
        <f t="shared" si="31"/>
        <v>123.25000000000001</v>
      </c>
      <c r="AA129" s="158">
        <f t="shared" si="31"/>
        <v>126</v>
      </c>
      <c r="AB129" s="158">
        <f t="shared" si="31"/>
        <v>123.74999999999999</v>
      </c>
      <c r="AC129" s="158">
        <f t="shared" si="31"/>
        <v>123.49999999999999</v>
      </c>
      <c r="AD129" s="158">
        <f t="shared" si="31"/>
        <v>120.75</v>
      </c>
      <c r="AE129" s="157">
        <f t="shared" si="32"/>
        <v>1499.0000548546352</v>
      </c>
    </row>
    <row r="130" spans="1:31" outlineLevel="2">
      <c r="A130" s="135" t="str">
        <f t="shared" si="25"/>
        <v>AmericanCommercialR1YD2W</v>
      </c>
      <c r="B130" s="116" t="s">
        <v>475</v>
      </c>
      <c r="C130" s="116" t="s">
        <v>131</v>
      </c>
      <c r="D130" s="155">
        <v>182.29</v>
      </c>
      <c r="E130" s="155">
        <v>184.72</v>
      </c>
      <c r="F130" s="156">
        <v>364.58</v>
      </c>
      <c r="G130" s="156">
        <v>364.58</v>
      </c>
      <c r="H130" s="156">
        <v>364.58</v>
      </c>
      <c r="I130" s="156">
        <v>364.58</v>
      </c>
      <c r="J130" s="156">
        <v>364.58</v>
      </c>
      <c r="K130" s="156">
        <v>369.44</v>
      </c>
      <c r="L130" s="156">
        <v>369.44</v>
      </c>
      <c r="M130" s="156">
        <v>369.44</v>
      </c>
      <c r="N130" s="156">
        <v>507.98</v>
      </c>
      <c r="O130" s="156">
        <v>554.16</v>
      </c>
      <c r="P130" s="156">
        <v>369.44</v>
      </c>
      <c r="Q130" s="156">
        <v>369.44</v>
      </c>
      <c r="R130" s="157">
        <f t="shared" si="26"/>
        <v>4732.2399999999989</v>
      </c>
      <c r="S130" s="158">
        <f t="shared" si="30"/>
        <v>2</v>
      </c>
      <c r="T130" s="158">
        <f t="shared" si="30"/>
        <v>2</v>
      </c>
      <c r="U130" s="158">
        <f t="shared" si="30"/>
        <v>2</v>
      </c>
      <c r="V130" s="158">
        <f t="shared" si="30"/>
        <v>2</v>
      </c>
      <c r="W130" s="158">
        <f t="shared" si="30"/>
        <v>2</v>
      </c>
      <c r="X130" s="158">
        <f t="shared" si="31"/>
        <v>2</v>
      </c>
      <c r="Y130" s="158">
        <f t="shared" si="31"/>
        <v>2</v>
      </c>
      <c r="Z130" s="158">
        <f t="shared" si="31"/>
        <v>2</v>
      </c>
      <c r="AA130" s="158">
        <f t="shared" si="31"/>
        <v>2.75</v>
      </c>
      <c r="AB130" s="158">
        <f t="shared" si="31"/>
        <v>3</v>
      </c>
      <c r="AC130" s="158">
        <f t="shared" si="31"/>
        <v>2</v>
      </c>
      <c r="AD130" s="158">
        <f t="shared" si="31"/>
        <v>2</v>
      </c>
      <c r="AE130" s="157">
        <f t="shared" si="32"/>
        <v>25.75</v>
      </c>
    </row>
    <row r="131" spans="1:31" outlineLevel="2">
      <c r="A131" s="135" t="str">
        <f t="shared" si="25"/>
        <v>AmericanCommercialR1YD3W</v>
      </c>
      <c r="B131" s="116" t="s">
        <v>476</v>
      </c>
      <c r="C131" s="116" t="s">
        <v>132</v>
      </c>
      <c r="D131" s="155">
        <v>273.44</v>
      </c>
      <c r="E131" s="155">
        <v>277.08</v>
      </c>
      <c r="F131" s="156">
        <v>1640.64</v>
      </c>
      <c r="G131" s="156">
        <v>1640.64</v>
      </c>
      <c r="H131" s="156">
        <v>1640.64</v>
      </c>
      <c r="I131" s="156">
        <v>1640.64</v>
      </c>
      <c r="J131" s="156">
        <v>1640.64</v>
      </c>
      <c r="K131" s="156">
        <v>1662.48</v>
      </c>
      <c r="L131" s="156">
        <v>1662.48</v>
      </c>
      <c r="M131" s="156">
        <v>1662.48</v>
      </c>
      <c r="N131" s="156">
        <v>1662.48</v>
      </c>
      <c r="O131" s="156">
        <v>1662.48</v>
      </c>
      <c r="P131" s="156">
        <v>1662.48</v>
      </c>
      <c r="Q131" s="156">
        <v>1662.48</v>
      </c>
      <c r="R131" s="157">
        <f t="shared" si="26"/>
        <v>19840.559999999998</v>
      </c>
      <c r="S131" s="158">
        <f t="shared" si="30"/>
        <v>6</v>
      </c>
      <c r="T131" s="158">
        <f t="shared" si="30"/>
        <v>6</v>
      </c>
      <c r="U131" s="158">
        <f t="shared" si="30"/>
        <v>6</v>
      </c>
      <c r="V131" s="158">
        <f t="shared" si="30"/>
        <v>6</v>
      </c>
      <c r="W131" s="158">
        <f t="shared" si="30"/>
        <v>6</v>
      </c>
      <c r="X131" s="158">
        <f t="shared" si="31"/>
        <v>6</v>
      </c>
      <c r="Y131" s="158">
        <f t="shared" si="31"/>
        <v>6</v>
      </c>
      <c r="Z131" s="158">
        <f t="shared" si="31"/>
        <v>6</v>
      </c>
      <c r="AA131" s="158">
        <f t="shared" si="31"/>
        <v>6</v>
      </c>
      <c r="AB131" s="158">
        <f t="shared" si="31"/>
        <v>6</v>
      </c>
      <c r="AC131" s="158">
        <f t="shared" si="31"/>
        <v>6</v>
      </c>
      <c r="AD131" s="158">
        <f t="shared" si="31"/>
        <v>6</v>
      </c>
      <c r="AE131" s="157">
        <f t="shared" si="32"/>
        <v>72</v>
      </c>
    </row>
    <row r="132" spans="1:31" outlineLevel="2">
      <c r="A132" s="135" t="str">
        <f t="shared" si="25"/>
        <v>AmericanCommercialR1YDEOW</v>
      </c>
      <c r="B132" s="116" t="s">
        <v>477</v>
      </c>
      <c r="C132" s="116" t="s">
        <v>221</v>
      </c>
      <c r="D132" s="155">
        <v>0</v>
      </c>
      <c r="E132" s="155">
        <v>0</v>
      </c>
      <c r="F132" s="156">
        <v>0</v>
      </c>
      <c r="G132" s="156">
        <v>0</v>
      </c>
      <c r="H132" s="156">
        <v>0</v>
      </c>
      <c r="I132" s="156">
        <v>0</v>
      </c>
      <c r="J132" s="156">
        <v>0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56">
        <v>0</v>
      </c>
      <c r="Q132" s="156">
        <v>0</v>
      </c>
      <c r="R132" s="157">
        <f t="shared" si="26"/>
        <v>0</v>
      </c>
      <c r="S132" s="158">
        <f t="shared" si="30"/>
        <v>0</v>
      </c>
      <c r="T132" s="158">
        <f t="shared" si="30"/>
        <v>0</v>
      </c>
      <c r="U132" s="158">
        <f t="shared" si="30"/>
        <v>0</v>
      </c>
      <c r="V132" s="158">
        <f t="shared" si="30"/>
        <v>0</v>
      </c>
      <c r="W132" s="158">
        <f t="shared" si="30"/>
        <v>0</v>
      </c>
      <c r="X132" s="158">
        <f t="shared" si="31"/>
        <v>0</v>
      </c>
      <c r="Y132" s="158">
        <f t="shared" si="31"/>
        <v>0</v>
      </c>
      <c r="Z132" s="158">
        <f t="shared" si="31"/>
        <v>0</v>
      </c>
      <c r="AA132" s="158">
        <f t="shared" si="31"/>
        <v>0</v>
      </c>
      <c r="AB132" s="158">
        <f t="shared" si="31"/>
        <v>0</v>
      </c>
      <c r="AC132" s="158">
        <f t="shared" si="31"/>
        <v>0</v>
      </c>
      <c r="AD132" s="158">
        <f t="shared" si="31"/>
        <v>0</v>
      </c>
      <c r="AE132" s="157">
        <f t="shared" si="32"/>
        <v>0</v>
      </c>
    </row>
    <row r="133" spans="1:31" outlineLevel="2">
      <c r="A133" s="135" t="str">
        <f t="shared" si="25"/>
        <v>AmericanCommercialR1YDEX</v>
      </c>
      <c r="B133" s="116" t="s">
        <v>478</v>
      </c>
      <c r="C133" s="116" t="s">
        <v>222</v>
      </c>
      <c r="D133" s="155">
        <v>23.06</v>
      </c>
      <c r="E133" s="155">
        <v>23.34</v>
      </c>
      <c r="F133" s="156">
        <v>0</v>
      </c>
      <c r="G133" s="156">
        <v>0</v>
      </c>
      <c r="H133" s="156">
        <v>46.12</v>
      </c>
      <c r="I133" s="156">
        <v>0</v>
      </c>
      <c r="J133" s="156">
        <v>23.06</v>
      </c>
      <c r="K133" s="156">
        <v>0</v>
      </c>
      <c r="L133" s="156">
        <v>0</v>
      </c>
      <c r="M133" s="156">
        <v>27.13</v>
      </c>
      <c r="N133" s="156">
        <v>46.68</v>
      </c>
      <c r="O133" s="156">
        <v>70.02</v>
      </c>
      <c r="P133" s="156">
        <v>0</v>
      </c>
      <c r="Q133" s="156">
        <v>0</v>
      </c>
      <c r="R133" s="157">
        <f t="shared" si="26"/>
        <v>213.01</v>
      </c>
      <c r="S133" s="158">
        <f t="shared" si="30"/>
        <v>0</v>
      </c>
      <c r="T133" s="158">
        <f t="shared" si="30"/>
        <v>0</v>
      </c>
      <c r="U133" s="158">
        <f t="shared" si="30"/>
        <v>2</v>
      </c>
      <c r="V133" s="158">
        <f t="shared" si="30"/>
        <v>0</v>
      </c>
      <c r="W133" s="158">
        <f t="shared" si="30"/>
        <v>1</v>
      </c>
      <c r="X133" s="158">
        <f t="shared" si="31"/>
        <v>0</v>
      </c>
      <c r="Y133" s="158">
        <f t="shared" si="31"/>
        <v>0</v>
      </c>
      <c r="Z133" s="158">
        <f t="shared" si="31"/>
        <v>1.1623821765209941</v>
      </c>
      <c r="AA133" s="158">
        <f t="shared" si="31"/>
        <v>2</v>
      </c>
      <c r="AB133" s="158">
        <f t="shared" si="31"/>
        <v>3</v>
      </c>
      <c r="AC133" s="158">
        <f t="shared" si="31"/>
        <v>0</v>
      </c>
      <c r="AD133" s="158">
        <f t="shared" si="31"/>
        <v>0</v>
      </c>
      <c r="AE133" s="157">
        <f t="shared" si="32"/>
        <v>9.1623821765209943</v>
      </c>
    </row>
    <row r="134" spans="1:31" outlineLevel="2">
      <c r="A134" s="135" t="str">
        <f t="shared" si="25"/>
        <v>AmericanCommercialR1YDTPU</v>
      </c>
      <c r="B134" s="116" t="s">
        <v>479</v>
      </c>
      <c r="C134" s="116" t="s">
        <v>223</v>
      </c>
      <c r="D134" s="155">
        <v>92.24</v>
      </c>
      <c r="E134" s="155">
        <v>93.36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70.02</v>
      </c>
      <c r="M134" s="156">
        <v>46.68</v>
      </c>
      <c r="N134" s="156">
        <v>186.72</v>
      </c>
      <c r="O134" s="156">
        <v>186.72</v>
      </c>
      <c r="P134" s="156">
        <v>140.04</v>
      </c>
      <c r="Q134" s="156">
        <v>0</v>
      </c>
      <c r="R134" s="157">
        <f t="shared" si="26"/>
        <v>630.17999999999995</v>
      </c>
      <c r="S134" s="158">
        <f t="shared" si="30"/>
        <v>0</v>
      </c>
      <c r="T134" s="158">
        <f t="shared" si="30"/>
        <v>0</v>
      </c>
      <c r="U134" s="158">
        <f t="shared" si="30"/>
        <v>0</v>
      </c>
      <c r="V134" s="158">
        <f t="shared" si="30"/>
        <v>0</v>
      </c>
      <c r="W134" s="158">
        <f t="shared" si="30"/>
        <v>0</v>
      </c>
      <c r="X134" s="158">
        <f t="shared" si="31"/>
        <v>0</v>
      </c>
      <c r="Y134" s="158">
        <f t="shared" si="31"/>
        <v>0.75</v>
      </c>
      <c r="Z134" s="158">
        <f t="shared" si="31"/>
        <v>0.5</v>
      </c>
      <c r="AA134" s="158">
        <f t="shared" si="31"/>
        <v>2</v>
      </c>
      <c r="AB134" s="158">
        <f t="shared" si="31"/>
        <v>2</v>
      </c>
      <c r="AC134" s="158">
        <f t="shared" si="31"/>
        <v>1.5</v>
      </c>
      <c r="AD134" s="158">
        <f t="shared" si="31"/>
        <v>0</v>
      </c>
      <c r="AE134" s="157">
        <f t="shared" si="32"/>
        <v>6.75</v>
      </c>
    </row>
    <row r="135" spans="1:31" outlineLevel="2">
      <c r="A135" s="135" t="str">
        <f t="shared" si="25"/>
        <v>AmericanCommercialR2YD1W</v>
      </c>
      <c r="B135" s="116" t="s">
        <v>480</v>
      </c>
      <c r="C135" s="116" t="s">
        <v>134</v>
      </c>
      <c r="D135" s="155">
        <v>156.96</v>
      </c>
      <c r="E135" s="155">
        <v>159.16999999999999</v>
      </c>
      <c r="F135" s="156">
        <v>22680.720000000001</v>
      </c>
      <c r="G135" s="156">
        <v>22327.56</v>
      </c>
      <c r="H135" s="156">
        <v>22445.279999999999</v>
      </c>
      <c r="I135" s="156">
        <v>22680.720000000001</v>
      </c>
      <c r="J135" s="156">
        <v>23269.32</v>
      </c>
      <c r="K135" s="156">
        <v>23802.510000000002</v>
      </c>
      <c r="L135" s="156">
        <v>24034.68</v>
      </c>
      <c r="M135" s="156">
        <v>24671.4</v>
      </c>
      <c r="N135" s="156">
        <v>25666.160000000003</v>
      </c>
      <c r="O135" s="156">
        <v>25904.92</v>
      </c>
      <c r="P135" s="156">
        <v>25546.79</v>
      </c>
      <c r="Q135" s="156">
        <v>25626.379999999997</v>
      </c>
      <c r="R135" s="157">
        <f t="shared" si="26"/>
        <v>288656.44</v>
      </c>
      <c r="S135" s="158">
        <f t="shared" si="30"/>
        <v>144.5</v>
      </c>
      <c r="T135" s="158">
        <f t="shared" si="30"/>
        <v>142.25</v>
      </c>
      <c r="U135" s="158">
        <f t="shared" si="30"/>
        <v>142.99999999999997</v>
      </c>
      <c r="V135" s="158">
        <f t="shared" si="30"/>
        <v>144.5</v>
      </c>
      <c r="W135" s="158">
        <f t="shared" si="30"/>
        <v>148.25</v>
      </c>
      <c r="X135" s="158">
        <f t="shared" si="31"/>
        <v>149.54143368725263</v>
      </c>
      <c r="Y135" s="158">
        <f t="shared" si="31"/>
        <v>151.00006282590942</v>
      </c>
      <c r="Z135" s="158">
        <f t="shared" si="31"/>
        <v>155.00031412954704</v>
      </c>
      <c r="AA135" s="158">
        <f t="shared" si="31"/>
        <v>161.24998429352269</v>
      </c>
      <c r="AB135" s="158">
        <f t="shared" si="31"/>
        <v>162.75001570647734</v>
      </c>
      <c r="AC135" s="158">
        <f t="shared" si="31"/>
        <v>160.50003141295471</v>
      </c>
      <c r="AD135" s="158">
        <f t="shared" si="31"/>
        <v>161.0000628259094</v>
      </c>
      <c r="AE135" s="157">
        <f t="shared" si="32"/>
        <v>1823.5419048815731</v>
      </c>
    </row>
    <row r="136" spans="1:31" outlineLevel="2">
      <c r="A136" s="135" t="str">
        <f t="shared" si="25"/>
        <v>AmericanCommercialR2YD2W</v>
      </c>
      <c r="B136" s="116" t="s">
        <v>481</v>
      </c>
      <c r="C136" s="116" t="s">
        <v>135</v>
      </c>
      <c r="D136" s="155">
        <v>313.93</v>
      </c>
      <c r="E136" s="155">
        <v>318.33999999999997</v>
      </c>
      <c r="F136" s="156">
        <v>15943.82</v>
      </c>
      <c r="G136" s="156">
        <v>15198.24</v>
      </c>
      <c r="H136" s="156">
        <v>15041.27</v>
      </c>
      <c r="I136" s="156">
        <v>14060.23</v>
      </c>
      <c r="J136" s="156">
        <v>14374.17</v>
      </c>
      <c r="K136" s="156">
        <v>14643.64</v>
      </c>
      <c r="L136" s="156">
        <v>14961.98</v>
      </c>
      <c r="M136" s="156">
        <v>16036.41</v>
      </c>
      <c r="N136" s="156">
        <v>17986.22</v>
      </c>
      <c r="O136" s="156">
        <v>18145.38</v>
      </c>
      <c r="P136" s="156">
        <v>18384.14</v>
      </c>
      <c r="Q136" s="156">
        <v>18065.8</v>
      </c>
      <c r="R136" s="157">
        <f t="shared" si="26"/>
        <v>192841.3</v>
      </c>
      <c r="S136" s="158">
        <f t="shared" si="30"/>
        <v>50.78781894052814</v>
      </c>
      <c r="T136" s="158">
        <f t="shared" si="30"/>
        <v>48.412830885866278</v>
      </c>
      <c r="U136" s="158">
        <f t="shared" si="30"/>
        <v>47.912814958748768</v>
      </c>
      <c r="V136" s="158">
        <f t="shared" si="30"/>
        <v>44.787787086293122</v>
      </c>
      <c r="W136" s="158">
        <f t="shared" si="30"/>
        <v>45.78781894052814</v>
      </c>
      <c r="X136" s="158">
        <f t="shared" si="31"/>
        <v>46</v>
      </c>
      <c r="Y136" s="158">
        <f t="shared" si="31"/>
        <v>47</v>
      </c>
      <c r="Z136" s="158">
        <f t="shared" si="31"/>
        <v>50.375102092102786</v>
      </c>
      <c r="AA136" s="158">
        <f t="shared" si="31"/>
        <v>56.500031412954712</v>
      </c>
      <c r="AB136" s="158">
        <f t="shared" si="31"/>
        <v>57.000000000000007</v>
      </c>
      <c r="AC136" s="158">
        <f t="shared" si="31"/>
        <v>57.750015706477356</v>
      </c>
      <c r="AD136" s="158">
        <f t="shared" si="31"/>
        <v>56.750015706477356</v>
      </c>
      <c r="AE136" s="157">
        <f t="shared" si="32"/>
        <v>609.06423572997676</v>
      </c>
    </row>
    <row r="137" spans="1:31" outlineLevel="2">
      <c r="A137" s="135" t="str">
        <f t="shared" si="25"/>
        <v>AmericanCommercialR2YD3W</v>
      </c>
      <c r="B137" s="116" t="s">
        <v>482</v>
      </c>
      <c r="C137" s="116" t="s">
        <v>136</v>
      </c>
      <c r="D137" s="155">
        <v>470.89</v>
      </c>
      <c r="E137" s="155">
        <v>477.51</v>
      </c>
      <c r="F137" s="156">
        <v>4708.8999999999996</v>
      </c>
      <c r="G137" s="156">
        <v>4708.8999999999996</v>
      </c>
      <c r="H137" s="156">
        <v>4708.8999999999996</v>
      </c>
      <c r="I137" s="156">
        <v>4708.8999999999996</v>
      </c>
      <c r="J137" s="156">
        <v>4708.8999999999996</v>
      </c>
      <c r="K137" s="156">
        <v>3789.48</v>
      </c>
      <c r="L137" s="156">
        <v>3820.08</v>
      </c>
      <c r="M137" s="156">
        <v>4695.53</v>
      </c>
      <c r="N137" s="156">
        <v>4775.1000000000004</v>
      </c>
      <c r="O137" s="156">
        <v>4775.1000000000004</v>
      </c>
      <c r="P137" s="156">
        <v>4775.1000000000004</v>
      </c>
      <c r="Q137" s="156">
        <v>4775.1000000000004</v>
      </c>
      <c r="R137" s="157">
        <f t="shared" si="26"/>
        <v>54949.989999999991</v>
      </c>
      <c r="S137" s="158">
        <f t="shared" si="30"/>
        <v>10</v>
      </c>
      <c r="T137" s="158">
        <f t="shared" si="30"/>
        <v>10</v>
      </c>
      <c r="U137" s="158">
        <f t="shared" si="30"/>
        <v>10</v>
      </c>
      <c r="V137" s="158">
        <f t="shared" si="30"/>
        <v>10</v>
      </c>
      <c r="W137" s="158">
        <f t="shared" si="30"/>
        <v>10</v>
      </c>
      <c r="X137" s="158">
        <f t="shared" si="31"/>
        <v>7.9359175724068605</v>
      </c>
      <c r="Y137" s="158">
        <f t="shared" si="31"/>
        <v>8</v>
      </c>
      <c r="Z137" s="158">
        <f t="shared" si="31"/>
        <v>9.8333647462880354</v>
      </c>
      <c r="AA137" s="158">
        <f t="shared" si="31"/>
        <v>10.000000000000002</v>
      </c>
      <c r="AB137" s="158">
        <f t="shared" si="31"/>
        <v>10.000000000000002</v>
      </c>
      <c r="AC137" s="158">
        <f t="shared" si="31"/>
        <v>10.000000000000002</v>
      </c>
      <c r="AD137" s="158">
        <f t="shared" si="31"/>
        <v>10.000000000000002</v>
      </c>
      <c r="AE137" s="157">
        <f t="shared" si="32"/>
        <v>115.76928231869489</v>
      </c>
    </row>
    <row r="138" spans="1:31" outlineLevel="2">
      <c r="A138" s="135" t="str">
        <f t="shared" si="25"/>
        <v>AmericanCommercialR2YD4W</v>
      </c>
      <c r="B138" s="116" t="s">
        <v>483</v>
      </c>
      <c r="C138" s="116" t="s">
        <v>137</v>
      </c>
      <c r="D138" s="155">
        <v>627.85</v>
      </c>
      <c r="E138" s="155">
        <v>636.67999999999995</v>
      </c>
      <c r="F138" s="156">
        <v>0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56">
        <v>0</v>
      </c>
      <c r="Q138" s="156">
        <v>0</v>
      </c>
      <c r="R138" s="157">
        <f t="shared" si="26"/>
        <v>0</v>
      </c>
      <c r="S138" s="158">
        <f t="shared" si="30"/>
        <v>0</v>
      </c>
      <c r="T138" s="158">
        <f t="shared" si="30"/>
        <v>0</v>
      </c>
      <c r="U138" s="158">
        <f t="shared" si="30"/>
        <v>0</v>
      </c>
      <c r="V138" s="158">
        <f t="shared" si="30"/>
        <v>0</v>
      </c>
      <c r="W138" s="158">
        <f t="shared" si="30"/>
        <v>0</v>
      </c>
      <c r="X138" s="158">
        <f t="shared" si="31"/>
        <v>0</v>
      </c>
      <c r="Y138" s="158">
        <f t="shared" si="31"/>
        <v>0</v>
      </c>
      <c r="Z138" s="158">
        <f t="shared" si="31"/>
        <v>0</v>
      </c>
      <c r="AA138" s="158">
        <f t="shared" si="31"/>
        <v>0</v>
      </c>
      <c r="AB138" s="158">
        <f t="shared" si="31"/>
        <v>0</v>
      </c>
      <c r="AC138" s="158">
        <f t="shared" si="31"/>
        <v>0</v>
      </c>
      <c r="AD138" s="158">
        <f t="shared" si="31"/>
        <v>0</v>
      </c>
      <c r="AE138" s="157">
        <f t="shared" si="32"/>
        <v>0</v>
      </c>
    </row>
    <row r="139" spans="1:31" outlineLevel="2">
      <c r="A139" s="135" t="str">
        <f t="shared" si="25"/>
        <v>AmericanCommercialR2YD5W</v>
      </c>
      <c r="B139" s="116" t="s">
        <v>484</v>
      </c>
      <c r="C139" s="116" t="s">
        <v>138</v>
      </c>
      <c r="D139" s="155">
        <v>784.81</v>
      </c>
      <c r="E139" s="155">
        <v>795.85</v>
      </c>
      <c r="F139" s="156">
        <v>0</v>
      </c>
      <c r="G139" s="156">
        <v>0</v>
      </c>
      <c r="H139" s="156">
        <v>0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156">
        <v>0</v>
      </c>
      <c r="O139" s="156">
        <v>0</v>
      </c>
      <c r="P139" s="156">
        <v>0</v>
      </c>
      <c r="Q139" s="156">
        <v>0</v>
      </c>
      <c r="R139" s="157">
        <f t="shared" si="26"/>
        <v>0</v>
      </c>
      <c r="S139" s="158">
        <f t="shared" si="30"/>
        <v>0</v>
      </c>
      <c r="T139" s="158">
        <f t="shared" si="30"/>
        <v>0</v>
      </c>
      <c r="U139" s="158">
        <f t="shared" si="30"/>
        <v>0</v>
      </c>
      <c r="V139" s="158">
        <f t="shared" si="30"/>
        <v>0</v>
      </c>
      <c r="W139" s="158">
        <f t="shared" si="30"/>
        <v>0</v>
      </c>
      <c r="X139" s="158">
        <f t="shared" si="31"/>
        <v>0</v>
      </c>
      <c r="Y139" s="158">
        <f t="shared" si="31"/>
        <v>0</v>
      </c>
      <c r="Z139" s="158">
        <f t="shared" si="31"/>
        <v>0</v>
      </c>
      <c r="AA139" s="158">
        <f t="shared" ref="AA139:AD156" si="33">+IFERROR(N139/$E139,0)</f>
        <v>0</v>
      </c>
      <c r="AB139" s="158">
        <f t="shared" si="33"/>
        <v>0</v>
      </c>
      <c r="AC139" s="158">
        <f t="shared" si="33"/>
        <v>0</v>
      </c>
      <c r="AD139" s="158">
        <f t="shared" si="33"/>
        <v>0</v>
      </c>
      <c r="AE139" s="157">
        <f t="shared" si="32"/>
        <v>0</v>
      </c>
    </row>
    <row r="140" spans="1:31" outlineLevel="2">
      <c r="A140" s="135" t="str">
        <f t="shared" si="25"/>
        <v>AmericanCommercialR2YDEOW</v>
      </c>
      <c r="B140" s="116" t="s">
        <v>485</v>
      </c>
      <c r="C140" s="116" t="s">
        <v>224</v>
      </c>
      <c r="D140" s="155">
        <v>0</v>
      </c>
      <c r="E140" s="155">
        <v>0</v>
      </c>
      <c r="F140" s="156">
        <v>0</v>
      </c>
      <c r="G140" s="156">
        <v>0</v>
      </c>
      <c r="H140" s="156">
        <v>0</v>
      </c>
      <c r="I140" s="156">
        <v>0</v>
      </c>
      <c r="J140" s="156">
        <v>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56">
        <v>0</v>
      </c>
      <c r="Q140" s="156">
        <v>0</v>
      </c>
      <c r="R140" s="157">
        <f t="shared" si="26"/>
        <v>0</v>
      </c>
      <c r="S140" s="158">
        <f t="shared" si="30"/>
        <v>0</v>
      </c>
      <c r="T140" s="158">
        <f t="shared" si="30"/>
        <v>0</v>
      </c>
      <c r="U140" s="158">
        <f t="shared" si="30"/>
        <v>0</v>
      </c>
      <c r="V140" s="158">
        <f t="shared" si="30"/>
        <v>0</v>
      </c>
      <c r="W140" s="158">
        <f t="shared" si="30"/>
        <v>0</v>
      </c>
      <c r="X140" s="158">
        <f t="shared" ref="X140:Z156" si="34">+IFERROR(K140/$E140,0)</f>
        <v>0</v>
      </c>
      <c r="Y140" s="158">
        <f t="shared" si="34"/>
        <v>0</v>
      </c>
      <c r="Z140" s="158">
        <f t="shared" si="34"/>
        <v>0</v>
      </c>
      <c r="AA140" s="158">
        <f t="shared" si="33"/>
        <v>0</v>
      </c>
      <c r="AB140" s="158">
        <f t="shared" si="33"/>
        <v>0</v>
      </c>
      <c r="AC140" s="158">
        <f t="shared" si="33"/>
        <v>0</v>
      </c>
      <c r="AD140" s="158">
        <f t="shared" si="33"/>
        <v>0</v>
      </c>
      <c r="AE140" s="157">
        <f t="shared" si="32"/>
        <v>0</v>
      </c>
    </row>
    <row r="141" spans="1:31" outlineLevel="2">
      <c r="A141" s="135" t="str">
        <f t="shared" si="25"/>
        <v>AmericanCommercialR2YDEX</v>
      </c>
      <c r="B141" s="116" t="s">
        <v>486</v>
      </c>
      <c r="C141" s="116" t="s">
        <v>225</v>
      </c>
      <c r="D141" s="155">
        <v>38.26</v>
      </c>
      <c r="E141" s="155">
        <v>38.770000000000003</v>
      </c>
      <c r="F141" s="156">
        <v>38.26</v>
      </c>
      <c r="G141" s="156">
        <v>38.26</v>
      </c>
      <c r="H141" s="156">
        <v>38.26</v>
      </c>
      <c r="I141" s="156">
        <v>38.26</v>
      </c>
      <c r="J141" s="156">
        <v>114.78</v>
      </c>
      <c r="K141" s="156">
        <v>155.08000000000001</v>
      </c>
      <c r="L141" s="156">
        <v>38.770000000000003</v>
      </c>
      <c r="M141" s="156">
        <v>317.74</v>
      </c>
      <c r="N141" s="156">
        <v>77.540000000000006</v>
      </c>
      <c r="O141" s="156">
        <v>465.24</v>
      </c>
      <c r="P141" s="156">
        <v>426.47</v>
      </c>
      <c r="Q141" s="156">
        <v>38.770000000000003</v>
      </c>
      <c r="R141" s="157">
        <f t="shared" si="26"/>
        <v>1787.43</v>
      </c>
      <c r="S141" s="158">
        <f t="shared" si="30"/>
        <v>1</v>
      </c>
      <c r="T141" s="158">
        <f t="shared" si="30"/>
        <v>1</v>
      </c>
      <c r="U141" s="158">
        <f t="shared" si="30"/>
        <v>1</v>
      </c>
      <c r="V141" s="158">
        <f t="shared" si="30"/>
        <v>1</v>
      </c>
      <c r="W141" s="158">
        <f t="shared" si="30"/>
        <v>3</v>
      </c>
      <c r="X141" s="158">
        <f t="shared" si="34"/>
        <v>4</v>
      </c>
      <c r="Y141" s="158">
        <f t="shared" si="34"/>
        <v>1</v>
      </c>
      <c r="Z141" s="158">
        <f t="shared" si="34"/>
        <v>8.1955119938096459</v>
      </c>
      <c r="AA141" s="158">
        <f t="shared" si="33"/>
        <v>2</v>
      </c>
      <c r="AB141" s="158">
        <f t="shared" si="33"/>
        <v>12</v>
      </c>
      <c r="AC141" s="158">
        <f t="shared" si="33"/>
        <v>11</v>
      </c>
      <c r="AD141" s="158">
        <f t="shared" si="33"/>
        <v>1</v>
      </c>
      <c r="AE141" s="157">
        <f t="shared" si="32"/>
        <v>46.195511993809646</v>
      </c>
    </row>
    <row r="142" spans="1:31" outlineLevel="2">
      <c r="A142" s="135" t="str">
        <f t="shared" si="25"/>
        <v>AmericanCommercialR2YDTPU</v>
      </c>
      <c r="B142" s="116" t="s">
        <v>487</v>
      </c>
      <c r="C142" s="116" t="s">
        <v>140</v>
      </c>
      <c r="D142" s="155">
        <v>153.04</v>
      </c>
      <c r="E142" s="155">
        <v>155.08000000000001</v>
      </c>
      <c r="F142" s="156">
        <v>1071.28</v>
      </c>
      <c r="G142" s="156">
        <v>726.94</v>
      </c>
      <c r="H142" s="156">
        <v>688.68000000000006</v>
      </c>
      <c r="I142" s="156">
        <v>382.6</v>
      </c>
      <c r="J142" s="156">
        <v>573.9</v>
      </c>
      <c r="K142" s="156">
        <v>308.12</v>
      </c>
      <c r="L142" s="156">
        <v>775.4</v>
      </c>
      <c r="M142" s="156">
        <v>891.71</v>
      </c>
      <c r="N142" s="156">
        <v>310.16000000000003</v>
      </c>
      <c r="O142" s="156">
        <v>542.78</v>
      </c>
      <c r="P142" s="156">
        <v>542.78</v>
      </c>
      <c r="Q142" s="156">
        <v>1124.33</v>
      </c>
      <c r="R142" s="157">
        <f t="shared" si="26"/>
        <v>7938.6799999999994</v>
      </c>
      <c r="S142" s="158">
        <f t="shared" si="30"/>
        <v>7</v>
      </c>
      <c r="T142" s="158">
        <f t="shared" si="30"/>
        <v>4.7500000000000009</v>
      </c>
      <c r="U142" s="158">
        <f t="shared" si="30"/>
        <v>4.5000000000000009</v>
      </c>
      <c r="V142" s="158">
        <f t="shared" si="30"/>
        <v>2.5000000000000004</v>
      </c>
      <c r="W142" s="158">
        <f t="shared" si="30"/>
        <v>3.75</v>
      </c>
      <c r="X142" s="158">
        <f t="shared" si="34"/>
        <v>1.98684549909724</v>
      </c>
      <c r="Y142" s="158">
        <f t="shared" si="34"/>
        <v>4.9999999999999991</v>
      </c>
      <c r="Z142" s="158">
        <f t="shared" si="34"/>
        <v>5.75</v>
      </c>
      <c r="AA142" s="158">
        <f t="shared" si="33"/>
        <v>2</v>
      </c>
      <c r="AB142" s="158">
        <f t="shared" si="33"/>
        <v>3.4999999999999996</v>
      </c>
      <c r="AC142" s="158">
        <f t="shared" si="33"/>
        <v>3.4999999999999996</v>
      </c>
      <c r="AD142" s="158">
        <f t="shared" si="33"/>
        <v>7.2499999999999991</v>
      </c>
      <c r="AE142" s="157">
        <f t="shared" si="32"/>
        <v>51.486845499097242</v>
      </c>
    </row>
    <row r="143" spans="1:31" outlineLevel="2">
      <c r="A143" s="135" t="str">
        <f t="shared" si="25"/>
        <v>AmericanCommercialADJCOM</v>
      </c>
      <c r="B143" s="116" t="s">
        <v>488</v>
      </c>
      <c r="C143" s="116" t="s">
        <v>489</v>
      </c>
      <c r="D143" s="155">
        <v>0</v>
      </c>
      <c r="E143" s="155">
        <v>0</v>
      </c>
      <c r="F143" s="156">
        <v>0</v>
      </c>
      <c r="G143" s="156">
        <v>0</v>
      </c>
      <c r="H143" s="156">
        <v>0</v>
      </c>
      <c r="I143" s="156">
        <v>-6.91</v>
      </c>
      <c r="J143" s="156">
        <v>0</v>
      </c>
      <c r="K143" s="156">
        <v>0</v>
      </c>
      <c r="L143" s="156">
        <v>-1.38</v>
      </c>
      <c r="M143" s="156">
        <v>-1.4</v>
      </c>
      <c r="N143" s="156">
        <v>0</v>
      </c>
      <c r="O143" s="156">
        <v>0</v>
      </c>
      <c r="P143" s="156">
        <v>0</v>
      </c>
      <c r="Q143" s="156">
        <v>0</v>
      </c>
      <c r="R143" s="157">
        <f t="shared" si="26"/>
        <v>-9.69</v>
      </c>
      <c r="S143" s="158">
        <f t="shared" si="30"/>
        <v>0</v>
      </c>
      <c r="T143" s="158">
        <f t="shared" si="30"/>
        <v>0</v>
      </c>
      <c r="U143" s="158">
        <f t="shared" si="30"/>
        <v>0</v>
      </c>
      <c r="V143" s="158">
        <f t="shared" si="30"/>
        <v>0</v>
      </c>
      <c r="W143" s="158">
        <f t="shared" si="30"/>
        <v>0</v>
      </c>
      <c r="X143" s="158">
        <f t="shared" si="34"/>
        <v>0</v>
      </c>
      <c r="Y143" s="158">
        <f t="shared" si="34"/>
        <v>0</v>
      </c>
      <c r="Z143" s="158">
        <f t="shared" si="34"/>
        <v>0</v>
      </c>
      <c r="AA143" s="158">
        <f t="shared" si="33"/>
        <v>0</v>
      </c>
      <c r="AB143" s="158">
        <f t="shared" si="33"/>
        <v>0</v>
      </c>
      <c r="AC143" s="158">
        <f t="shared" si="33"/>
        <v>0</v>
      </c>
      <c r="AD143" s="158">
        <f t="shared" si="33"/>
        <v>0</v>
      </c>
      <c r="AE143" s="157">
        <f t="shared" si="32"/>
        <v>0</v>
      </c>
    </row>
    <row r="144" spans="1:31" outlineLevel="2">
      <c r="A144" s="135" t="str">
        <f t="shared" si="25"/>
        <v>AmericanCommercialCCONNECT</v>
      </c>
      <c r="B144" s="116" t="s">
        <v>490</v>
      </c>
      <c r="C144" s="116" t="s">
        <v>491</v>
      </c>
      <c r="D144" s="155">
        <v>0</v>
      </c>
      <c r="E144" s="155">
        <v>0</v>
      </c>
      <c r="F144" s="156">
        <v>0</v>
      </c>
      <c r="G144" s="156">
        <v>0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56">
        <v>0</v>
      </c>
      <c r="Q144" s="156">
        <v>0</v>
      </c>
      <c r="R144" s="157">
        <f t="shared" si="26"/>
        <v>0</v>
      </c>
      <c r="S144" s="158">
        <f t="shared" si="30"/>
        <v>0</v>
      </c>
      <c r="T144" s="158">
        <f t="shared" si="30"/>
        <v>0</v>
      </c>
      <c r="U144" s="158">
        <f t="shared" si="30"/>
        <v>0</v>
      </c>
      <c r="V144" s="158">
        <f t="shared" si="30"/>
        <v>0</v>
      </c>
      <c r="W144" s="158">
        <f t="shared" si="30"/>
        <v>0</v>
      </c>
      <c r="X144" s="158">
        <f t="shared" si="34"/>
        <v>0</v>
      </c>
      <c r="Y144" s="158">
        <f t="shared" si="34"/>
        <v>0</v>
      </c>
      <c r="Z144" s="158">
        <f t="shared" si="34"/>
        <v>0</v>
      </c>
      <c r="AA144" s="158">
        <f t="shared" si="33"/>
        <v>0</v>
      </c>
      <c r="AB144" s="158">
        <f t="shared" si="33"/>
        <v>0</v>
      </c>
      <c r="AC144" s="158">
        <f t="shared" si="33"/>
        <v>0</v>
      </c>
      <c r="AD144" s="158">
        <f t="shared" si="33"/>
        <v>0</v>
      </c>
      <c r="AE144" s="157">
        <f>+SUM(S144:AD144)/$AB$3</f>
        <v>0</v>
      </c>
    </row>
    <row r="145" spans="1:31" outlineLevel="2">
      <c r="A145" s="135" t="str">
        <f t="shared" si="25"/>
        <v>AmericanCommercialCDEL</v>
      </c>
      <c r="B145" s="116" t="s">
        <v>492</v>
      </c>
      <c r="C145" s="116" t="s">
        <v>493</v>
      </c>
      <c r="D145" s="155">
        <v>39.42</v>
      </c>
      <c r="E145" s="155">
        <v>39.42</v>
      </c>
      <c r="F145" s="156">
        <v>0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6">
        <v>0</v>
      </c>
      <c r="Q145" s="156">
        <v>0</v>
      </c>
      <c r="R145" s="157">
        <f t="shared" si="26"/>
        <v>0</v>
      </c>
      <c r="S145" s="158">
        <f t="shared" si="30"/>
        <v>0</v>
      </c>
      <c r="T145" s="158">
        <f t="shared" si="30"/>
        <v>0</v>
      </c>
      <c r="U145" s="158">
        <f t="shared" si="30"/>
        <v>0</v>
      </c>
      <c r="V145" s="158">
        <f t="shared" si="30"/>
        <v>0</v>
      </c>
      <c r="W145" s="158">
        <f t="shared" si="30"/>
        <v>0</v>
      </c>
      <c r="X145" s="158">
        <f t="shared" si="34"/>
        <v>0</v>
      </c>
      <c r="Y145" s="158">
        <f t="shared" si="34"/>
        <v>0</v>
      </c>
      <c r="Z145" s="158">
        <f t="shared" si="34"/>
        <v>0</v>
      </c>
      <c r="AA145" s="158">
        <f t="shared" si="33"/>
        <v>0</v>
      </c>
      <c r="AB145" s="158">
        <f t="shared" si="33"/>
        <v>0</v>
      </c>
      <c r="AC145" s="158">
        <f t="shared" si="33"/>
        <v>0</v>
      </c>
      <c r="AD145" s="158">
        <f t="shared" si="33"/>
        <v>0</v>
      </c>
      <c r="AE145" s="157">
        <f t="shared" si="32"/>
        <v>0</v>
      </c>
    </row>
    <row r="146" spans="1:31" outlineLevel="2">
      <c r="A146" s="135" t="str">
        <f t="shared" si="25"/>
        <v>AmericanCommercialCEX</v>
      </c>
      <c r="B146" s="116" t="s">
        <v>494</v>
      </c>
      <c r="C146" s="116" t="s">
        <v>226</v>
      </c>
      <c r="D146" s="155">
        <v>4.26</v>
      </c>
      <c r="E146" s="155">
        <v>4.3099999999999996</v>
      </c>
      <c r="F146" s="156">
        <v>727.68999999999994</v>
      </c>
      <c r="G146" s="156">
        <v>890.34</v>
      </c>
      <c r="H146" s="156">
        <v>843.48</v>
      </c>
      <c r="I146" s="156">
        <v>1124.6400000000001</v>
      </c>
      <c r="J146" s="156">
        <v>491.52</v>
      </c>
      <c r="K146" s="156">
        <v>972.69</v>
      </c>
      <c r="L146" s="156">
        <v>1386.39</v>
      </c>
      <c r="M146" s="156">
        <v>2137.81</v>
      </c>
      <c r="N146" s="156">
        <v>909.41</v>
      </c>
      <c r="O146" s="156">
        <v>1090.43</v>
      </c>
      <c r="P146" s="156">
        <v>1504.25</v>
      </c>
      <c r="Q146" s="156">
        <v>1008.54</v>
      </c>
      <c r="R146" s="157">
        <f t="shared" si="26"/>
        <v>13087.190000000002</v>
      </c>
      <c r="S146" s="158">
        <f t="shared" si="30"/>
        <v>170.81924882629107</v>
      </c>
      <c r="T146" s="158">
        <f t="shared" si="30"/>
        <v>209.00000000000003</v>
      </c>
      <c r="U146" s="158">
        <f t="shared" si="30"/>
        <v>198</v>
      </c>
      <c r="V146" s="158">
        <f t="shared" si="30"/>
        <v>264.00000000000006</v>
      </c>
      <c r="W146" s="158">
        <f t="shared" si="30"/>
        <v>115.38028169014085</v>
      </c>
      <c r="X146" s="158">
        <f t="shared" si="34"/>
        <v>225.6821345707657</v>
      </c>
      <c r="Y146" s="158">
        <f t="shared" si="34"/>
        <v>321.6682134570766</v>
      </c>
      <c r="Z146" s="158">
        <f t="shared" si="34"/>
        <v>496.0116009280743</v>
      </c>
      <c r="AA146" s="158">
        <f t="shared" si="33"/>
        <v>211</v>
      </c>
      <c r="AB146" s="158">
        <f t="shared" si="33"/>
        <v>253.00000000000003</v>
      </c>
      <c r="AC146" s="158">
        <f t="shared" si="33"/>
        <v>349.01392111368915</v>
      </c>
      <c r="AD146" s="158">
        <f t="shared" si="33"/>
        <v>234</v>
      </c>
      <c r="AE146" s="157">
        <f t="shared" si="32"/>
        <v>3047.5754005860381</v>
      </c>
    </row>
    <row r="147" spans="1:31" outlineLevel="2">
      <c r="A147" s="135" t="str">
        <f t="shared" si="25"/>
        <v>AmericanCommercialCEXYD</v>
      </c>
      <c r="B147" s="116" t="s">
        <v>495</v>
      </c>
      <c r="C147" s="116" t="s">
        <v>227</v>
      </c>
      <c r="D147" s="155">
        <v>23.1</v>
      </c>
      <c r="E147" s="155">
        <v>23.3</v>
      </c>
      <c r="F147" s="156">
        <v>693</v>
      </c>
      <c r="G147" s="156">
        <v>1074.1500000000001</v>
      </c>
      <c r="H147" s="156">
        <v>1801.8</v>
      </c>
      <c r="I147" s="156">
        <v>866.25</v>
      </c>
      <c r="J147" s="156">
        <v>914.02</v>
      </c>
      <c r="K147" s="156">
        <v>897.05</v>
      </c>
      <c r="L147" s="156">
        <v>1200.53</v>
      </c>
      <c r="M147" s="156">
        <v>1315.92</v>
      </c>
      <c r="N147" s="156">
        <v>2283.4</v>
      </c>
      <c r="O147" s="156">
        <v>3052.3</v>
      </c>
      <c r="P147" s="156">
        <v>3644.36</v>
      </c>
      <c r="Q147" s="156">
        <v>1980.5</v>
      </c>
      <c r="R147" s="157">
        <f t="shared" si="26"/>
        <v>19723.28</v>
      </c>
      <c r="S147" s="158">
        <f t="shared" si="30"/>
        <v>29.999999999999996</v>
      </c>
      <c r="T147" s="158">
        <f t="shared" si="30"/>
        <v>46.5</v>
      </c>
      <c r="U147" s="158">
        <f t="shared" si="30"/>
        <v>78</v>
      </c>
      <c r="V147" s="158">
        <f t="shared" si="30"/>
        <v>37.5</v>
      </c>
      <c r="W147" s="158">
        <f t="shared" si="30"/>
        <v>39.567965367965364</v>
      </c>
      <c r="X147" s="158">
        <f t="shared" si="34"/>
        <v>38.5</v>
      </c>
      <c r="Y147" s="158">
        <f t="shared" si="34"/>
        <v>51.524892703862655</v>
      </c>
      <c r="Z147" s="158">
        <f t="shared" si="34"/>
        <v>56.477253218884123</v>
      </c>
      <c r="AA147" s="158">
        <f t="shared" si="33"/>
        <v>98</v>
      </c>
      <c r="AB147" s="158">
        <f t="shared" si="33"/>
        <v>131</v>
      </c>
      <c r="AC147" s="158">
        <f t="shared" si="33"/>
        <v>156.41030042918456</v>
      </c>
      <c r="AD147" s="158">
        <f t="shared" si="33"/>
        <v>85</v>
      </c>
      <c r="AE147" s="157">
        <f t="shared" si="32"/>
        <v>848.48041171989667</v>
      </c>
    </row>
    <row r="148" spans="1:31" outlineLevel="2">
      <c r="A148" s="135" t="str">
        <f t="shared" si="25"/>
        <v>AmericanCommercialCLOCK</v>
      </c>
      <c r="B148" s="116" t="s">
        <v>496</v>
      </c>
      <c r="C148" s="116" t="s">
        <v>497</v>
      </c>
      <c r="D148" s="155">
        <v>4.37</v>
      </c>
      <c r="E148" s="155">
        <v>4.37</v>
      </c>
      <c r="F148" s="156">
        <v>21.77</v>
      </c>
      <c r="G148" s="156">
        <v>21.77</v>
      </c>
      <c r="H148" s="156">
        <v>21.77</v>
      </c>
      <c r="I148" s="156">
        <v>21.77</v>
      </c>
      <c r="J148" s="156">
        <v>21.77</v>
      </c>
      <c r="K148" s="156">
        <v>21.85</v>
      </c>
      <c r="L148" s="156">
        <v>21.85</v>
      </c>
      <c r="M148" s="156">
        <v>21.85</v>
      </c>
      <c r="N148" s="156">
        <v>21.85</v>
      </c>
      <c r="O148" s="156">
        <v>21.85</v>
      </c>
      <c r="P148" s="156">
        <v>26.22</v>
      </c>
      <c r="Q148" s="156">
        <v>26.22</v>
      </c>
      <c r="R148" s="157">
        <f t="shared" si="26"/>
        <v>270.53999999999996</v>
      </c>
      <c r="S148" s="158">
        <f t="shared" si="30"/>
        <v>4.9816933638443937</v>
      </c>
      <c r="T148" s="158">
        <f t="shared" si="30"/>
        <v>4.9816933638443937</v>
      </c>
      <c r="U148" s="158">
        <f t="shared" si="30"/>
        <v>4.9816933638443937</v>
      </c>
      <c r="V148" s="158">
        <f t="shared" si="30"/>
        <v>4.9816933638443937</v>
      </c>
      <c r="W148" s="158">
        <f t="shared" si="30"/>
        <v>4.9816933638443937</v>
      </c>
      <c r="X148" s="158">
        <f t="shared" si="34"/>
        <v>5</v>
      </c>
      <c r="Y148" s="158">
        <f t="shared" si="34"/>
        <v>5</v>
      </c>
      <c r="Z148" s="158">
        <f t="shared" si="34"/>
        <v>5</v>
      </c>
      <c r="AA148" s="158">
        <f t="shared" si="33"/>
        <v>5</v>
      </c>
      <c r="AB148" s="158">
        <f t="shared" si="33"/>
        <v>5</v>
      </c>
      <c r="AC148" s="158">
        <f t="shared" si="33"/>
        <v>6</v>
      </c>
      <c r="AD148" s="158">
        <f t="shared" si="33"/>
        <v>6</v>
      </c>
      <c r="AE148" s="157">
        <f t="shared" si="32"/>
        <v>61.908466819221971</v>
      </c>
    </row>
    <row r="149" spans="1:31" outlineLevel="2">
      <c r="A149" s="135" t="str">
        <f t="shared" si="25"/>
        <v>AmericanCommercialCROLL</v>
      </c>
      <c r="B149" s="116" t="s">
        <v>498</v>
      </c>
      <c r="C149" s="116" t="s">
        <v>499</v>
      </c>
      <c r="D149" s="155">
        <v>15.72</v>
      </c>
      <c r="E149" s="155">
        <v>15.72</v>
      </c>
      <c r="F149" s="156">
        <v>864.6</v>
      </c>
      <c r="G149" s="156">
        <v>801.72</v>
      </c>
      <c r="H149" s="156">
        <v>801.72</v>
      </c>
      <c r="I149" s="156">
        <v>801.72</v>
      </c>
      <c r="J149" s="156">
        <v>788.17</v>
      </c>
      <c r="K149" s="156">
        <v>796.03</v>
      </c>
      <c r="L149" s="156">
        <v>819.61</v>
      </c>
      <c r="M149" s="156">
        <v>868.77</v>
      </c>
      <c r="N149" s="156">
        <v>904.14</v>
      </c>
      <c r="O149" s="156">
        <v>904.14</v>
      </c>
      <c r="P149" s="156">
        <v>888.42</v>
      </c>
      <c r="Q149" s="156">
        <v>849.12</v>
      </c>
      <c r="R149" s="157">
        <f t="shared" si="26"/>
        <v>10088.160000000002</v>
      </c>
      <c r="S149" s="158">
        <f t="shared" si="30"/>
        <v>55</v>
      </c>
      <c r="T149" s="158">
        <f t="shared" si="30"/>
        <v>51</v>
      </c>
      <c r="U149" s="158">
        <f t="shared" si="30"/>
        <v>51</v>
      </c>
      <c r="V149" s="158">
        <f t="shared" si="30"/>
        <v>51</v>
      </c>
      <c r="W149" s="158">
        <f t="shared" si="30"/>
        <v>50.138040712468189</v>
      </c>
      <c r="X149" s="158">
        <f t="shared" si="34"/>
        <v>50.638040712468189</v>
      </c>
      <c r="Y149" s="158">
        <f t="shared" si="34"/>
        <v>52.138040712468189</v>
      </c>
      <c r="Z149" s="158">
        <f t="shared" si="34"/>
        <v>55.265267175572518</v>
      </c>
      <c r="AA149" s="158">
        <f t="shared" si="33"/>
        <v>57.515267175572518</v>
      </c>
      <c r="AB149" s="158">
        <f t="shared" si="33"/>
        <v>57.515267175572518</v>
      </c>
      <c r="AC149" s="158">
        <f t="shared" si="33"/>
        <v>56.515267175572511</v>
      </c>
      <c r="AD149" s="158">
        <f t="shared" si="33"/>
        <v>54.015267175572518</v>
      </c>
      <c r="AE149" s="157">
        <f t="shared" si="32"/>
        <v>641.740458015267</v>
      </c>
    </row>
    <row r="150" spans="1:31" outlineLevel="2">
      <c r="A150" s="135" t="str">
        <f t="shared" si="25"/>
        <v>AmericanCommercialCTDEL</v>
      </c>
      <c r="B150" s="116" t="s">
        <v>500</v>
      </c>
      <c r="C150" s="116" t="s">
        <v>501</v>
      </c>
      <c r="D150" s="155">
        <v>39.42</v>
      </c>
      <c r="E150" s="155">
        <v>39.42</v>
      </c>
      <c r="F150" s="156">
        <v>354.78</v>
      </c>
      <c r="G150" s="156">
        <v>275.94</v>
      </c>
      <c r="H150" s="156">
        <v>197.1</v>
      </c>
      <c r="I150" s="156">
        <v>275.94</v>
      </c>
      <c r="J150" s="156">
        <v>236.52</v>
      </c>
      <c r="K150" s="156">
        <v>275.94</v>
      </c>
      <c r="L150" s="156">
        <v>433.62</v>
      </c>
      <c r="M150" s="156">
        <v>473.04</v>
      </c>
      <c r="N150" s="156">
        <v>236.52</v>
      </c>
      <c r="O150" s="156">
        <v>473.04</v>
      </c>
      <c r="P150" s="156">
        <v>394.2</v>
      </c>
      <c r="Q150" s="156">
        <v>315.36</v>
      </c>
      <c r="R150" s="157">
        <f t="shared" si="26"/>
        <v>3942</v>
      </c>
      <c r="S150" s="158">
        <f t="shared" si="30"/>
        <v>8.9999999999999982</v>
      </c>
      <c r="T150" s="158">
        <f t="shared" si="30"/>
        <v>7</v>
      </c>
      <c r="U150" s="158">
        <f t="shared" si="30"/>
        <v>5</v>
      </c>
      <c r="V150" s="158">
        <f t="shared" si="30"/>
        <v>7</v>
      </c>
      <c r="W150" s="158">
        <f t="shared" si="30"/>
        <v>6</v>
      </c>
      <c r="X150" s="158">
        <f t="shared" si="34"/>
        <v>7</v>
      </c>
      <c r="Y150" s="158">
        <f t="shared" si="34"/>
        <v>11</v>
      </c>
      <c r="Z150" s="158">
        <f t="shared" si="34"/>
        <v>12</v>
      </c>
      <c r="AA150" s="158">
        <f t="shared" si="33"/>
        <v>6</v>
      </c>
      <c r="AB150" s="158">
        <f t="shared" si="33"/>
        <v>12</v>
      </c>
      <c r="AC150" s="158">
        <f t="shared" si="33"/>
        <v>10</v>
      </c>
      <c r="AD150" s="158">
        <f t="shared" si="33"/>
        <v>8</v>
      </c>
      <c r="AE150" s="157">
        <f t="shared" si="32"/>
        <v>100</v>
      </c>
    </row>
    <row r="151" spans="1:31" outlineLevel="2">
      <c r="A151" s="135" t="str">
        <f t="shared" ref="A151:A156" si="35">+$A$5&amp;$A$86&amp;B151</f>
        <v>AmericanCommercialCTRIP</v>
      </c>
      <c r="B151" s="116" t="s">
        <v>502</v>
      </c>
      <c r="C151" s="116" t="s">
        <v>503</v>
      </c>
      <c r="D151" s="155">
        <v>15.53</v>
      </c>
      <c r="E151" s="155">
        <v>15.53</v>
      </c>
      <c r="F151" s="156">
        <v>46.59</v>
      </c>
      <c r="G151" s="156">
        <v>0</v>
      </c>
      <c r="H151" s="156">
        <v>15.53</v>
      </c>
      <c r="I151" s="156">
        <v>31.06</v>
      </c>
      <c r="J151" s="156">
        <v>46.59</v>
      </c>
      <c r="K151" s="156">
        <v>62.12</v>
      </c>
      <c r="L151" s="156">
        <v>62.12</v>
      </c>
      <c r="M151" s="156">
        <v>93.18</v>
      </c>
      <c r="N151" s="156">
        <v>0</v>
      </c>
      <c r="O151" s="156">
        <v>15.53</v>
      </c>
      <c r="P151" s="156">
        <v>46.59</v>
      </c>
      <c r="Q151" s="156">
        <v>62.12</v>
      </c>
      <c r="R151" s="157">
        <f t="shared" ref="R151:R158" si="36">SUM(F151:Q151)</f>
        <v>481.42999999999995</v>
      </c>
      <c r="S151" s="158">
        <f t="shared" si="30"/>
        <v>3.0000000000000004</v>
      </c>
      <c r="T151" s="158">
        <f t="shared" si="30"/>
        <v>0</v>
      </c>
      <c r="U151" s="158">
        <f t="shared" si="30"/>
        <v>1</v>
      </c>
      <c r="V151" s="158">
        <f t="shared" si="30"/>
        <v>2</v>
      </c>
      <c r="W151" s="158">
        <f t="shared" si="30"/>
        <v>3.0000000000000004</v>
      </c>
      <c r="X151" s="158">
        <f t="shared" si="34"/>
        <v>4</v>
      </c>
      <c r="Y151" s="158">
        <f t="shared" si="34"/>
        <v>4</v>
      </c>
      <c r="Z151" s="158">
        <f t="shared" si="34"/>
        <v>6.0000000000000009</v>
      </c>
      <c r="AA151" s="158">
        <f t="shared" si="33"/>
        <v>0</v>
      </c>
      <c r="AB151" s="158">
        <f t="shared" si="33"/>
        <v>1</v>
      </c>
      <c r="AC151" s="158">
        <f t="shared" si="33"/>
        <v>3.0000000000000004</v>
      </c>
      <c r="AD151" s="158">
        <f t="shared" si="33"/>
        <v>4</v>
      </c>
      <c r="AE151" s="157">
        <f t="shared" si="32"/>
        <v>31</v>
      </c>
    </row>
    <row r="152" spans="1:31" outlineLevel="2">
      <c r="A152" s="135" t="str">
        <f t="shared" si="35"/>
        <v>AmericanCommercialCUNLOCK</v>
      </c>
      <c r="B152" s="116" t="s">
        <v>504</v>
      </c>
      <c r="C152" s="116" t="s">
        <v>505</v>
      </c>
      <c r="D152" s="155">
        <v>4.37</v>
      </c>
      <c r="E152" s="155">
        <v>4.37</v>
      </c>
      <c r="F152" s="156">
        <v>21.85</v>
      </c>
      <c r="G152" s="156">
        <v>21.85</v>
      </c>
      <c r="H152" s="156">
        <v>21.85</v>
      </c>
      <c r="I152" s="156">
        <v>21.85</v>
      </c>
      <c r="J152" s="156">
        <v>21.85</v>
      </c>
      <c r="K152" s="156">
        <v>26.22</v>
      </c>
      <c r="L152" s="156">
        <v>26.22</v>
      </c>
      <c r="M152" s="156">
        <v>26.22</v>
      </c>
      <c r="N152" s="156">
        <v>26.22</v>
      </c>
      <c r="O152" s="156">
        <v>26.22</v>
      </c>
      <c r="P152" s="156">
        <v>26.22</v>
      </c>
      <c r="Q152" s="156">
        <v>26.22</v>
      </c>
      <c r="R152" s="157">
        <f t="shared" si="36"/>
        <v>292.78999999999996</v>
      </c>
      <c r="S152" s="158">
        <f t="shared" si="30"/>
        <v>5</v>
      </c>
      <c r="T152" s="158">
        <f t="shared" si="30"/>
        <v>5</v>
      </c>
      <c r="U152" s="158">
        <f t="shared" si="30"/>
        <v>5</v>
      </c>
      <c r="V152" s="158">
        <f t="shared" si="30"/>
        <v>5</v>
      </c>
      <c r="W152" s="158">
        <f t="shared" si="30"/>
        <v>5</v>
      </c>
      <c r="X152" s="158">
        <f t="shared" si="34"/>
        <v>6</v>
      </c>
      <c r="Y152" s="158">
        <f t="shared" si="34"/>
        <v>6</v>
      </c>
      <c r="Z152" s="158">
        <f t="shared" si="34"/>
        <v>6</v>
      </c>
      <c r="AA152" s="158">
        <f t="shared" si="33"/>
        <v>6</v>
      </c>
      <c r="AB152" s="158">
        <f t="shared" si="33"/>
        <v>6</v>
      </c>
      <c r="AC152" s="158">
        <f t="shared" si="33"/>
        <v>6</v>
      </c>
      <c r="AD152" s="158">
        <f t="shared" si="33"/>
        <v>6</v>
      </c>
      <c r="AE152" s="157">
        <f t="shared" si="32"/>
        <v>67</v>
      </c>
    </row>
    <row r="153" spans="1:31" outlineLevel="2">
      <c r="A153" s="135" t="str">
        <f t="shared" si="35"/>
        <v>AmericanCommercialDRIVEDWAY-COMM</v>
      </c>
      <c r="B153" s="116" t="s">
        <v>506</v>
      </c>
      <c r="C153" s="116" t="s">
        <v>507</v>
      </c>
      <c r="D153" s="155">
        <v>0</v>
      </c>
      <c r="E153" s="155">
        <v>0</v>
      </c>
      <c r="F153" s="156">
        <v>0</v>
      </c>
      <c r="G153" s="156">
        <v>0</v>
      </c>
      <c r="H153" s="156">
        <v>0</v>
      </c>
      <c r="I153" s="156">
        <v>0</v>
      </c>
      <c r="J153" s="156">
        <v>0</v>
      </c>
      <c r="K153" s="156">
        <v>0</v>
      </c>
      <c r="L153" s="156">
        <v>0</v>
      </c>
      <c r="M153" s="156">
        <v>0</v>
      </c>
      <c r="N153" s="156">
        <v>0</v>
      </c>
      <c r="O153" s="156">
        <v>0</v>
      </c>
      <c r="P153" s="156">
        <v>0</v>
      </c>
      <c r="Q153" s="156">
        <v>0</v>
      </c>
      <c r="R153" s="157">
        <f t="shared" si="36"/>
        <v>0</v>
      </c>
      <c r="S153" s="158">
        <f t="shared" si="30"/>
        <v>0</v>
      </c>
      <c r="T153" s="158">
        <f t="shared" si="30"/>
        <v>0</v>
      </c>
      <c r="U153" s="158">
        <f t="shared" si="30"/>
        <v>0</v>
      </c>
      <c r="V153" s="158">
        <f t="shared" si="30"/>
        <v>0</v>
      </c>
      <c r="W153" s="158">
        <f t="shared" si="30"/>
        <v>0</v>
      </c>
      <c r="X153" s="158">
        <f t="shared" si="34"/>
        <v>0</v>
      </c>
      <c r="Y153" s="158">
        <f t="shared" si="34"/>
        <v>0</v>
      </c>
      <c r="Z153" s="158">
        <f t="shared" si="34"/>
        <v>0</v>
      </c>
      <c r="AA153" s="158">
        <f t="shared" si="33"/>
        <v>0</v>
      </c>
      <c r="AB153" s="158">
        <f t="shared" si="33"/>
        <v>0</v>
      </c>
      <c r="AC153" s="158">
        <f t="shared" si="33"/>
        <v>0</v>
      </c>
      <c r="AD153" s="158">
        <f t="shared" si="33"/>
        <v>0</v>
      </c>
      <c r="AE153" s="157">
        <f t="shared" si="32"/>
        <v>0</v>
      </c>
    </row>
    <row r="154" spans="1:31" outlineLevel="2">
      <c r="A154" s="135" t="str">
        <f t="shared" si="35"/>
        <v>AmericanCommercialDRIVEPVT-COMM</v>
      </c>
      <c r="B154" s="116" t="s">
        <v>508</v>
      </c>
      <c r="C154" s="116" t="s">
        <v>509</v>
      </c>
      <c r="D154" s="155">
        <v>0</v>
      </c>
      <c r="E154" s="155"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6">
        <v>0</v>
      </c>
      <c r="Q154" s="156">
        <v>0</v>
      </c>
      <c r="R154" s="157">
        <f t="shared" si="36"/>
        <v>0</v>
      </c>
      <c r="S154" s="158">
        <f t="shared" ref="S154:W156" si="37">+IFERROR(F154/$D154,0)</f>
        <v>0</v>
      </c>
      <c r="T154" s="158">
        <f t="shared" si="37"/>
        <v>0</v>
      </c>
      <c r="U154" s="158">
        <f t="shared" si="37"/>
        <v>0</v>
      </c>
      <c r="V154" s="158">
        <f t="shared" si="37"/>
        <v>0</v>
      </c>
      <c r="W154" s="158">
        <f t="shared" si="37"/>
        <v>0</v>
      </c>
      <c r="X154" s="158">
        <f t="shared" si="34"/>
        <v>0</v>
      </c>
      <c r="Y154" s="158">
        <f t="shared" si="34"/>
        <v>0</v>
      </c>
      <c r="Z154" s="158">
        <f t="shared" si="34"/>
        <v>0</v>
      </c>
      <c r="AA154" s="158">
        <f t="shared" si="33"/>
        <v>0</v>
      </c>
      <c r="AB154" s="158">
        <f t="shared" si="33"/>
        <v>0</v>
      </c>
      <c r="AC154" s="158">
        <f t="shared" si="33"/>
        <v>0</v>
      </c>
      <c r="AD154" s="158">
        <f t="shared" si="33"/>
        <v>0</v>
      </c>
      <c r="AE154" s="157">
        <f t="shared" si="32"/>
        <v>0</v>
      </c>
    </row>
    <row r="155" spans="1:31" outlineLevel="2">
      <c r="A155" s="135" t="str">
        <f t="shared" si="35"/>
        <v>AmericanCommercialDRVNC</v>
      </c>
      <c r="B155" s="116" t="s">
        <v>510</v>
      </c>
      <c r="C155" s="116" t="s">
        <v>511</v>
      </c>
      <c r="D155" s="155">
        <v>4.68</v>
      </c>
      <c r="E155" s="155">
        <v>4.68</v>
      </c>
      <c r="F155" s="156">
        <v>37.44</v>
      </c>
      <c r="G155" s="156">
        <v>37.44</v>
      </c>
      <c r="H155" s="156">
        <v>37.44</v>
      </c>
      <c r="I155" s="156">
        <v>42.12</v>
      </c>
      <c r="J155" s="156">
        <v>39.78</v>
      </c>
      <c r="K155" s="156">
        <v>42.12</v>
      </c>
      <c r="L155" s="156">
        <v>42.12</v>
      </c>
      <c r="M155" s="156">
        <v>46.8</v>
      </c>
      <c r="N155" s="156">
        <v>46.8</v>
      </c>
      <c r="O155" s="156">
        <v>42.12</v>
      </c>
      <c r="P155" s="156">
        <v>42.12</v>
      </c>
      <c r="Q155" s="156">
        <v>42.12</v>
      </c>
      <c r="R155" s="157">
        <f t="shared" si="36"/>
        <v>498.42</v>
      </c>
      <c r="S155" s="158">
        <f t="shared" si="37"/>
        <v>8</v>
      </c>
      <c r="T155" s="158">
        <f t="shared" si="37"/>
        <v>8</v>
      </c>
      <c r="U155" s="158">
        <f t="shared" si="37"/>
        <v>8</v>
      </c>
      <c r="V155" s="158">
        <f t="shared" si="37"/>
        <v>9</v>
      </c>
      <c r="W155" s="158">
        <f t="shared" si="37"/>
        <v>8.5</v>
      </c>
      <c r="X155" s="158">
        <f t="shared" si="34"/>
        <v>9</v>
      </c>
      <c r="Y155" s="158">
        <f t="shared" si="34"/>
        <v>9</v>
      </c>
      <c r="Z155" s="158">
        <f t="shared" si="34"/>
        <v>10</v>
      </c>
      <c r="AA155" s="158">
        <f t="shared" si="33"/>
        <v>10</v>
      </c>
      <c r="AB155" s="158">
        <f t="shared" si="33"/>
        <v>9</v>
      </c>
      <c r="AC155" s="158">
        <f t="shared" si="33"/>
        <v>9</v>
      </c>
      <c r="AD155" s="158">
        <f t="shared" si="33"/>
        <v>9</v>
      </c>
      <c r="AE155" s="157">
        <f t="shared" si="32"/>
        <v>106.5</v>
      </c>
    </row>
    <row r="156" spans="1:31" outlineLevel="2">
      <c r="A156" s="135" t="str">
        <f t="shared" si="35"/>
        <v>AmericanCommercialTIMEC</v>
      </c>
      <c r="B156" s="116" t="s">
        <v>512</v>
      </c>
      <c r="C156" s="116" t="s">
        <v>513</v>
      </c>
      <c r="D156" s="155">
        <v>0</v>
      </c>
      <c r="E156" s="155">
        <v>0</v>
      </c>
      <c r="F156" s="156">
        <v>0</v>
      </c>
      <c r="G156" s="156">
        <v>0</v>
      </c>
      <c r="H156" s="156">
        <v>0</v>
      </c>
      <c r="I156" s="156">
        <v>0</v>
      </c>
      <c r="J156" s="156">
        <v>77.63</v>
      </c>
      <c r="K156" s="156">
        <v>0</v>
      </c>
      <c r="L156" s="156">
        <v>77.63</v>
      </c>
      <c r="M156" s="156">
        <v>790.19</v>
      </c>
      <c r="N156" s="156">
        <v>0</v>
      </c>
      <c r="O156" s="156">
        <v>0</v>
      </c>
      <c r="P156" s="156">
        <v>0</v>
      </c>
      <c r="Q156" s="156">
        <v>2873.43</v>
      </c>
      <c r="R156" s="157">
        <f t="shared" si="36"/>
        <v>3818.88</v>
      </c>
      <c r="S156" s="158">
        <f t="shared" si="37"/>
        <v>0</v>
      </c>
      <c r="T156" s="158">
        <f t="shared" si="37"/>
        <v>0</v>
      </c>
      <c r="U156" s="158">
        <f t="shared" si="37"/>
        <v>0</v>
      </c>
      <c r="V156" s="158">
        <f t="shared" si="37"/>
        <v>0</v>
      </c>
      <c r="W156" s="158">
        <f t="shared" si="37"/>
        <v>0</v>
      </c>
      <c r="X156" s="158">
        <f t="shared" si="34"/>
        <v>0</v>
      </c>
      <c r="Y156" s="158">
        <f t="shared" si="34"/>
        <v>0</v>
      </c>
      <c r="Z156" s="158">
        <f t="shared" si="34"/>
        <v>0</v>
      </c>
      <c r="AA156" s="158">
        <f t="shared" si="33"/>
        <v>0</v>
      </c>
      <c r="AB156" s="158">
        <f t="shared" si="33"/>
        <v>0</v>
      </c>
      <c r="AC156" s="158">
        <f t="shared" si="33"/>
        <v>0</v>
      </c>
      <c r="AD156" s="158">
        <f t="shared" si="33"/>
        <v>0</v>
      </c>
      <c r="AE156" s="157">
        <f t="shared" si="32"/>
        <v>0</v>
      </c>
    </row>
    <row r="157" spans="1:31" outlineLevel="2">
      <c r="B157" s="169"/>
      <c r="C157" s="116"/>
      <c r="D157" s="155"/>
      <c r="E157" s="155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7">
        <f t="shared" si="36"/>
        <v>0</v>
      </c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7"/>
    </row>
    <row r="158" spans="1:31" outlineLevel="1">
      <c r="B158" s="116"/>
      <c r="C158" s="159" t="s">
        <v>514</v>
      </c>
      <c r="D158" s="155"/>
      <c r="E158" s="155"/>
      <c r="F158" s="162">
        <f t="shared" ref="F158:Q158" si="38">SUM(F87:F157)</f>
        <v>138726.04</v>
      </c>
      <c r="G158" s="162">
        <f t="shared" si="38"/>
        <v>136843.37000000002</v>
      </c>
      <c r="H158" s="162">
        <f t="shared" si="38"/>
        <v>137335.1</v>
      </c>
      <c r="I158" s="162">
        <f t="shared" si="38"/>
        <v>134073.44999999998</v>
      </c>
      <c r="J158" s="162">
        <f t="shared" si="38"/>
        <v>135179.83999999997</v>
      </c>
      <c r="K158" s="162">
        <f t="shared" si="38"/>
        <v>137103.15999999997</v>
      </c>
      <c r="L158" s="162">
        <f t="shared" si="38"/>
        <v>141795.22999999998</v>
      </c>
      <c r="M158" s="162">
        <f t="shared" si="38"/>
        <v>148710.42000000001</v>
      </c>
      <c r="N158" s="162">
        <f t="shared" si="38"/>
        <v>149667.02000000002</v>
      </c>
      <c r="O158" s="162">
        <f t="shared" si="38"/>
        <v>152049.78000000003</v>
      </c>
      <c r="P158" s="162">
        <f t="shared" si="38"/>
        <v>151965.78000000006</v>
      </c>
      <c r="Q158" s="162">
        <f t="shared" si="38"/>
        <v>152040.95999999996</v>
      </c>
      <c r="R158" s="163">
        <f t="shared" si="36"/>
        <v>1715490.15</v>
      </c>
      <c r="S158" s="162">
        <f t="shared" ref="S158:AE158" si="39">SUM(S87:S93,S95:S97,S99:S102,S104:S108,S111:S117,S120:S121,S123:S125,S128:S132,S134:S140,S142)</f>
        <v>614.28860013854751</v>
      </c>
      <c r="T158" s="162">
        <f t="shared" si="39"/>
        <v>606.67202770721133</v>
      </c>
      <c r="U158" s="162">
        <f t="shared" si="39"/>
        <v>609.2161602566681</v>
      </c>
      <c r="V158" s="162">
        <f t="shared" si="39"/>
        <v>602.52989375266134</v>
      </c>
      <c r="W158" s="162">
        <f t="shared" si="39"/>
        <v>609.7413954794323</v>
      </c>
      <c r="X158" s="162">
        <f t="shared" si="39"/>
        <v>606.60307845226146</v>
      </c>
      <c r="Y158" s="162">
        <f t="shared" si="39"/>
        <v>615.62508262153483</v>
      </c>
      <c r="Z158" s="162">
        <f t="shared" si="39"/>
        <v>628.46003588956023</v>
      </c>
      <c r="AA158" s="162">
        <f t="shared" si="39"/>
        <v>637.00011111028073</v>
      </c>
      <c r="AB158" s="162">
        <f t="shared" si="39"/>
        <v>641.00012408456712</v>
      </c>
      <c r="AC158" s="162">
        <f t="shared" si="39"/>
        <v>639.50077869594463</v>
      </c>
      <c r="AD158" s="162">
        <f t="shared" si="39"/>
        <v>648.75662453235611</v>
      </c>
      <c r="AE158" s="163">
        <f t="shared" si="39"/>
        <v>7459.393912721026</v>
      </c>
    </row>
    <row r="159" spans="1:31" outlineLevel="1">
      <c r="B159" s="116"/>
      <c r="C159" s="159"/>
      <c r="D159" s="155"/>
      <c r="E159" s="155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7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7"/>
    </row>
    <row r="160" spans="1:31" outlineLevel="1">
      <c r="B160" s="116"/>
      <c r="C160" s="159"/>
      <c r="D160" s="155"/>
      <c r="E160" s="15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6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7"/>
    </row>
    <row r="161" spans="1:31" s="190" customFormat="1" outlineLevel="2">
      <c r="A161" s="190" t="s">
        <v>141</v>
      </c>
      <c r="B161" s="191" t="s">
        <v>516</v>
      </c>
      <c r="C161" s="192"/>
      <c r="D161" s="193"/>
      <c r="E161" s="193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</row>
    <row r="162" spans="1:31" outlineLevel="2">
      <c r="A162" s="135" t="str">
        <f t="shared" ref="A162:A197" si="40">+$A$5&amp;$A$161&amp;B162</f>
        <v>AmericanMulti-Family35MW1</v>
      </c>
      <c r="B162" s="116" t="s">
        <v>517</v>
      </c>
      <c r="C162" s="116" t="s">
        <v>228</v>
      </c>
      <c r="D162" s="155">
        <v>19.88</v>
      </c>
      <c r="E162" s="155">
        <v>20.63</v>
      </c>
      <c r="F162" s="156">
        <v>1888.6</v>
      </c>
      <c r="G162" s="156">
        <v>1952.91</v>
      </c>
      <c r="H162" s="156">
        <v>1973.7</v>
      </c>
      <c r="I162" s="156">
        <v>1994.1</v>
      </c>
      <c r="J162" s="156">
        <v>2019.6</v>
      </c>
      <c r="K162" s="156">
        <v>2052.69</v>
      </c>
      <c r="L162" s="156">
        <v>2083.63</v>
      </c>
      <c r="M162" s="156">
        <v>2073.31</v>
      </c>
      <c r="N162" s="156">
        <v>2093.9499999999998</v>
      </c>
      <c r="O162" s="156">
        <v>2140.36</v>
      </c>
      <c r="P162" s="156">
        <v>2145.52</v>
      </c>
      <c r="Q162" s="156">
        <v>2130.0500000000002</v>
      </c>
      <c r="R162" s="157">
        <f t="shared" ref="R162:R197" si="41">SUM(F162:Q162)</f>
        <v>24548.42</v>
      </c>
      <c r="S162" s="158">
        <f t="shared" ref="S162:W197" si="42">+IFERROR(F162/$D162,0)</f>
        <v>95</v>
      </c>
      <c r="T162" s="158">
        <f t="shared" si="42"/>
        <v>98.234909456740453</v>
      </c>
      <c r="U162" s="158">
        <f t="shared" si="42"/>
        <v>99.280684104627767</v>
      </c>
      <c r="V162" s="158">
        <f t="shared" si="42"/>
        <v>100.30684104627767</v>
      </c>
      <c r="W162" s="158">
        <f t="shared" si="42"/>
        <v>101.58953722334005</v>
      </c>
      <c r="X162" s="158">
        <f t="shared" ref="X162:AD197" si="43">+IFERROR(K162/$E162,0)</f>
        <v>99.500242365487168</v>
      </c>
      <c r="Y162" s="158">
        <f t="shared" si="43"/>
        <v>101.00000000000001</v>
      </c>
      <c r="Z162" s="158">
        <f t="shared" si="43"/>
        <v>100.49975763451285</v>
      </c>
      <c r="AA162" s="158">
        <f t="shared" si="43"/>
        <v>101.50024236548715</v>
      </c>
      <c r="AB162" s="158">
        <f t="shared" si="43"/>
        <v>103.74987881725643</v>
      </c>
      <c r="AC162" s="158">
        <f t="shared" si="43"/>
        <v>104</v>
      </c>
      <c r="AD162" s="158">
        <f t="shared" si="43"/>
        <v>103.2501211827436</v>
      </c>
      <c r="AE162" s="157">
        <f t="shared" ref="AE162:AE184" si="44">+SUM(S162:AD162)/$AB$3</f>
        <v>1207.9122141964733</v>
      </c>
    </row>
    <row r="163" spans="1:31" outlineLevel="2">
      <c r="A163" s="135" t="str">
        <f t="shared" si="40"/>
        <v>AmericanMulti-Family35MW1N</v>
      </c>
      <c r="B163" s="116" t="s">
        <v>518</v>
      </c>
      <c r="C163" s="116" t="s">
        <v>229</v>
      </c>
      <c r="D163" s="155">
        <v>20.63</v>
      </c>
      <c r="E163" s="155">
        <v>21.38</v>
      </c>
      <c r="F163" s="156">
        <v>0</v>
      </c>
      <c r="G163" s="156">
        <v>0</v>
      </c>
      <c r="H163" s="156">
        <v>0</v>
      </c>
      <c r="I163" s="156">
        <v>0</v>
      </c>
      <c r="J163" s="156">
        <v>0</v>
      </c>
      <c r="K163" s="156">
        <v>0</v>
      </c>
      <c r="L163" s="156">
        <v>0</v>
      </c>
      <c r="M163" s="156">
        <v>5.35</v>
      </c>
      <c r="N163" s="156">
        <v>0</v>
      </c>
      <c r="O163" s="156">
        <v>0</v>
      </c>
      <c r="P163" s="156">
        <v>0</v>
      </c>
      <c r="Q163" s="156">
        <v>0</v>
      </c>
      <c r="R163" s="157">
        <f t="shared" si="41"/>
        <v>5.35</v>
      </c>
      <c r="S163" s="158">
        <f t="shared" si="42"/>
        <v>0</v>
      </c>
      <c r="T163" s="158">
        <f t="shared" si="42"/>
        <v>0</v>
      </c>
      <c r="U163" s="158">
        <f t="shared" si="42"/>
        <v>0</v>
      </c>
      <c r="V163" s="158">
        <f t="shared" si="42"/>
        <v>0</v>
      </c>
      <c r="W163" s="158">
        <f t="shared" si="42"/>
        <v>0</v>
      </c>
      <c r="X163" s="158">
        <f t="shared" si="43"/>
        <v>0</v>
      </c>
      <c r="Y163" s="158">
        <f t="shared" si="43"/>
        <v>0</v>
      </c>
      <c r="Z163" s="158">
        <f t="shared" si="43"/>
        <v>0.25023386342376053</v>
      </c>
      <c r="AA163" s="158">
        <f t="shared" si="43"/>
        <v>0</v>
      </c>
      <c r="AB163" s="158">
        <f t="shared" si="43"/>
        <v>0</v>
      </c>
      <c r="AC163" s="158">
        <f t="shared" si="43"/>
        <v>0</v>
      </c>
      <c r="AD163" s="158">
        <f t="shared" si="43"/>
        <v>0</v>
      </c>
      <c r="AE163" s="157">
        <f t="shared" si="44"/>
        <v>0.25023386342376053</v>
      </c>
    </row>
    <row r="164" spans="1:31" outlineLevel="2">
      <c r="A164" s="135" t="str">
        <f t="shared" si="40"/>
        <v>AmericanMulti-Family65MW1</v>
      </c>
      <c r="B164" s="116" t="s">
        <v>519</v>
      </c>
      <c r="C164" s="116" t="s">
        <v>230</v>
      </c>
      <c r="D164" s="155">
        <v>31.21</v>
      </c>
      <c r="E164" s="155">
        <v>32.340000000000003</v>
      </c>
      <c r="F164" s="156">
        <v>343.31</v>
      </c>
      <c r="G164" s="156">
        <v>320.2</v>
      </c>
      <c r="H164" s="156">
        <v>320.2</v>
      </c>
      <c r="I164" s="156">
        <v>352.22</v>
      </c>
      <c r="J164" s="156">
        <v>360.23</v>
      </c>
      <c r="K164" s="156">
        <v>316.55</v>
      </c>
      <c r="L164" s="156">
        <v>420.42</v>
      </c>
      <c r="M164" s="156">
        <v>509.36</v>
      </c>
      <c r="N164" s="156">
        <v>517.44000000000005</v>
      </c>
      <c r="O164" s="156">
        <v>557.87</v>
      </c>
      <c r="P164" s="156">
        <v>533.61</v>
      </c>
      <c r="Q164" s="156">
        <v>549.78</v>
      </c>
      <c r="R164" s="157">
        <f t="shared" si="41"/>
        <v>5101.1899999999996</v>
      </c>
      <c r="S164" s="158">
        <f t="shared" si="42"/>
        <v>11</v>
      </c>
      <c r="T164" s="158">
        <f t="shared" si="42"/>
        <v>10.259532201217558</v>
      </c>
      <c r="U164" s="158">
        <f t="shared" si="42"/>
        <v>10.259532201217558</v>
      </c>
      <c r="V164" s="158">
        <f t="shared" si="42"/>
        <v>11.285485421339315</v>
      </c>
      <c r="W164" s="158">
        <f t="shared" si="42"/>
        <v>11.542133931432234</v>
      </c>
      <c r="X164" s="158">
        <f t="shared" si="43"/>
        <v>9.7881880024737153</v>
      </c>
      <c r="Y164" s="158">
        <f t="shared" si="43"/>
        <v>13</v>
      </c>
      <c r="Z164" s="158">
        <f t="shared" si="43"/>
        <v>15.750154607297464</v>
      </c>
      <c r="AA164" s="158">
        <f t="shared" si="43"/>
        <v>16</v>
      </c>
      <c r="AB164" s="158">
        <f t="shared" si="43"/>
        <v>17.250154607297464</v>
      </c>
      <c r="AC164" s="158">
        <f t="shared" si="43"/>
        <v>16.5</v>
      </c>
      <c r="AD164" s="158">
        <f t="shared" si="43"/>
        <v>16.999999999999996</v>
      </c>
      <c r="AE164" s="157">
        <f t="shared" si="44"/>
        <v>159.63518097227529</v>
      </c>
    </row>
    <row r="165" spans="1:31" outlineLevel="2">
      <c r="A165" s="135" t="str">
        <f t="shared" si="40"/>
        <v>AmericanMulti-Family65MW1N</v>
      </c>
      <c r="B165" s="116" t="s">
        <v>520</v>
      </c>
      <c r="C165" s="116" t="s">
        <v>231</v>
      </c>
      <c r="D165" s="155">
        <v>31.96</v>
      </c>
      <c r="E165" s="155">
        <v>33.090000000000003</v>
      </c>
      <c r="F165" s="156">
        <v>0</v>
      </c>
      <c r="G165" s="156">
        <v>0</v>
      </c>
      <c r="H165" s="156">
        <v>0</v>
      </c>
      <c r="I165" s="156">
        <v>0</v>
      </c>
      <c r="J165" s="156">
        <v>0</v>
      </c>
      <c r="K165" s="156">
        <v>0</v>
      </c>
      <c r="L165" s="156">
        <v>0</v>
      </c>
      <c r="M165" s="156">
        <v>0</v>
      </c>
      <c r="N165" s="156">
        <v>0</v>
      </c>
      <c r="O165" s="156">
        <v>0</v>
      </c>
      <c r="P165" s="156">
        <v>0</v>
      </c>
      <c r="Q165" s="156">
        <v>0</v>
      </c>
      <c r="R165" s="157">
        <f t="shared" si="41"/>
        <v>0</v>
      </c>
      <c r="S165" s="158">
        <f t="shared" si="42"/>
        <v>0</v>
      </c>
      <c r="T165" s="158">
        <f t="shared" si="42"/>
        <v>0</v>
      </c>
      <c r="U165" s="158">
        <f t="shared" si="42"/>
        <v>0</v>
      </c>
      <c r="V165" s="158">
        <f t="shared" si="42"/>
        <v>0</v>
      </c>
      <c r="W165" s="158">
        <f t="shared" si="42"/>
        <v>0</v>
      </c>
      <c r="X165" s="158">
        <f t="shared" si="43"/>
        <v>0</v>
      </c>
      <c r="Y165" s="158">
        <f t="shared" si="43"/>
        <v>0</v>
      </c>
      <c r="Z165" s="158">
        <f t="shared" si="43"/>
        <v>0</v>
      </c>
      <c r="AA165" s="158">
        <f t="shared" si="43"/>
        <v>0</v>
      </c>
      <c r="AB165" s="158">
        <f t="shared" si="43"/>
        <v>0</v>
      </c>
      <c r="AC165" s="158">
        <f t="shared" si="43"/>
        <v>0</v>
      </c>
      <c r="AD165" s="158">
        <f t="shared" si="43"/>
        <v>0</v>
      </c>
      <c r="AE165" s="157">
        <f t="shared" si="44"/>
        <v>0</v>
      </c>
    </row>
    <row r="166" spans="1:31" outlineLevel="2">
      <c r="A166" s="135" t="str">
        <f t="shared" si="40"/>
        <v>AmericanMulti-Family95MW1</v>
      </c>
      <c r="B166" s="116" t="s">
        <v>521</v>
      </c>
      <c r="C166" s="116" t="s">
        <v>232</v>
      </c>
      <c r="D166" s="155">
        <v>45.97</v>
      </c>
      <c r="E166" s="155">
        <v>47.64</v>
      </c>
      <c r="F166" s="156">
        <v>91.94</v>
      </c>
      <c r="G166" s="156">
        <v>94.34</v>
      </c>
      <c r="H166" s="156">
        <v>82.55</v>
      </c>
      <c r="I166" s="156">
        <v>58.96</v>
      </c>
      <c r="J166" s="156">
        <v>94.34</v>
      </c>
      <c r="K166" s="156">
        <v>107.19</v>
      </c>
      <c r="L166" s="156">
        <v>154.83000000000001</v>
      </c>
      <c r="M166" s="156">
        <v>190.56</v>
      </c>
      <c r="N166" s="156">
        <v>166.74</v>
      </c>
      <c r="O166" s="156">
        <v>273.93</v>
      </c>
      <c r="P166" s="156">
        <v>416.85</v>
      </c>
      <c r="Q166" s="156">
        <v>476.4</v>
      </c>
      <c r="R166" s="157">
        <f t="shared" si="41"/>
        <v>2208.63</v>
      </c>
      <c r="S166" s="158">
        <f t="shared" si="42"/>
        <v>2</v>
      </c>
      <c r="T166" s="158">
        <f t="shared" si="42"/>
        <v>2.0522079617141618</v>
      </c>
      <c r="U166" s="158">
        <f t="shared" si="42"/>
        <v>1.7957363497933434</v>
      </c>
      <c r="V166" s="158">
        <f t="shared" si="42"/>
        <v>1.2825755927778988</v>
      </c>
      <c r="W166" s="158">
        <f t="shared" si="42"/>
        <v>2.0522079617141618</v>
      </c>
      <c r="X166" s="158">
        <f t="shared" si="43"/>
        <v>2.25</v>
      </c>
      <c r="Y166" s="158">
        <f t="shared" si="43"/>
        <v>3.2500000000000004</v>
      </c>
      <c r="Z166" s="158">
        <f t="shared" si="43"/>
        <v>4</v>
      </c>
      <c r="AA166" s="158">
        <f t="shared" si="43"/>
        <v>3.5</v>
      </c>
      <c r="AB166" s="158">
        <f t="shared" si="43"/>
        <v>5.75</v>
      </c>
      <c r="AC166" s="158">
        <f t="shared" si="43"/>
        <v>8.75</v>
      </c>
      <c r="AD166" s="158">
        <f t="shared" si="43"/>
        <v>10</v>
      </c>
      <c r="AE166" s="157">
        <f t="shared" si="44"/>
        <v>46.682727865999567</v>
      </c>
    </row>
    <row r="167" spans="1:31" outlineLevel="2">
      <c r="A167" s="135" t="str">
        <f t="shared" si="40"/>
        <v>AmericanMulti-Family95MW1N</v>
      </c>
      <c r="B167" s="116" t="s">
        <v>522</v>
      </c>
      <c r="C167" s="116" t="s">
        <v>233</v>
      </c>
      <c r="D167" s="155">
        <v>46.72</v>
      </c>
      <c r="E167" s="155">
        <v>48.39</v>
      </c>
      <c r="F167" s="156">
        <v>0</v>
      </c>
      <c r="G167" s="156">
        <v>46.72</v>
      </c>
      <c r="H167" s="156">
        <v>47.92</v>
      </c>
      <c r="I167" s="156">
        <v>47.92</v>
      </c>
      <c r="J167" s="156">
        <v>47.92</v>
      </c>
      <c r="K167" s="156">
        <v>48.39</v>
      </c>
      <c r="L167" s="156">
        <v>48.39</v>
      </c>
      <c r="M167" s="156">
        <v>48.39</v>
      </c>
      <c r="N167" s="156">
        <v>48.39</v>
      </c>
      <c r="O167" s="156">
        <v>12.1</v>
      </c>
      <c r="P167" s="156">
        <v>0</v>
      </c>
      <c r="Q167" s="156">
        <v>0</v>
      </c>
      <c r="R167" s="157">
        <f t="shared" si="41"/>
        <v>396.14</v>
      </c>
      <c r="S167" s="158">
        <f t="shared" si="42"/>
        <v>0</v>
      </c>
      <c r="T167" s="158">
        <f t="shared" si="42"/>
        <v>1</v>
      </c>
      <c r="U167" s="158">
        <f t="shared" si="42"/>
        <v>1.0256849315068495</v>
      </c>
      <c r="V167" s="158">
        <f t="shared" si="42"/>
        <v>1.0256849315068495</v>
      </c>
      <c r="W167" s="158">
        <f t="shared" si="42"/>
        <v>1.0256849315068495</v>
      </c>
      <c r="X167" s="158">
        <f t="shared" si="43"/>
        <v>1</v>
      </c>
      <c r="Y167" s="158">
        <f t="shared" si="43"/>
        <v>1</v>
      </c>
      <c r="Z167" s="158">
        <f t="shared" si="43"/>
        <v>1</v>
      </c>
      <c r="AA167" s="158">
        <f t="shared" si="43"/>
        <v>1</v>
      </c>
      <c r="AB167" s="158">
        <f t="shared" si="43"/>
        <v>0.25005166356685266</v>
      </c>
      <c r="AC167" s="158">
        <f t="shared" si="43"/>
        <v>0</v>
      </c>
      <c r="AD167" s="158">
        <f t="shared" si="43"/>
        <v>0</v>
      </c>
      <c r="AE167" s="157">
        <f t="shared" si="44"/>
        <v>8.3271064580874015</v>
      </c>
    </row>
    <row r="168" spans="1:31" outlineLevel="2">
      <c r="A168" s="135" t="str">
        <f t="shared" si="40"/>
        <v>AmericanMulti-FamilyM1.5YD1W</v>
      </c>
      <c r="B168" s="170" t="s">
        <v>523</v>
      </c>
      <c r="C168" s="170" t="s">
        <v>108</v>
      </c>
      <c r="D168" s="155">
        <v>154.66999999999999</v>
      </c>
      <c r="E168" s="155">
        <v>152.37</v>
      </c>
      <c r="F168" s="156">
        <v>3093.4</v>
      </c>
      <c r="G168" s="156">
        <v>3093.4</v>
      </c>
      <c r="H168" s="156">
        <v>3093.4</v>
      </c>
      <c r="I168" s="156">
        <v>3093.4</v>
      </c>
      <c r="J168" s="156">
        <v>3093.4</v>
      </c>
      <c r="K168" s="156">
        <v>3047.4</v>
      </c>
      <c r="L168" s="156">
        <v>3047.4</v>
      </c>
      <c r="M168" s="156">
        <v>3047.4</v>
      </c>
      <c r="N168" s="156">
        <v>3047.4</v>
      </c>
      <c r="O168" s="156">
        <v>2933.12</v>
      </c>
      <c r="P168" s="156">
        <v>2895.03</v>
      </c>
      <c r="Q168" s="156">
        <v>2895.03</v>
      </c>
      <c r="R168" s="157">
        <f t="shared" si="41"/>
        <v>36379.780000000006</v>
      </c>
      <c r="S168" s="158">
        <f t="shared" si="42"/>
        <v>20.000000000000004</v>
      </c>
      <c r="T168" s="158">
        <f t="shared" si="42"/>
        <v>20.000000000000004</v>
      </c>
      <c r="U168" s="158">
        <f t="shared" si="42"/>
        <v>20.000000000000004</v>
      </c>
      <c r="V168" s="158">
        <f t="shared" si="42"/>
        <v>20.000000000000004</v>
      </c>
      <c r="W168" s="158">
        <f t="shared" si="42"/>
        <v>20.000000000000004</v>
      </c>
      <c r="X168" s="158">
        <f t="shared" si="43"/>
        <v>20</v>
      </c>
      <c r="Y168" s="158">
        <f t="shared" si="43"/>
        <v>20</v>
      </c>
      <c r="Z168" s="158">
        <f t="shared" si="43"/>
        <v>20</v>
      </c>
      <c r="AA168" s="158">
        <f t="shared" si="43"/>
        <v>20</v>
      </c>
      <c r="AB168" s="158">
        <f t="shared" si="43"/>
        <v>19.249983592570715</v>
      </c>
      <c r="AC168" s="158">
        <f t="shared" si="43"/>
        <v>19</v>
      </c>
      <c r="AD168" s="158">
        <f t="shared" si="43"/>
        <v>19</v>
      </c>
      <c r="AE168" s="157">
        <f t="shared" si="44"/>
        <v>237.24998359257071</v>
      </c>
    </row>
    <row r="169" spans="1:31" outlineLevel="2">
      <c r="A169" s="135" t="str">
        <f t="shared" si="40"/>
        <v>AmericanMulti-FamilyM1.5YD2W</v>
      </c>
      <c r="B169" s="170" t="s">
        <v>524</v>
      </c>
      <c r="C169" s="170" t="s">
        <v>109</v>
      </c>
      <c r="D169" s="155">
        <v>309.33999999999997</v>
      </c>
      <c r="E169" s="155">
        <v>304.75</v>
      </c>
      <c r="F169" s="156">
        <v>618.67999999999995</v>
      </c>
      <c r="G169" s="156">
        <v>618.67999999999995</v>
      </c>
      <c r="H169" s="156">
        <v>618.67999999999995</v>
      </c>
      <c r="I169" s="156">
        <v>618.67999999999995</v>
      </c>
      <c r="J169" s="156">
        <v>618.67999999999995</v>
      </c>
      <c r="K169" s="156">
        <v>609.5</v>
      </c>
      <c r="L169" s="156">
        <v>609.5</v>
      </c>
      <c r="M169" s="156">
        <v>609.5</v>
      </c>
      <c r="N169" s="156">
        <v>609.5</v>
      </c>
      <c r="O169" s="156">
        <v>609.5</v>
      </c>
      <c r="P169" s="156">
        <v>609.5</v>
      </c>
      <c r="Q169" s="156">
        <v>609.5</v>
      </c>
      <c r="R169" s="157">
        <f t="shared" si="41"/>
        <v>7359.9</v>
      </c>
      <c r="S169" s="158">
        <f t="shared" si="42"/>
        <v>2</v>
      </c>
      <c r="T169" s="158">
        <f t="shared" si="42"/>
        <v>2</v>
      </c>
      <c r="U169" s="158">
        <f t="shared" si="42"/>
        <v>2</v>
      </c>
      <c r="V169" s="158">
        <f t="shared" si="42"/>
        <v>2</v>
      </c>
      <c r="W169" s="158">
        <f t="shared" si="42"/>
        <v>2</v>
      </c>
      <c r="X169" s="158">
        <f t="shared" si="43"/>
        <v>2</v>
      </c>
      <c r="Y169" s="158">
        <f t="shared" si="43"/>
        <v>2</v>
      </c>
      <c r="Z169" s="158">
        <f t="shared" si="43"/>
        <v>2</v>
      </c>
      <c r="AA169" s="158">
        <f t="shared" si="43"/>
        <v>2</v>
      </c>
      <c r="AB169" s="158">
        <f t="shared" si="43"/>
        <v>2</v>
      </c>
      <c r="AC169" s="158">
        <f t="shared" si="43"/>
        <v>2</v>
      </c>
      <c r="AD169" s="158">
        <f t="shared" si="43"/>
        <v>2</v>
      </c>
      <c r="AE169" s="157">
        <f t="shared" si="44"/>
        <v>24</v>
      </c>
    </row>
    <row r="170" spans="1:31" outlineLevel="2">
      <c r="A170" s="135" t="str">
        <f t="shared" si="40"/>
        <v>AmericanMulti-FamilyM1.5YD3W</v>
      </c>
      <c r="B170" s="170" t="s">
        <v>525</v>
      </c>
      <c r="C170" s="170" t="s">
        <v>110</v>
      </c>
      <c r="D170" s="155">
        <v>464</v>
      </c>
      <c r="E170" s="155">
        <v>457.12</v>
      </c>
      <c r="F170" s="156">
        <v>0</v>
      </c>
      <c r="G170" s="156">
        <v>0</v>
      </c>
      <c r="H170" s="156">
        <v>0</v>
      </c>
      <c r="I170" s="156">
        <v>0</v>
      </c>
      <c r="J170" s="156">
        <v>0</v>
      </c>
      <c r="K170" s="156">
        <v>0</v>
      </c>
      <c r="L170" s="156">
        <v>0</v>
      </c>
      <c r="M170" s="156">
        <v>0</v>
      </c>
      <c r="N170" s="156">
        <v>0</v>
      </c>
      <c r="O170" s="156">
        <v>0</v>
      </c>
      <c r="P170" s="156">
        <v>0</v>
      </c>
      <c r="Q170" s="156">
        <v>0</v>
      </c>
      <c r="R170" s="157">
        <f t="shared" si="41"/>
        <v>0</v>
      </c>
      <c r="S170" s="158">
        <f t="shared" si="42"/>
        <v>0</v>
      </c>
      <c r="T170" s="158">
        <f t="shared" si="42"/>
        <v>0</v>
      </c>
      <c r="U170" s="158">
        <f t="shared" si="42"/>
        <v>0</v>
      </c>
      <c r="V170" s="158">
        <f t="shared" si="42"/>
        <v>0</v>
      </c>
      <c r="W170" s="158">
        <f t="shared" si="42"/>
        <v>0</v>
      </c>
      <c r="X170" s="158">
        <f t="shared" si="43"/>
        <v>0</v>
      </c>
      <c r="Y170" s="158">
        <f t="shared" si="43"/>
        <v>0</v>
      </c>
      <c r="Z170" s="158">
        <f t="shared" si="43"/>
        <v>0</v>
      </c>
      <c r="AA170" s="158">
        <f t="shared" si="43"/>
        <v>0</v>
      </c>
      <c r="AB170" s="158">
        <f t="shared" si="43"/>
        <v>0</v>
      </c>
      <c r="AC170" s="158">
        <f t="shared" si="43"/>
        <v>0</v>
      </c>
      <c r="AD170" s="158">
        <f t="shared" si="43"/>
        <v>0</v>
      </c>
      <c r="AE170" s="157">
        <f t="shared" si="44"/>
        <v>0</v>
      </c>
    </row>
    <row r="171" spans="1:31" outlineLevel="2">
      <c r="A171" s="135" t="str">
        <f t="shared" si="40"/>
        <v>AmericanMulti-FamilyM1.5YDEX</v>
      </c>
      <c r="B171" s="116" t="s">
        <v>526</v>
      </c>
      <c r="C171" s="116" t="s">
        <v>234</v>
      </c>
      <c r="D171" s="155">
        <v>37.47</v>
      </c>
      <c r="E171" s="155">
        <v>37.21</v>
      </c>
      <c r="F171" s="156">
        <v>0</v>
      </c>
      <c r="G171" s="156">
        <v>0</v>
      </c>
      <c r="H171" s="156">
        <v>0</v>
      </c>
      <c r="I171" s="156">
        <v>0</v>
      </c>
      <c r="J171" s="156">
        <v>0</v>
      </c>
      <c r="K171" s="156">
        <v>0</v>
      </c>
      <c r="L171" s="156">
        <v>0</v>
      </c>
      <c r="M171" s="156">
        <v>0</v>
      </c>
      <c r="N171" s="156">
        <v>0</v>
      </c>
      <c r="O171" s="156">
        <v>37.21</v>
      </c>
      <c r="P171" s="156">
        <v>0</v>
      </c>
      <c r="Q171" s="156">
        <v>0</v>
      </c>
      <c r="R171" s="157">
        <f t="shared" si="41"/>
        <v>37.21</v>
      </c>
      <c r="S171" s="158">
        <f t="shared" si="42"/>
        <v>0</v>
      </c>
      <c r="T171" s="158">
        <f t="shared" si="42"/>
        <v>0</v>
      </c>
      <c r="U171" s="158">
        <f t="shared" si="42"/>
        <v>0</v>
      </c>
      <c r="V171" s="158">
        <f t="shared" si="42"/>
        <v>0</v>
      </c>
      <c r="W171" s="158">
        <f t="shared" si="42"/>
        <v>0</v>
      </c>
      <c r="X171" s="158">
        <f t="shared" si="43"/>
        <v>0</v>
      </c>
      <c r="Y171" s="158">
        <f t="shared" si="43"/>
        <v>0</v>
      </c>
      <c r="Z171" s="158">
        <f t="shared" si="43"/>
        <v>0</v>
      </c>
      <c r="AA171" s="158">
        <f t="shared" si="43"/>
        <v>0</v>
      </c>
      <c r="AB171" s="158">
        <f t="shared" si="43"/>
        <v>1</v>
      </c>
      <c r="AC171" s="158">
        <f t="shared" si="43"/>
        <v>0</v>
      </c>
      <c r="AD171" s="158">
        <f t="shared" si="43"/>
        <v>0</v>
      </c>
      <c r="AE171" s="157">
        <f t="shared" si="44"/>
        <v>1</v>
      </c>
    </row>
    <row r="172" spans="1:31" outlineLevel="2">
      <c r="A172" s="135" t="str">
        <f t="shared" si="40"/>
        <v>AmericanMulti-FamilyM1YD1W</v>
      </c>
      <c r="B172" s="170" t="s">
        <v>527</v>
      </c>
      <c r="C172" s="170" t="s">
        <v>107</v>
      </c>
      <c r="D172" s="155">
        <v>110.24</v>
      </c>
      <c r="E172" s="155">
        <v>108.77</v>
      </c>
      <c r="F172" s="156">
        <v>6366.36</v>
      </c>
      <c r="G172" s="156">
        <v>6145.88</v>
      </c>
      <c r="H172" s="156">
        <v>6063.2</v>
      </c>
      <c r="I172" s="156">
        <v>6228.56</v>
      </c>
      <c r="J172" s="156">
        <v>5925.4</v>
      </c>
      <c r="K172" s="156">
        <v>5819.2</v>
      </c>
      <c r="L172" s="156">
        <v>5792</v>
      </c>
      <c r="M172" s="156">
        <v>5873.58</v>
      </c>
      <c r="N172" s="156">
        <v>5955.16</v>
      </c>
      <c r="O172" s="156">
        <v>6172.7</v>
      </c>
      <c r="P172" s="156">
        <v>6308.66</v>
      </c>
      <c r="Q172" s="156">
        <v>5792</v>
      </c>
      <c r="R172" s="157">
        <f t="shared" si="41"/>
        <v>72442.7</v>
      </c>
      <c r="S172" s="158">
        <f t="shared" si="42"/>
        <v>57.75</v>
      </c>
      <c r="T172" s="158">
        <f t="shared" si="42"/>
        <v>55.750000000000007</v>
      </c>
      <c r="U172" s="158">
        <f t="shared" si="42"/>
        <v>55</v>
      </c>
      <c r="V172" s="158">
        <f t="shared" si="42"/>
        <v>56.500000000000007</v>
      </c>
      <c r="W172" s="158">
        <f t="shared" si="42"/>
        <v>53.75</v>
      </c>
      <c r="X172" s="158">
        <f t="shared" si="43"/>
        <v>53.500045968557508</v>
      </c>
      <c r="Y172" s="158">
        <f t="shared" si="43"/>
        <v>53.24997701572125</v>
      </c>
      <c r="Z172" s="158">
        <f t="shared" si="43"/>
        <v>54</v>
      </c>
      <c r="AA172" s="158">
        <f t="shared" si="43"/>
        <v>54.75002298427875</v>
      </c>
      <c r="AB172" s="158">
        <f t="shared" si="43"/>
        <v>56.75002298427875</v>
      </c>
      <c r="AC172" s="158">
        <f t="shared" si="43"/>
        <v>58</v>
      </c>
      <c r="AD172" s="158">
        <f t="shared" si="43"/>
        <v>53.24997701572125</v>
      </c>
      <c r="AE172" s="157">
        <f t="shared" si="44"/>
        <v>662.25004596855752</v>
      </c>
    </row>
    <row r="173" spans="1:31" outlineLevel="2">
      <c r="A173" s="135" t="str">
        <f t="shared" si="40"/>
        <v>AmericanMulti-FamilyM1YD2W</v>
      </c>
      <c r="B173" s="170" t="s">
        <v>528</v>
      </c>
      <c r="C173" s="170" t="s">
        <v>235</v>
      </c>
      <c r="D173" s="155">
        <v>220.48</v>
      </c>
      <c r="E173" s="155">
        <v>217.54</v>
      </c>
      <c r="F173" s="156">
        <v>0</v>
      </c>
      <c r="G173" s="156">
        <v>0</v>
      </c>
      <c r="H173" s="156">
        <v>0</v>
      </c>
      <c r="I173" s="156">
        <v>0</v>
      </c>
      <c r="J173" s="156">
        <v>0</v>
      </c>
      <c r="K173" s="156">
        <v>0</v>
      </c>
      <c r="L173" s="156">
        <v>0</v>
      </c>
      <c r="M173" s="156">
        <v>0</v>
      </c>
      <c r="N173" s="156">
        <v>0</v>
      </c>
      <c r="O173" s="156">
        <v>0</v>
      </c>
      <c r="P173" s="156">
        <v>0</v>
      </c>
      <c r="Q173" s="156">
        <v>0</v>
      </c>
      <c r="R173" s="157">
        <f t="shared" si="41"/>
        <v>0</v>
      </c>
      <c r="S173" s="158">
        <f t="shared" si="42"/>
        <v>0</v>
      </c>
      <c r="T173" s="158">
        <f t="shared" si="42"/>
        <v>0</v>
      </c>
      <c r="U173" s="158">
        <f t="shared" si="42"/>
        <v>0</v>
      </c>
      <c r="V173" s="158">
        <f t="shared" si="42"/>
        <v>0</v>
      </c>
      <c r="W173" s="158">
        <f t="shared" si="42"/>
        <v>0</v>
      </c>
      <c r="X173" s="158">
        <f t="shared" si="43"/>
        <v>0</v>
      </c>
      <c r="Y173" s="158">
        <f t="shared" si="43"/>
        <v>0</v>
      </c>
      <c r="Z173" s="158">
        <f t="shared" si="43"/>
        <v>0</v>
      </c>
      <c r="AA173" s="158">
        <f t="shared" si="43"/>
        <v>0</v>
      </c>
      <c r="AB173" s="158">
        <f t="shared" si="43"/>
        <v>0</v>
      </c>
      <c r="AC173" s="158">
        <f t="shared" si="43"/>
        <v>0</v>
      </c>
      <c r="AD173" s="158">
        <f t="shared" si="43"/>
        <v>0</v>
      </c>
      <c r="AE173" s="157">
        <f t="shared" si="44"/>
        <v>0</v>
      </c>
    </row>
    <row r="174" spans="1:31" outlineLevel="2">
      <c r="A174" s="135" t="str">
        <f t="shared" si="40"/>
        <v>AmericanMulti-FamilyM1YDEX</v>
      </c>
      <c r="B174" s="116" t="s">
        <v>529</v>
      </c>
      <c r="C174" s="116" t="s">
        <v>236</v>
      </c>
      <c r="D174" s="155">
        <v>27.47</v>
      </c>
      <c r="E174" s="155">
        <v>27.13</v>
      </c>
      <c r="F174" s="156">
        <v>0</v>
      </c>
      <c r="G174" s="156">
        <v>0</v>
      </c>
      <c r="H174" s="156">
        <v>0</v>
      </c>
      <c r="I174" s="156">
        <v>0</v>
      </c>
      <c r="J174" s="156">
        <v>27.47</v>
      </c>
      <c r="K174" s="156">
        <v>0</v>
      </c>
      <c r="L174" s="156">
        <v>27.13</v>
      </c>
      <c r="M174" s="156">
        <v>-27.13</v>
      </c>
      <c r="N174" s="156">
        <v>0</v>
      </c>
      <c r="O174" s="156">
        <v>0</v>
      </c>
      <c r="P174" s="156">
        <v>27.13</v>
      </c>
      <c r="Q174" s="156">
        <v>0</v>
      </c>
      <c r="R174" s="157">
        <f t="shared" si="41"/>
        <v>54.599999999999994</v>
      </c>
      <c r="S174" s="158">
        <f t="shared" si="42"/>
        <v>0</v>
      </c>
      <c r="T174" s="158">
        <f t="shared" si="42"/>
        <v>0</v>
      </c>
      <c r="U174" s="158">
        <f t="shared" si="42"/>
        <v>0</v>
      </c>
      <c r="V174" s="158">
        <f t="shared" si="42"/>
        <v>0</v>
      </c>
      <c r="W174" s="158">
        <f t="shared" si="42"/>
        <v>1</v>
      </c>
      <c r="X174" s="158">
        <f t="shared" si="43"/>
        <v>0</v>
      </c>
      <c r="Y174" s="158">
        <f t="shared" si="43"/>
        <v>1</v>
      </c>
      <c r="Z174" s="158">
        <f t="shared" si="43"/>
        <v>-1</v>
      </c>
      <c r="AA174" s="158">
        <f t="shared" si="43"/>
        <v>0</v>
      </c>
      <c r="AB174" s="158">
        <f t="shared" si="43"/>
        <v>0</v>
      </c>
      <c r="AC174" s="158">
        <f t="shared" si="43"/>
        <v>1</v>
      </c>
      <c r="AD174" s="158">
        <f t="shared" si="43"/>
        <v>0</v>
      </c>
      <c r="AE174" s="157">
        <f t="shared" si="44"/>
        <v>2</v>
      </c>
    </row>
    <row r="175" spans="1:31" outlineLevel="2">
      <c r="A175" s="135" t="str">
        <f t="shared" si="40"/>
        <v>AmericanMulti-FamilyM1YDTPU</v>
      </c>
      <c r="B175" s="170" t="s">
        <v>530</v>
      </c>
      <c r="C175" s="170" t="s">
        <v>119</v>
      </c>
      <c r="D175" s="155">
        <v>109.88</v>
      </c>
      <c r="E175" s="155">
        <v>108.52</v>
      </c>
      <c r="F175" s="156">
        <v>0</v>
      </c>
      <c r="G175" s="156">
        <v>0</v>
      </c>
      <c r="H175" s="156">
        <v>0</v>
      </c>
      <c r="I175" s="156">
        <v>0</v>
      </c>
      <c r="J175" s="156">
        <v>0</v>
      </c>
      <c r="K175" s="156">
        <v>0</v>
      </c>
      <c r="L175" s="156">
        <v>0</v>
      </c>
      <c r="M175" s="156">
        <v>27.13</v>
      </c>
      <c r="N175" s="156">
        <v>0</v>
      </c>
      <c r="O175" s="156">
        <v>0</v>
      </c>
      <c r="P175" s="156">
        <v>0</v>
      </c>
      <c r="Q175" s="156">
        <v>0</v>
      </c>
      <c r="R175" s="157">
        <f t="shared" si="41"/>
        <v>27.13</v>
      </c>
      <c r="S175" s="158">
        <f t="shared" si="42"/>
        <v>0</v>
      </c>
      <c r="T175" s="158">
        <f t="shared" si="42"/>
        <v>0</v>
      </c>
      <c r="U175" s="158">
        <f t="shared" si="42"/>
        <v>0</v>
      </c>
      <c r="V175" s="158">
        <f t="shared" si="42"/>
        <v>0</v>
      </c>
      <c r="W175" s="158">
        <f t="shared" si="42"/>
        <v>0</v>
      </c>
      <c r="X175" s="158">
        <f t="shared" si="43"/>
        <v>0</v>
      </c>
      <c r="Y175" s="158">
        <f t="shared" si="43"/>
        <v>0</v>
      </c>
      <c r="Z175" s="158">
        <f t="shared" si="43"/>
        <v>0.25</v>
      </c>
      <c r="AA175" s="158">
        <f t="shared" si="43"/>
        <v>0</v>
      </c>
      <c r="AB175" s="158">
        <f t="shared" si="43"/>
        <v>0</v>
      </c>
      <c r="AC175" s="158">
        <f t="shared" si="43"/>
        <v>0</v>
      </c>
      <c r="AD175" s="158">
        <f t="shared" si="43"/>
        <v>0</v>
      </c>
      <c r="AE175" s="157">
        <f t="shared" si="44"/>
        <v>0.25</v>
      </c>
    </row>
    <row r="176" spans="1:31" outlineLevel="2">
      <c r="A176" s="135" t="str">
        <f t="shared" si="40"/>
        <v>AmericanMulti-FamilyM2YD1W</v>
      </c>
      <c r="B176" s="170" t="s">
        <v>531</v>
      </c>
      <c r="C176" s="170" t="s">
        <v>111</v>
      </c>
      <c r="D176" s="155">
        <v>195.15</v>
      </c>
      <c r="E176" s="155">
        <v>191.99</v>
      </c>
      <c r="F176" s="156">
        <v>12099.3</v>
      </c>
      <c r="G176" s="156">
        <v>12099.3</v>
      </c>
      <c r="H176" s="156">
        <v>12196.88</v>
      </c>
      <c r="I176" s="156">
        <v>12489.6</v>
      </c>
      <c r="J176" s="156">
        <v>12489.6</v>
      </c>
      <c r="K176" s="156">
        <v>12287.36</v>
      </c>
      <c r="L176" s="156">
        <v>12287.36</v>
      </c>
      <c r="M176" s="156">
        <v>12287.36</v>
      </c>
      <c r="N176" s="156">
        <v>12287.36</v>
      </c>
      <c r="O176" s="156">
        <v>12575.35</v>
      </c>
      <c r="P176" s="156">
        <v>12671.34</v>
      </c>
      <c r="Q176" s="156">
        <v>12479.35</v>
      </c>
      <c r="R176" s="157">
        <f t="shared" si="41"/>
        <v>148250.16</v>
      </c>
      <c r="S176" s="158">
        <f t="shared" si="42"/>
        <v>61.999999999999993</v>
      </c>
      <c r="T176" s="158">
        <f t="shared" si="42"/>
        <v>61.999999999999993</v>
      </c>
      <c r="U176" s="158">
        <f t="shared" si="42"/>
        <v>62.500025621316929</v>
      </c>
      <c r="V176" s="158">
        <f t="shared" si="42"/>
        <v>64</v>
      </c>
      <c r="W176" s="158">
        <f t="shared" si="42"/>
        <v>64</v>
      </c>
      <c r="X176" s="158">
        <f t="shared" si="43"/>
        <v>64</v>
      </c>
      <c r="Y176" s="158">
        <f t="shared" si="43"/>
        <v>64</v>
      </c>
      <c r="Z176" s="158">
        <f t="shared" si="43"/>
        <v>64</v>
      </c>
      <c r="AA176" s="158">
        <f t="shared" si="43"/>
        <v>64</v>
      </c>
      <c r="AB176" s="158">
        <f t="shared" si="43"/>
        <v>65.50002604302307</v>
      </c>
      <c r="AC176" s="158">
        <f t="shared" si="43"/>
        <v>66</v>
      </c>
      <c r="AD176" s="158">
        <f t="shared" si="43"/>
        <v>65</v>
      </c>
      <c r="AE176" s="157">
        <f t="shared" si="44"/>
        <v>767.00005166433994</v>
      </c>
    </row>
    <row r="177" spans="1:31" outlineLevel="2">
      <c r="A177" s="135" t="str">
        <f t="shared" si="40"/>
        <v>AmericanMulti-FamilyM2YD2W</v>
      </c>
      <c r="B177" s="170" t="s">
        <v>532</v>
      </c>
      <c r="C177" s="170" t="s">
        <v>112</v>
      </c>
      <c r="D177" s="155">
        <v>390.31</v>
      </c>
      <c r="E177" s="155">
        <v>383.98</v>
      </c>
      <c r="F177" s="156">
        <v>3122.48</v>
      </c>
      <c r="G177" s="156">
        <v>3122.48</v>
      </c>
      <c r="H177" s="156">
        <v>2976.11</v>
      </c>
      <c r="I177" s="156">
        <v>2732.17</v>
      </c>
      <c r="J177" s="156">
        <v>2732.17</v>
      </c>
      <c r="K177" s="156">
        <v>2687.86</v>
      </c>
      <c r="L177" s="156">
        <v>2687.86</v>
      </c>
      <c r="M177" s="156">
        <v>2687.86</v>
      </c>
      <c r="N177" s="156">
        <v>2687.86</v>
      </c>
      <c r="O177" s="156">
        <v>2927.85</v>
      </c>
      <c r="P177" s="156">
        <v>3071.84</v>
      </c>
      <c r="Q177" s="156">
        <v>3071.84</v>
      </c>
      <c r="R177" s="157">
        <f t="shared" si="41"/>
        <v>34508.380000000005</v>
      </c>
      <c r="S177" s="158">
        <f t="shared" si="42"/>
        <v>8</v>
      </c>
      <c r="T177" s="158">
        <f t="shared" si="42"/>
        <v>8</v>
      </c>
      <c r="U177" s="158">
        <f t="shared" si="42"/>
        <v>7.6249903922523128</v>
      </c>
      <c r="V177" s="158">
        <f t="shared" si="42"/>
        <v>7</v>
      </c>
      <c r="W177" s="158">
        <f t="shared" si="42"/>
        <v>7</v>
      </c>
      <c r="X177" s="158">
        <f t="shared" si="43"/>
        <v>7</v>
      </c>
      <c r="Y177" s="158">
        <f t="shared" si="43"/>
        <v>7</v>
      </c>
      <c r="Z177" s="158">
        <f t="shared" si="43"/>
        <v>7</v>
      </c>
      <c r="AA177" s="158">
        <f t="shared" si="43"/>
        <v>7</v>
      </c>
      <c r="AB177" s="158">
        <f t="shared" si="43"/>
        <v>7.6250065107557683</v>
      </c>
      <c r="AC177" s="158">
        <f t="shared" si="43"/>
        <v>8</v>
      </c>
      <c r="AD177" s="158">
        <f t="shared" si="43"/>
        <v>8</v>
      </c>
      <c r="AE177" s="157">
        <f t="shared" si="44"/>
        <v>89.249996903008082</v>
      </c>
    </row>
    <row r="178" spans="1:31" outlineLevel="2">
      <c r="A178" s="135" t="str">
        <f t="shared" si="40"/>
        <v>AmericanMulti-FamilyM2YD3W</v>
      </c>
      <c r="B178" s="170" t="s">
        <v>533</v>
      </c>
      <c r="C178" s="170" t="s">
        <v>113</v>
      </c>
      <c r="D178" s="155">
        <v>585.46</v>
      </c>
      <c r="E178" s="155">
        <v>575.98</v>
      </c>
      <c r="F178" s="156">
        <v>0</v>
      </c>
      <c r="G178" s="156">
        <v>0</v>
      </c>
      <c r="H178" s="156">
        <v>0</v>
      </c>
      <c r="I178" s="156">
        <v>0</v>
      </c>
      <c r="J178" s="156">
        <v>0</v>
      </c>
      <c r="K178" s="156">
        <v>0</v>
      </c>
      <c r="L178" s="156">
        <v>0</v>
      </c>
      <c r="M178" s="156">
        <v>0</v>
      </c>
      <c r="N178" s="156">
        <v>0</v>
      </c>
      <c r="O178" s="156">
        <v>0</v>
      </c>
      <c r="P178" s="156">
        <v>0</v>
      </c>
      <c r="Q178" s="156">
        <v>0</v>
      </c>
      <c r="R178" s="157">
        <f t="shared" si="41"/>
        <v>0</v>
      </c>
      <c r="S178" s="158">
        <f t="shared" si="42"/>
        <v>0</v>
      </c>
      <c r="T178" s="158">
        <f t="shared" si="42"/>
        <v>0</v>
      </c>
      <c r="U178" s="158">
        <f t="shared" si="42"/>
        <v>0</v>
      </c>
      <c r="V178" s="158">
        <f t="shared" si="42"/>
        <v>0</v>
      </c>
      <c r="W178" s="158">
        <f t="shared" si="42"/>
        <v>0</v>
      </c>
      <c r="X178" s="158">
        <f t="shared" si="43"/>
        <v>0</v>
      </c>
      <c r="Y178" s="158">
        <f t="shared" si="43"/>
        <v>0</v>
      </c>
      <c r="Z178" s="158">
        <f t="shared" si="43"/>
        <v>0</v>
      </c>
      <c r="AA178" s="158">
        <f t="shared" si="43"/>
        <v>0</v>
      </c>
      <c r="AB178" s="158">
        <f t="shared" si="43"/>
        <v>0</v>
      </c>
      <c r="AC178" s="158">
        <f t="shared" si="43"/>
        <v>0</v>
      </c>
      <c r="AD178" s="158">
        <f t="shared" si="43"/>
        <v>0</v>
      </c>
      <c r="AE178" s="157">
        <f t="shared" si="44"/>
        <v>0</v>
      </c>
    </row>
    <row r="179" spans="1:31" outlineLevel="2">
      <c r="A179" s="135" t="str">
        <f t="shared" si="40"/>
        <v>AmericanMulti-FamilyM2YDEX</v>
      </c>
      <c r="B179" s="116" t="s">
        <v>534</v>
      </c>
      <c r="C179" s="116" t="s">
        <v>237</v>
      </c>
      <c r="D179" s="155">
        <v>47.08</v>
      </c>
      <c r="E179" s="155">
        <v>46.35</v>
      </c>
      <c r="F179" s="156">
        <v>0</v>
      </c>
      <c r="G179" s="156">
        <v>0</v>
      </c>
      <c r="H179" s="156">
        <v>0</v>
      </c>
      <c r="I179" s="156">
        <v>0</v>
      </c>
      <c r="J179" s="156">
        <v>47.08</v>
      </c>
      <c r="K179" s="156">
        <v>0</v>
      </c>
      <c r="L179" s="156">
        <v>46.35</v>
      </c>
      <c r="M179" s="156">
        <v>46.35</v>
      </c>
      <c r="N179" s="156">
        <v>602.54999999999995</v>
      </c>
      <c r="O179" s="156">
        <v>741.6</v>
      </c>
      <c r="P179" s="156">
        <v>1205.0999999999999</v>
      </c>
      <c r="Q179" s="156">
        <v>509.85</v>
      </c>
      <c r="R179" s="157">
        <f t="shared" si="41"/>
        <v>3198.8799999999997</v>
      </c>
      <c r="S179" s="158">
        <f t="shared" si="42"/>
        <v>0</v>
      </c>
      <c r="T179" s="158">
        <f t="shared" si="42"/>
        <v>0</v>
      </c>
      <c r="U179" s="158">
        <f t="shared" si="42"/>
        <v>0</v>
      </c>
      <c r="V179" s="158">
        <f t="shared" si="42"/>
        <v>0</v>
      </c>
      <c r="W179" s="158">
        <f t="shared" si="42"/>
        <v>1</v>
      </c>
      <c r="X179" s="158">
        <f t="shared" si="43"/>
        <v>0</v>
      </c>
      <c r="Y179" s="158">
        <f t="shared" si="43"/>
        <v>1</v>
      </c>
      <c r="Z179" s="158">
        <f t="shared" si="43"/>
        <v>1</v>
      </c>
      <c r="AA179" s="158">
        <f t="shared" si="43"/>
        <v>12.999999999999998</v>
      </c>
      <c r="AB179" s="158">
        <f t="shared" si="43"/>
        <v>16</v>
      </c>
      <c r="AC179" s="158">
        <f t="shared" si="43"/>
        <v>25.999999999999996</v>
      </c>
      <c r="AD179" s="158">
        <f t="shared" si="43"/>
        <v>11</v>
      </c>
      <c r="AE179" s="157">
        <f t="shared" si="44"/>
        <v>69</v>
      </c>
    </row>
    <row r="180" spans="1:31" outlineLevel="2">
      <c r="A180" s="135" t="str">
        <f t="shared" si="40"/>
        <v>AmericanMulti-FamilyM2YDTPU</v>
      </c>
      <c r="B180" s="170" t="s">
        <v>535</v>
      </c>
      <c r="C180" s="170" t="s">
        <v>121</v>
      </c>
      <c r="D180" s="155">
        <v>188.32</v>
      </c>
      <c r="E180" s="155">
        <v>185.4</v>
      </c>
      <c r="F180" s="156">
        <v>94.16</v>
      </c>
      <c r="G180" s="156">
        <v>0</v>
      </c>
      <c r="H180" s="156">
        <v>0</v>
      </c>
      <c r="I180" s="156">
        <v>282.48</v>
      </c>
      <c r="J180" s="156">
        <v>235.4</v>
      </c>
      <c r="K180" s="156">
        <v>648.9</v>
      </c>
      <c r="L180" s="156">
        <v>463.5</v>
      </c>
      <c r="M180" s="156">
        <v>417.15</v>
      </c>
      <c r="N180" s="156">
        <v>46.35</v>
      </c>
      <c r="O180" s="156">
        <v>0</v>
      </c>
      <c r="P180" s="156">
        <v>0</v>
      </c>
      <c r="Q180" s="156">
        <v>92.7</v>
      </c>
      <c r="R180" s="157">
        <f t="shared" si="41"/>
        <v>2280.64</v>
      </c>
      <c r="S180" s="158">
        <f t="shared" si="42"/>
        <v>0.5</v>
      </c>
      <c r="T180" s="158">
        <f t="shared" si="42"/>
        <v>0</v>
      </c>
      <c r="U180" s="158">
        <f t="shared" si="42"/>
        <v>0</v>
      </c>
      <c r="V180" s="158">
        <f t="shared" si="42"/>
        <v>1.5000000000000002</v>
      </c>
      <c r="W180" s="158">
        <f t="shared" si="42"/>
        <v>1.25</v>
      </c>
      <c r="X180" s="158">
        <f t="shared" si="43"/>
        <v>3.4999999999999996</v>
      </c>
      <c r="Y180" s="158">
        <f t="shared" si="43"/>
        <v>2.5</v>
      </c>
      <c r="Z180" s="158">
        <f t="shared" si="43"/>
        <v>2.25</v>
      </c>
      <c r="AA180" s="158">
        <f t="shared" si="43"/>
        <v>0.25</v>
      </c>
      <c r="AB180" s="158">
        <f t="shared" si="43"/>
        <v>0</v>
      </c>
      <c r="AC180" s="158">
        <f t="shared" si="43"/>
        <v>0</v>
      </c>
      <c r="AD180" s="158">
        <f t="shared" si="43"/>
        <v>0.5</v>
      </c>
      <c r="AE180" s="157">
        <f t="shared" si="44"/>
        <v>12.25</v>
      </c>
    </row>
    <row r="181" spans="1:31" outlineLevel="2">
      <c r="A181" s="135" t="str">
        <f t="shared" si="40"/>
        <v>AmericanMulti-FamilyM4YD1W</v>
      </c>
      <c r="B181" s="170" t="s">
        <v>536</v>
      </c>
      <c r="C181" s="170" t="s">
        <v>114</v>
      </c>
      <c r="D181" s="155">
        <v>371.17</v>
      </c>
      <c r="E181" s="155">
        <v>364.63</v>
      </c>
      <c r="F181" s="156">
        <v>1113.51</v>
      </c>
      <c r="G181" s="156">
        <v>1113.51</v>
      </c>
      <c r="H181" s="156">
        <v>1113.51</v>
      </c>
      <c r="I181" s="156">
        <v>1113.51</v>
      </c>
      <c r="J181" s="156">
        <v>1113.51</v>
      </c>
      <c r="K181" s="156">
        <v>1093.8900000000001</v>
      </c>
      <c r="L181" s="156">
        <v>1093.8900000000001</v>
      </c>
      <c r="M181" s="156">
        <v>1093.8900000000001</v>
      </c>
      <c r="N181" s="156">
        <v>1093.8900000000001</v>
      </c>
      <c r="O181" s="156">
        <v>1093.8900000000001</v>
      </c>
      <c r="P181" s="156">
        <v>1093.8900000000001</v>
      </c>
      <c r="Q181" s="156">
        <v>1093.8900000000001</v>
      </c>
      <c r="R181" s="157">
        <f t="shared" si="41"/>
        <v>13224.779999999999</v>
      </c>
      <c r="S181" s="158">
        <f t="shared" si="42"/>
        <v>3</v>
      </c>
      <c r="T181" s="158">
        <f t="shared" si="42"/>
        <v>3</v>
      </c>
      <c r="U181" s="158">
        <f t="shared" si="42"/>
        <v>3</v>
      </c>
      <c r="V181" s="158">
        <f t="shared" si="42"/>
        <v>3</v>
      </c>
      <c r="W181" s="158">
        <f t="shared" si="42"/>
        <v>3</v>
      </c>
      <c r="X181" s="158">
        <f t="shared" si="43"/>
        <v>3.0000000000000004</v>
      </c>
      <c r="Y181" s="158">
        <f t="shared" si="43"/>
        <v>3.0000000000000004</v>
      </c>
      <c r="Z181" s="158">
        <f t="shared" si="43"/>
        <v>3.0000000000000004</v>
      </c>
      <c r="AA181" s="158">
        <f t="shared" si="43"/>
        <v>3.0000000000000004</v>
      </c>
      <c r="AB181" s="158">
        <f t="shared" si="43"/>
        <v>3.0000000000000004</v>
      </c>
      <c r="AC181" s="158">
        <f t="shared" si="43"/>
        <v>3.0000000000000004</v>
      </c>
      <c r="AD181" s="158">
        <f t="shared" si="43"/>
        <v>3.0000000000000004</v>
      </c>
      <c r="AE181" s="157">
        <f t="shared" si="44"/>
        <v>36</v>
      </c>
    </row>
    <row r="182" spans="1:31" outlineLevel="2">
      <c r="A182" s="135" t="str">
        <f t="shared" si="40"/>
        <v>AmericanMulti-FamilyM4YD2W</v>
      </c>
      <c r="B182" s="170" t="s">
        <v>537</v>
      </c>
      <c r="C182" s="170" t="s">
        <v>115</v>
      </c>
      <c r="D182" s="155">
        <v>742.34</v>
      </c>
      <c r="E182" s="155">
        <v>729.26</v>
      </c>
      <c r="F182" s="156">
        <v>742.34</v>
      </c>
      <c r="G182" s="156">
        <v>742.34</v>
      </c>
      <c r="H182" s="156">
        <v>742.34</v>
      </c>
      <c r="I182" s="156">
        <v>742.34</v>
      </c>
      <c r="J182" s="156">
        <v>742.34</v>
      </c>
      <c r="K182" s="156">
        <v>729.26</v>
      </c>
      <c r="L182" s="156">
        <v>729.26</v>
      </c>
      <c r="M182" s="156">
        <v>729.26</v>
      </c>
      <c r="N182" s="156">
        <v>729.26</v>
      </c>
      <c r="O182" s="156">
        <v>729.26</v>
      </c>
      <c r="P182" s="156">
        <v>729.26</v>
      </c>
      <c r="Q182" s="156">
        <v>729.26</v>
      </c>
      <c r="R182" s="157">
        <f t="shared" si="41"/>
        <v>8816.52</v>
      </c>
      <c r="S182" s="158">
        <f t="shared" si="42"/>
        <v>1</v>
      </c>
      <c r="T182" s="158">
        <f t="shared" si="42"/>
        <v>1</v>
      </c>
      <c r="U182" s="158">
        <f t="shared" si="42"/>
        <v>1</v>
      </c>
      <c r="V182" s="158">
        <f t="shared" si="42"/>
        <v>1</v>
      </c>
      <c r="W182" s="158">
        <f t="shared" si="42"/>
        <v>1</v>
      </c>
      <c r="X182" s="158">
        <f t="shared" si="43"/>
        <v>1</v>
      </c>
      <c r="Y182" s="158">
        <f t="shared" si="43"/>
        <v>1</v>
      </c>
      <c r="Z182" s="158">
        <f t="shared" si="43"/>
        <v>1</v>
      </c>
      <c r="AA182" s="158">
        <f t="shared" si="43"/>
        <v>1</v>
      </c>
      <c r="AB182" s="158">
        <f t="shared" si="43"/>
        <v>1</v>
      </c>
      <c r="AC182" s="158">
        <f t="shared" si="43"/>
        <v>1</v>
      </c>
      <c r="AD182" s="158">
        <f t="shared" si="43"/>
        <v>1</v>
      </c>
      <c r="AE182" s="157">
        <f t="shared" si="44"/>
        <v>12</v>
      </c>
    </row>
    <row r="183" spans="1:31" outlineLevel="2">
      <c r="A183" s="135" t="str">
        <f t="shared" si="40"/>
        <v>AmericanMulti-FamilyM4YDEX</v>
      </c>
      <c r="B183" s="116" t="s">
        <v>538</v>
      </c>
      <c r="C183" s="116" t="s">
        <v>238</v>
      </c>
      <c r="D183" s="155">
        <v>87.73</v>
      </c>
      <c r="E183" s="155">
        <v>86.22</v>
      </c>
      <c r="F183" s="156">
        <v>0</v>
      </c>
      <c r="G183" s="156">
        <v>0</v>
      </c>
      <c r="H183" s="156">
        <v>0</v>
      </c>
      <c r="I183" s="156">
        <v>0</v>
      </c>
      <c r="J183" s="156">
        <v>0</v>
      </c>
      <c r="K183" s="156">
        <v>0</v>
      </c>
      <c r="L183" s="156">
        <v>0</v>
      </c>
      <c r="M183" s="156">
        <v>0</v>
      </c>
      <c r="N183" s="156">
        <v>0</v>
      </c>
      <c r="O183" s="156">
        <v>0</v>
      </c>
      <c r="P183" s="156">
        <v>0</v>
      </c>
      <c r="Q183" s="156">
        <v>0</v>
      </c>
      <c r="R183" s="157">
        <f t="shared" si="41"/>
        <v>0</v>
      </c>
      <c r="S183" s="158">
        <f t="shared" si="42"/>
        <v>0</v>
      </c>
      <c r="T183" s="158">
        <f t="shared" si="42"/>
        <v>0</v>
      </c>
      <c r="U183" s="158">
        <f t="shared" si="42"/>
        <v>0</v>
      </c>
      <c r="V183" s="158">
        <f t="shared" si="42"/>
        <v>0</v>
      </c>
      <c r="W183" s="158">
        <f t="shared" si="42"/>
        <v>0</v>
      </c>
      <c r="X183" s="158">
        <f t="shared" si="43"/>
        <v>0</v>
      </c>
      <c r="Y183" s="158">
        <f t="shared" si="43"/>
        <v>0</v>
      </c>
      <c r="Z183" s="158">
        <f t="shared" si="43"/>
        <v>0</v>
      </c>
      <c r="AA183" s="158">
        <f t="shared" si="43"/>
        <v>0</v>
      </c>
      <c r="AB183" s="158">
        <f t="shared" si="43"/>
        <v>0</v>
      </c>
      <c r="AC183" s="158">
        <f t="shared" si="43"/>
        <v>0</v>
      </c>
      <c r="AD183" s="158">
        <f t="shared" si="43"/>
        <v>0</v>
      </c>
      <c r="AE183" s="157">
        <f t="shared" si="44"/>
        <v>0</v>
      </c>
    </row>
    <row r="184" spans="1:31" outlineLevel="2">
      <c r="A184" s="135" t="str">
        <f t="shared" si="40"/>
        <v>AmericanMulti-FamilyM6YD1W</v>
      </c>
      <c r="B184" s="170" t="s">
        <v>539</v>
      </c>
      <c r="C184" s="170" t="s">
        <v>116</v>
      </c>
      <c r="D184" s="155">
        <v>522.07000000000005</v>
      </c>
      <c r="E184" s="155">
        <v>511.72</v>
      </c>
      <c r="F184" s="156">
        <v>4698.63</v>
      </c>
      <c r="G184" s="156">
        <v>4698.63</v>
      </c>
      <c r="H184" s="156">
        <v>4698.63</v>
      </c>
      <c r="I184" s="156">
        <v>4698.63</v>
      </c>
      <c r="J184" s="156">
        <v>4698.63</v>
      </c>
      <c r="K184" s="156">
        <v>4605.4799999999996</v>
      </c>
      <c r="L184" s="156">
        <v>4605.4799999999996</v>
      </c>
      <c r="M184" s="156">
        <v>4605.4799999999996</v>
      </c>
      <c r="N184" s="156">
        <v>4093.76</v>
      </c>
      <c r="O184" s="156">
        <v>4093.76</v>
      </c>
      <c r="P184" s="156">
        <v>4093.76</v>
      </c>
      <c r="Q184" s="156">
        <v>4093.76</v>
      </c>
      <c r="R184" s="157">
        <f t="shared" si="41"/>
        <v>53684.630000000005</v>
      </c>
      <c r="S184" s="158">
        <f t="shared" si="42"/>
        <v>9</v>
      </c>
      <c r="T184" s="158">
        <f t="shared" si="42"/>
        <v>9</v>
      </c>
      <c r="U184" s="158">
        <f t="shared" si="42"/>
        <v>9</v>
      </c>
      <c r="V184" s="158">
        <f t="shared" si="42"/>
        <v>9</v>
      </c>
      <c r="W184" s="158">
        <f t="shared" si="42"/>
        <v>9</v>
      </c>
      <c r="X184" s="158">
        <f t="shared" si="43"/>
        <v>8.9999999999999982</v>
      </c>
      <c r="Y184" s="158">
        <f t="shared" si="43"/>
        <v>8.9999999999999982</v>
      </c>
      <c r="Z184" s="158">
        <f t="shared" si="43"/>
        <v>8.9999999999999982</v>
      </c>
      <c r="AA184" s="158">
        <f t="shared" si="43"/>
        <v>8</v>
      </c>
      <c r="AB184" s="158">
        <f t="shared" si="43"/>
        <v>8</v>
      </c>
      <c r="AC184" s="158">
        <f t="shared" si="43"/>
        <v>8</v>
      </c>
      <c r="AD184" s="158">
        <f t="shared" si="43"/>
        <v>8</v>
      </c>
      <c r="AE184" s="157">
        <f t="shared" si="44"/>
        <v>104</v>
      </c>
    </row>
    <row r="185" spans="1:31" outlineLevel="2">
      <c r="A185" s="135" t="str">
        <f t="shared" si="40"/>
        <v>AmericanMulti-FamilyM6YD2W</v>
      </c>
      <c r="B185" s="170" t="s">
        <v>540</v>
      </c>
      <c r="C185" s="170" t="s">
        <v>117</v>
      </c>
      <c r="D185" s="155">
        <v>1044.1400000000001</v>
      </c>
      <c r="E185" s="155">
        <v>1023.44</v>
      </c>
      <c r="F185" s="156">
        <v>5220.7</v>
      </c>
      <c r="G185" s="156">
        <v>5220.7</v>
      </c>
      <c r="H185" s="156">
        <v>5220.7</v>
      </c>
      <c r="I185" s="156">
        <v>5220.7</v>
      </c>
      <c r="J185" s="156">
        <v>5220.7</v>
      </c>
      <c r="K185" s="156">
        <v>5117.2</v>
      </c>
      <c r="L185" s="156">
        <v>5117.2</v>
      </c>
      <c r="M185" s="156">
        <v>5117.2</v>
      </c>
      <c r="N185" s="156">
        <v>5117.2</v>
      </c>
      <c r="O185" s="156">
        <v>5117.2</v>
      </c>
      <c r="P185" s="156">
        <v>5117.2</v>
      </c>
      <c r="Q185" s="156">
        <v>5117.2</v>
      </c>
      <c r="R185" s="157">
        <f t="shared" si="41"/>
        <v>61923.899999999987</v>
      </c>
      <c r="S185" s="158">
        <f t="shared" si="42"/>
        <v>4.9999999999999991</v>
      </c>
      <c r="T185" s="158">
        <f t="shared" si="42"/>
        <v>4.9999999999999991</v>
      </c>
      <c r="U185" s="158">
        <f t="shared" si="42"/>
        <v>4.9999999999999991</v>
      </c>
      <c r="V185" s="158">
        <f t="shared" si="42"/>
        <v>4.9999999999999991</v>
      </c>
      <c r="W185" s="158">
        <f t="shared" si="42"/>
        <v>4.9999999999999991</v>
      </c>
      <c r="X185" s="158">
        <f t="shared" si="43"/>
        <v>4.9999999999999991</v>
      </c>
      <c r="Y185" s="158">
        <f t="shared" si="43"/>
        <v>4.9999999999999991</v>
      </c>
      <c r="Z185" s="158">
        <f t="shared" si="43"/>
        <v>4.9999999999999991</v>
      </c>
      <c r="AA185" s="158">
        <f t="shared" si="43"/>
        <v>4.9999999999999991</v>
      </c>
      <c r="AB185" s="158">
        <f t="shared" si="43"/>
        <v>4.9999999999999991</v>
      </c>
      <c r="AC185" s="158">
        <f t="shared" si="43"/>
        <v>4.9999999999999991</v>
      </c>
      <c r="AD185" s="158">
        <f t="shared" si="43"/>
        <v>4.9999999999999991</v>
      </c>
      <c r="AE185" s="157">
        <f t="shared" ref="AE185:AE197" si="45">+SUM(S185:AD185)/$AB$3</f>
        <v>59.999999999999993</v>
      </c>
    </row>
    <row r="186" spans="1:31" outlineLevel="2">
      <c r="A186" s="135" t="str">
        <f t="shared" si="40"/>
        <v>AmericanMulti-FamilyM6YD3W</v>
      </c>
      <c r="B186" s="170" t="s">
        <v>541</v>
      </c>
      <c r="C186" s="170" t="s">
        <v>118</v>
      </c>
      <c r="D186" s="155">
        <v>1566.2</v>
      </c>
      <c r="E186" s="155">
        <v>1535.16</v>
      </c>
      <c r="F186" s="156">
        <v>0</v>
      </c>
      <c r="G186" s="156">
        <v>0</v>
      </c>
      <c r="H186" s="156">
        <v>0</v>
      </c>
      <c r="I186" s="156">
        <v>0</v>
      </c>
      <c r="J186" s="156">
        <v>0</v>
      </c>
      <c r="K186" s="156">
        <v>0</v>
      </c>
      <c r="L186" s="156">
        <v>0</v>
      </c>
      <c r="M186" s="156">
        <v>0</v>
      </c>
      <c r="N186" s="156">
        <v>0</v>
      </c>
      <c r="O186" s="156">
        <v>0</v>
      </c>
      <c r="P186" s="156">
        <v>0</v>
      </c>
      <c r="Q186" s="156">
        <v>0</v>
      </c>
      <c r="R186" s="157">
        <f t="shared" si="41"/>
        <v>0</v>
      </c>
      <c r="S186" s="158">
        <f t="shared" si="42"/>
        <v>0</v>
      </c>
      <c r="T186" s="158">
        <f t="shared" si="42"/>
        <v>0</v>
      </c>
      <c r="U186" s="158">
        <f t="shared" si="42"/>
        <v>0</v>
      </c>
      <c r="V186" s="158">
        <f t="shared" si="42"/>
        <v>0</v>
      </c>
      <c r="W186" s="158">
        <f t="shared" si="42"/>
        <v>0</v>
      </c>
      <c r="X186" s="158">
        <f t="shared" si="43"/>
        <v>0</v>
      </c>
      <c r="Y186" s="158">
        <f t="shared" si="43"/>
        <v>0</v>
      </c>
      <c r="Z186" s="158">
        <f t="shared" si="43"/>
        <v>0</v>
      </c>
      <c r="AA186" s="158">
        <f t="shared" si="43"/>
        <v>0</v>
      </c>
      <c r="AB186" s="158">
        <f t="shared" si="43"/>
        <v>0</v>
      </c>
      <c r="AC186" s="158">
        <f t="shared" si="43"/>
        <v>0</v>
      </c>
      <c r="AD186" s="158">
        <f t="shared" si="43"/>
        <v>0</v>
      </c>
      <c r="AE186" s="157">
        <f t="shared" si="45"/>
        <v>0</v>
      </c>
    </row>
    <row r="187" spans="1:31" outlineLevel="2">
      <c r="A187" s="135" t="str">
        <f t="shared" si="40"/>
        <v>AmericanMulti-FamilyM6YDEX</v>
      </c>
      <c r="B187" s="116" t="s">
        <v>542</v>
      </c>
      <c r="C187" s="116" t="s">
        <v>239</v>
      </c>
      <c r="D187" s="155">
        <v>122.59</v>
      </c>
      <c r="E187" s="155">
        <v>120.2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56">
        <v>0</v>
      </c>
      <c r="Q187" s="156">
        <v>0</v>
      </c>
      <c r="R187" s="157">
        <f t="shared" si="41"/>
        <v>0</v>
      </c>
      <c r="S187" s="158">
        <f t="shared" si="42"/>
        <v>0</v>
      </c>
      <c r="T187" s="158">
        <f t="shared" si="42"/>
        <v>0</v>
      </c>
      <c r="U187" s="158">
        <f t="shared" si="42"/>
        <v>0</v>
      </c>
      <c r="V187" s="158">
        <f t="shared" si="42"/>
        <v>0</v>
      </c>
      <c r="W187" s="158">
        <f t="shared" si="42"/>
        <v>0</v>
      </c>
      <c r="X187" s="158">
        <f t="shared" si="43"/>
        <v>0</v>
      </c>
      <c r="Y187" s="158">
        <f t="shared" si="43"/>
        <v>0</v>
      </c>
      <c r="Z187" s="158">
        <f t="shared" si="43"/>
        <v>0</v>
      </c>
      <c r="AA187" s="158">
        <f t="shared" si="43"/>
        <v>0</v>
      </c>
      <c r="AB187" s="158">
        <f t="shared" si="43"/>
        <v>0</v>
      </c>
      <c r="AC187" s="158">
        <f t="shared" si="43"/>
        <v>0</v>
      </c>
      <c r="AD187" s="158">
        <f t="shared" si="43"/>
        <v>0</v>
      </c>
      <c r="AE187" s="157">
        <f t="shared" si="45"/>
        <v>0</v>
      </c>
    </row>
    <row r="188" spans="1:31" outlineLevel="2">
      <c r="A188" s="135" t="str">
        <f t="shared" si="40"/>
        <v>AmericanMulti-FamilyMCCWR35</v>
      </c>
      <c r="B188" s="116" t="s">
        <v>543</v>
      </c>
      <c r="C188" s="116" t="s">
        <v>240</v>
      </c>
      <c r="D188" s="155">
        <v>4.2</v>
      </c>
      <c r="E188" s="155">
        <v>4.34</v>
      </c>
      <c r="F188" s="156">
        <v>2700.6</v>
      </c>
      <c r="G188" s="156">
        <v>2196.48</v>
      </c>
      <c r="H188" s="156">
        <v>2093.52</v>
      </c>
      <c r="I188" s="156">
        <v>2612.61</v>
      </c>
      <c r="J188" s="156">
        <v>2089.23</v>
      </c>
      <c r="K188" s="156">
        <v>2126.6</v>
      </c>
      <c r="L188" s="156">
        <v>2395.6799999999998</v>
      </c>
      <c r="M188" s="156">
        <v>2612.6799999999998</v>
      </c>
      <c r="N188" s="156">
        <v>2287.1799999999998</v>
      </c>
      <c r="O188" s="156">
        <v>2968.56</v>
      </c>
      <c r="P188" s="156">
        <v>2347.94</v>
      </c>
      <c r="Q188" s="156">
        <v>2274.16</v>
      </c>
      <c r="R188" s="157">
        <f t="shared" si="41"/>
        <v>28705.24</v>
      </c>
      <c r="S188" s="158">
        <f t="shared" si="42"/>
        <v>643</v>
      </c>
      <c r="T188" s="158">
        <f t="shared" si="42"/>
        <v>522.97142857142853</v>
      </c>
      <c r="U188" s="158">
        <f t="shared" si="42"/>
        <v>498.45714285714286</v>
      </c>
      <c r="V188" s="158">
        <f t="shared" si="42"/>
        <v>622.04999999999995</v>
      </c>
      <c r="W188" s="158">
        <f t="shared" si="42"/>
        <v>497.43571428571425</v>
      </c>
      <c r="X188" s="158">
        <f t="shared" si="43"/>
        <v>490</v>
      </c>
      <c r="Y188" s="158">
        <f t="shared" si="43"/>
        <v>552</v>
      </c>
      <c r="Z188" s="158">
        <f t="shared" si="43"/>
        <v>602</v>
      </c>
      <c r="AA188" s="158">
        <f t="shared" si="43"/>
        <v>527</v>
      </c>
      <c r="AB188" s="158">
        <f t="shared" si="43"/>
        <v>684</v>
      </c>
      <c r="AC188" s="158">
        <f t="shared" si="43"/>
        <v>541</v>
      </c>
      <c r="AD188" s="158">
        <f t="shared" si="43"/>
        <v>524</v>
      </c>
      <c r="AE188" s="157">
        <f t="shared" si="45"/>
        <v>6703.9142857142851</v>
      </c>
    </row>
    <row r="189" spans="1:31" outlineLevel="2">
      <c r="A189" s="135" t="str">
        <f t="shared" si="40"/>
        <v>AmericanMulti-FamilyMCCWR65</v>
      </c>
      <c r="B189" s="116" t="s">
        <v>544</v>
      </c>
      <c r="C189" s="116" t="s">
        <v>241</v>
      </c>
      <c r="D189" s="155">
        <v>6.29</v>
      </c>
      <c r="E189" s="155">
        <v>6.45</v>
      </c>
      <c r="F189" s="156">
        <v>0</v>
      </c>
      <c r="G189" s="156">
        <v>0</v>
      </c>
      <c r="H189" s="156">
        <v>0</v>
      </c>
      <c r="I189" s="156">
        <v>0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156">
        <v>0</v>
      </c>
      <c r="P189" s="156">
        <v>0</v>
      </c>
      <c r="Q189" s="156">
        <v>0</v>
      </c>
      <c r="R189" s="157">
        <f t="shared" si="41"/>
        <v>0</v>
      </c>
      <c r="S189" s="158">
        <f t="shared" si="42"/>
        <v>0</v>
      </c>
      <c r="T189" s="158">
        <f t="shared" si="42"/>
        <v>0</v>
      </c>
      <c r="U189" s="158">
        <f t="shared" si="42"/>
        <v>0</v>
      </c>
      <c r="V189" s="158">
        <f t="shared" si="42"/>
        <v>0</v>
      </c>
      <c r="W189" s="158">
        <f t="shared" si="42"/>
        <v>0</v>
      </c>
      <c r="X189" s="158">
        <f t="shared" si="43"/>
        <v>0</v>
      </c>
      <c r="Y189" s="158">
        <f t="shared" si="43"/>
        <v>0</v>
      </c>
      <c r="Z189" s="158">
        <f t="shared" si="43"/>
        <v>0</v>
      </c>
      <c r="AA189" s="158">
        <f t="shared" si="43"/>
        <v>0</v>
      </c>
      <c r="AB189" s="158">
        <f t="shared" si="43"/>
        <v>0</v>
      </c>
      <c r="AC189" s="158">
        <f t="shared" si="43"/>
        <v>0</v>
      </c>
      <c r="AD189" s="158">
        <f t="shared" si="43"/>
        <v>0</v>
      </c>
      <c r="AE189" s="157">
        <f t="shared" si="45"/>
        <v>0</v>
      </c>
    </row>
    <row r="190" spans="1:31" outlineLevel="2">
      <c r="A190" s="135" t="str">
        <f t="shared" si="40"/>
        <v>AmericanMulti-FamilyMCCWR95</v>
      </c>
      <c r="B190" s="116" t="s">
        <v>545</v>
      </c>
      <c r="C190" s="116" t="s">
        <v>242</v>
      </c>
      <c r="D190" s="155">
        <v>8.8000000000000007</v>
      </c>
      <c r="E190" s="155">
        <v>9</v>
      </c>
      <c r="F190" s="156">
        <v>0</v>
      </c>
      <c r="G190" s="156">
        <v>0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0</v>
      </c>
      <c r="N190" s="156">
        <v>0</v>
      </c>
      <c r="O190" s="156">
        <v>0</v>
      </c>
      <c r="P190" s="156">
        <v>0</v>
      </c>
      <c r="Q190" s="156">
        <v>0</v>
      </c>
      <c r="R190" s="157">
        <f t="shared" si="41"/>
        <v>0</v>
      </c>
      <c r="S190" s="158">
        <f t="shared" si="42"/>
        <v>0</v>
      </c>
      <c r="T190" s="158">
        <f t="shared" si="42"/>
        <v>0</v>
      </c>
      <c r="U190" s="158">
        <f t="shared" si="42"/>
        <v>0</v>
      </c>
      <c r="V190" s="158">
        <f t="shared" si="42"/>
        <v>0</v>
      </c>
      <c r="W190" s="158">
        <f t="shared" si="42"/>
        <v>0</v>
      </c>
      <c r="X190" s="158">
        <f t="shared" si="43"/>
        <v>0</v>
      </c>
      <c r="Y190" s="158">
        <f t="shared" si="43"/>
        <v>0</v>
      </c>
      <c r="Z190" s="158">
        <f t="shared" si="43"/>
        <v>0</v>
      </c>
      <c r="AA190" s="158">
        <f t="shared" si="43"/>
        <v>0</v>
      </c>
      <c r="AB190" s="158">
        <f t="shared" si="43"/>
        <v>0</v>
      </c>
      <c r="AC190" s="158">
        <f t="shared" si="43"/>
        <v>0</v>
      </c>
      <c r="AD190" s="158">
        <f t="shared" si="43"/>
        <v>0</v>
      </c>
      <c r="AE190" s="157">
        <f t="shared" si="45"/>
        <v>0</v>
      </c>
    </row>
    <row r="191" spans="1:31" outlineLevel="2">
      <c r="A191" s="135" t="str">
        <f t="shared" si="40"/>
        <v>AmericanMulti-FamilyMCONNECT</v>
      </c>
      <c r="B191" s="116" t="s">
        <v>546</v>
      </c>
      <c r="C191" s="116" t="s">
        <v>547</v>
      </c>
      <c r="D191" s="155">
        <v>0</v>
      </c>
      <c r="E191" s="155">
        <v>0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6">
        <v>0</v>
      </c>
      <c r="Q191" s="156">
        <v>0</v>
      </c>
      <c r="R191" s="157">
        <f t="shared" si="41"/>
        <v>0</v>
      </c>
      <c r="S191" s="158">
        <f t="shared" si="42"/>
        <v>0</v>
      </c>
      <c r="T191" s="158">
        <f t="shared" si="42"/>
        <v>0</v>
      </c>
      <c r="U191" s="158">
        <f t="shared" si="42"/>
        <v>0</v>
      </c>
      <c r="V191" s="158">
        <f t="shared" si="42"/>
        <v>0</v>
      </c>
      <c r="W191" s="158">
        <f t="shared" si="42"/>
        <v>0</v>
      </c>
      <c r="X191" s="158">
        <f t="shared" si="43"/>
        <v>0</v>
      </c>
      <c r="Y191" s="158">
        <f t="shared" si="43"/>
        <v>0</v>
      </c>
      <c r="Z191" s="158">
        <f t="shared" si="43"/>
        <v>0</v>
      </c>
      <c r="AA191" s="158">
        <f t="shared" si="43"/>
        <v>0</v>
      </c>
      <c r="AB191" s="158">
        <f t="shared" si="43"/>
        <v>0</v>
      </c>
      <c r="AC191" s="158">
        <f t="shared" si="43"/>
        <v>0</v>
      </c>
      <c r="AD191" s="158">
        <f t="shared" si="43"/>
        <v>0</v>
      </c>
      <c r="AE191" s="157">
        <f t="shared" si="45"/>
        <v>0</v>
      </c>
    </row>
    <row r="192" spans="1:31" outlineLevel="2">
      <c r="A192" s="135" t="str">
        <f t="shared" si="40"/>
        <v>AmericanMulti-FamilyMRENT90</v>
      </c>
      <c r="B192" s="116" t="s">
        <v>548</v>
      </c>
      <c r="C192" s="116" t="s">
        <v>549</v>
      </c>
      <c r="D192" s="155">
        <v>4.7699999999999996</v>
      </c>
      <c r="E192" s="155">
        <v>4.0999999999999996</v>
      </c>
      <c r="F192" s="156">
        <v>162.18</v>
      </c>
      <c r="G192" s="156">
        <v>162.18</v>
      </c>
      <c r="H192" s="156">
        <v>162.18</v>
      </c>
      <c r="I192" s="156">
        <v>162.18</v>
      </c>
      <c r="J192" s="156">
        <v>162.18</v>
      </c>
      <c r="K192" s="156">
        <v>139.4</v>
      </c>
      <c r="L192" s="156">
        <v>139.4</v>
      </c>
      <c r="M192" s="156">
        <v>139.4</v>
      </c>
      <c r="N192" s="156">
        <v>139.4</v>
      </c>
      <c r="O192" s="156">
        <v>139.4</v>
      </c>
      <c r="P192" s="156">
        <v>139.4</v>
      </c>
      <c r="Q192" s="156">
        <v>139.4</v>
      </c>
      <c r="R192" s="157">
        <f t="shared" si="41"/>
        <v>1786.7000000000005</v>
      </c>
      <c r="S192" s="158">
        <f t="shared" si="42"/>
        <v>34.000000000000007</v>
      </c>
      <c r="T192" s="158">
        <f t="shared" si="42"/>
        <v>34.000000000000007</v>
      </c>
      <c r="U192" s="158">
        <f t="shared" si="42"/>
        <v>34.000000000000007</v>
      </c>
      <c r="V192" s="158">
        <f t="shared" si="42"/>
        <v>34.000000000000007</v>
      </c>
      <c r="W192" s="158">
        <f t="shared" si="42"/>
        <v>34.000000000000007</v>
      </c>
      <c r="X192" s="158">
        <f t="shared" si="43"/>
        <v>34.000000000000007</v>
      </c>
      <c r="Y192" s="158">
        <f t="shared" si="43"/>
        <v>34.000000000000007</v>
      </c>
      <c r="Z192" s="158">
        <f t="shared" si="43"/>
        <v>34.000000000000007</v>
      </c>
      <c r="AA192" s="158">
        <f t="shared" si="43"/>
        <v>34.000000000000007</v>
      </c>
      <c r="AB192" s="158">
        <f t="shared" si="43"/>
        <v>34.000000000000007</v>
      </c>
      <c r="AC192" s="158">
        <f t="shared" si="43"/>
        <v>34.000000000000007</v>
      </c>
      <c r="AD192" s="158">
        <f t="shared" si="43"/>
        <v>34.000000000000007</v>
      </c>
      <c r="AE192" s="157">
        <f t="shared" si="45"/>
        <v>408.00000000000006</v>
      </c>
    </row>
    <row r="193" spans="1:31" outlineLevel="2">
      <c r="A193" s="135" t="str">
        <f t="shared" si="40"/>
        <v>AmericanMulti-FamilyMROLL</v>
      </c>
      <c r="B193" s="116" t="s">
        <v>550</v>
      </c>
      <c r="C193" s="116" t="s">
        <v>551</v>
      </c>
      <c r="D193" s="155">
        <v>15.72</v>
      </c>
      <c r="E193" s="155">
        <v>15.72</v>
      </c>
      <c r="F193" s="156">
        <v>556.13</v>
      </c>
      <c r="G193" s="156">
        <v>556.13</v>
      </c>
      <c r="H193" s="156">
        <v>556.13</v>
      </c>
      <c r="I193" s="156">
        <v>556.13</v>
      </c>
      <c r="J193" s="156">
        <v>556.13</v>
      </c>
      <c r="K193" s="156">
        <v>556.13</v>
      </c>
      <c r="L193" s="156">
        <v>556.13</v>
      </c>
      <c r="M193" s="156">
        <v>556.13</v>
      </c>
      <c r="N193" s="156">
        <v>556.13</v>
      </c>
      <c r="O193" s="156">
        <v>556.13</v>
      </c>
      <c r="P193" s="156">
        <v>556.13</v>
      </c>
      <c r="Q193" s="156">
        <v>556.13</v>
      </c>
      <c r="R193" s="157">
        <f t="shared" si="41"/>
        <v>6673.56</v>
      </c>
      <c r="S193" s="158">
        <f t="shared" si="42"/>
        <v>35.377226463104321</v>
      </c>
      <c r="T193" s="158">
        <f t="shared" si="42"/>
        <v>35.377226463104321</v>
      </c>
      <c r="U193" s="158">
        <f t="shared" si="42"/>
        <v>35.377226463104321</v>
      </c>
      <c r="V193" s="158">
        <f t="shared" si="42"/>
        <v>35.377226463104321</v>
      </c>
      <c r="W193" s="158">
        <f t="shared" si="42"/>
        <v>35.377226463104321</v>
      </c>
      <c r="X193" s="158">
        <f t="shared" si="43"/>
        <v>35.377226463104321</v>
      </c>
      <c r="Y193" s="158">
        <f t="shared" si="43"/>
        <v>35.377226463104321</v>
      </c>
      <c r="Z193" s="158">
        <f t="shared" si="43"/>
        <v>35.377226463104321</v>
      </c>
      <c r="AA193" s="158">
        <f t="shared" si="43"/>
        <v>35.377226463104321</v>
      </c>
      <c r="AB193" s="158">
        <f t="shared" si="43"/>
        <v>35.377226463104321</v>
      </c>
      <c r="AC193" s="158">
        <f t="shared" si="43"/>
        <v>35.377226463104321</v>
      </c>
      <c r="AD193" s="158">
        <f t="shared" si="43"/>
        <v>35.377226463104321</v>
      </c>
      <c r="AE193" s="157">
        <f t="shared" si="45"/>
        <v>424.52671755725174</v>
      </c>
    </row>
    <row r="194" spans="1:31" outlineLevel="2">
      <c r="A194" s="135" t="str">
        <f t="shared" si="40"/>
        <v>AmericanMulti-FamilyPACKM</v>
      </c>
      <c r="B194" s="116" t="s">
        <v>552</v>
      </c>
      <c r="C194" s="116" t="s">
        <v>553</v>
      </c>
      <c r="D194" s="155">
        <v>2.08</v>
      </c>
      <c r="E194" s="155">
        <v>2.08</v>
      </c>
      <c r="F194" s="156">
        <v>26.52</v>
      </c>
      <c r="G194" s="156">
        <v>26.52</v>
      </c>
      <c r="H194" s="156">
        <v>26.52</v>
      </c>
      <c r="I194" s="156">
        <v>26.52</v>
      </c>
      <c r="J194" s="156">
        <v>26.52</v>
      </c>
      <c r="K194" s="156">
        <v>26.52</v>
      </c>
      <c r="L194" s="156">
        <v>26.52</v>
      </c>
      <c r="M194" s="156">
        <v>26.52</v>
      </c>
      <c r="N194" s="156">
        <v>26.52</v>
      </c>
      <c r="O194" s="156">
        <v>26.52</v>
      </c>
      <c r="P194" s="156">
        <v>26.52</v>
      </c>
      <c r="Q194" s="156">
        <v>26.52</v>
      </c>
      <c r="R194" s="157">
        <f t="shared" si="41"/>
        <v>318.24</v>
      </c>
      <c r="S194" s="158">
        <f t="shared" si="42"/>
        <v>12.75</v>
      </c>
      <c r="T194" s="158">
        <f t="shared" si="42"/>
        <v>12.75</v>
      </c>
      <c r="U194" s="158">
        <f t="shared" si="42"/>
        <v>12.75</v>
      </c>
      <c r="V194" s="158">
        <f t="shared" si="42"/>
        <v>12.75</v>
      </c>
      <c r="W194" s="158">
        <f t="shared" si="42"/>
        <v>12.75</v>
      </c>
      <c r="X194" s="158">
        <f t="shared" si="43"/>
        <v>12.75</v>
      </c>
      <c r="Y194" s="158">
        <f t="shared" si="43"/>
        <v>12.75</v>
      </c>
      <c r="Z194" s="158">
        <f t="shared" si="43"/>
        <v>12.75</v>
      </c>
      <c r="AA194" s="158">
        <f t="shared" si="43"/>
        <v>12.75</v>
      </c>
      <c r="AB194" s="158">
        <f t="shared" si="43"/>
        <v>12.75</v>
      </c>
      <c r="AC194" s="158">
        <f t="shared" si="43"/>
        <v>12.75</v>
      </c>
      <c r="AD194" s="158">
        <f t="shared" si="43"/>
        <v>12.75</v>
      </c>
      <c r="AE194" s="157">
        <f t="shared" si="45"/>
        <v>153</v>
      </c>
    </row>
    <row r="195" spans="1:31" outlineLevel="2">
      <c r="A195" s="135" t="str">
        <f t="shared" si="40"/>
        <v>AmericanMulti-FamilyADJMF</v>
      </c>
      <c r="B195" s="116" t="s">
        <v>554</v>
      </c>
      <c r="C195" s="116" t="s">
        <v>555</v>
      </c>
      <c r="D195" s="155">
        <v>0</v>
      </c>
      <c r="E195" s="155"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6">
        <v>0</v>
      </c>
      <c r="Q195" s="156">
        <v>0</v>
      </c>
      <c r="R195" s="157">
        <f t="shared" si="41"/>
        <v>0</v>
      </c>
      <c r="S195" s="158">
        <f t="shared" si="42"/>
        <v>0</v>
      </c>
      <c r="T195" s="158">
        <f t="shared" si="42"/>
        <v>0</v>
      </c>
      <c r="U195" s="158">
        <f t="shared" si="42"/>
        <v>0</v>
      </c>
      <c r="V195" s="158">
        <f t="shared" si="42"/>
        <v>0</v>
      </c>
      <c r="W195" s="158">
        <f t="shared" si="42"/>
        <v>0</v>
      </c>
      <c r="X195" s="158">
        <f t="shared" si="43"/>
        <v>0</v>
      </c>
      <c r="Y195" s="158">
        <f t="shared" si="43"/>
        <v>0</v>
      </c>
      <c r="Z195" s="158">
        <f t="shared" si="43"/>
        <v>0</v>
      </c>
      <c r="AA195" s="158">
        <f t="shared" si="43"/>
        <v>0</v>
      </c>
      <c r="AB195" s="158">
        <f t="shared" si="43"/>
        <v>0</v>
      </c>
      <c r="AC195" s="158">
        <f t="shared" si="43"/>
        <v>0</v>
      </c>
      <c r="AD195" s="158">
        <f t="shared" si="43"/>
        <v>0</v>
      </c>
      <c r="AE195" s="157">
        <f t="shared" si="45"/>
        <v>0</v>
      </c>
    </row>
    <row r="196" spans="1:31" outlineLevel="2">
      <c r="A196" s="135" t="str">
        <f t="shared" si="40"/>
        <v>AmericanMulti-FamilyDRVNM</v>
      </c>
      <c r="B196" s="116" t="s">
        <v>556</v>
      </c>
      <c r="C196" s="116" t="s">
        <v>557</v>
      </c>
      <c r="D196" s="155">
        <v>4.68</v>
      </c>
      <c r="E196" s="155">
        <v>4.68</v>
      </c>
      <c r="F196" s="156">
        <v>32.76</v>
      </c>
      <c r="G196" s="156">
        <v>37.44</v>
      </c>
      <c r="H196" s="156">
        <v>37.44</v>
      </c>
      <c r="I196" s="156">
        <v>37.44</v>
      </c>
      <c r="J196" s="156">
        <v>37.44</v>
      </c>
      <c r="K196" s="156">
        <v>37.44</v>
      </c>
      <c r="L196" s="156">
        <v>37.44</v>
      </c>
      <c r="M196" s="156">
        <v>37.44</v>
      </c>
      <c r="N196" s="156">
        <v>37.44</v>
      </c>
      <c r="O196" s="156">
        <v>29.25</v>
      </c>
      <c r="P196" s="156">
        <v>37.44</v>
      </c>
      <c r="Q196" s="156">
        <v>32.76</v>
      </c>
      <c r="R196" s="157">
        <f t="shared" si="41"/>
        <v>431.72999999999996</v>
      </c>
      <c r="S196" s="158">
        <f t="shared" si="42"/>
        <v>7</v>
      </c>
      <c r="T196" s="158">
        <f t="shared" si="42"/>
        <v>8</v>
      </c>
      <c r="U196" s="158">
        <f t="shared" si="42"/>
        <v>8</v>
      </c>
      <c r="V196" s="158">
        <f t="shared" si="42"/>
        <v>8</v>
      </c>
      <c r="W196" s="158">
        <f t="shared" si="42"/>
        <v>8</v>
      </c>
      <c r="X196" s="158">
        <f t="shared" si="43"/>
        <v>8</v>
      </c>
      <c r="Y196" s="158">
        <f t="shared" si="43"/>
        <v>8</v>
      </c>
      <c r="Z196" s="158">
        <f t="shared" si="43"/>
        <v>8</v>
      </c>
      <c r="AA196" s="158">
        <f t="shared" si="43"/>
        <v>8</v>
      </c>
      <c r="AB196" s="158">
        <f t="shared" si="43"/>
        <v>6.25</v>
      </c>
      <c r="AC196" s="158">
        <f t="shared" si="43"/>
        <v>8</v>
      </c>
      <c r="AD196" s="158">
        <f t="shared" si="43"/>
        <v>7</v>
      </c>
      <c r="AE196" s="157">
        <f t="shared" si="45"/>
        <v>92.25</v>
      </c>
    </row>
    <row r="197" spans="1:31" outlineLevel="2">
      <c r="A197" s="135" t="str">
        <f t="shared" si="40"/>
        <v>AmericanMulti-FamilyEXTRA-MF</v>
      </c>
      <c r="B197" s="116" t="s">
        <v>558</v>
      </c>
      <c r="C197" s="116" t="s">
        <v>243</v>
      </c>
      <c r="D197" s="155">
        <v>4.29</v>
      </c>
      <c r="E197" s="155">
        <v>4.34</v>
      </c>
      <c r="F197" s="156">
        <v>222.84</v>
      </c>
      <c r="G197" s="156">
        <v>265.98</v>
      </c>
      <c r="H197" s="156">
        <v>339.98</v>
      </c>
      <c r="I197" s="156">
        <v>986.7</v>
      </c>
      <c r="J197" s="156">
        <v>442.94</v>
      </c>
      <c r="K197" s="156">
        <v>507.78</v>
      </c>
      <c r="L197" s="156">
        <v>742.14</v>
      </c>
      <c r="M197" s="156">
        <v>1171.8</v>
      </c>
      <c r="N197" s="156">
        <v>412.3</v>
      </c>
      <c r="O197" s="156">
        <v>516.46</v>
      </c>
      <c r="P197" s="156">
        <v>403.62</v>
      </c>
      <c r="Q197" s="156">
        <v>312.48</v>
      </c>
      <c r="R197" s="157">
        <f t="shared" si="41"/>
        <v>6325.02</v>
      </c>
      <c r="S197" s="158">
        <f t="shared" si="42"/>
        <v>51.944055944055947</v>
      </c>
      <c r="T197" s="158">
        <f t="shared" si="42"/>
        <v>62.000000000000007</v>
      </c>
      <c r="U197" s="158">
        <f t="shared" si="42"/>
        <v>79.249417249417249</v>
      </c>
      <c r="V197" s="158">
        <f t="shared" si="42"/>
        <v>230</v>
      </c>
      <c r="W197" s="158">
        <f t="shared" si="42"/>
        <v>103.24941724941725</v>
      </c>
      <c r="X197" s="158">
        <f t="shared" si="43"/>
        <v>117</v>
      </c>
      <c r="Y197" s="158">
        <f t="shared" si="43"/>
        <v>171</v>
      </c>
      <c r="Z197" s="158">
        <f t="shared" si="43"/>
        <v>270</v>
      </c>
      <c r="AA197" s="158">
        <f t="shared" si="43"/>
        <v>95</v>
      </c>
      <c r="AB197" s="158">
        <f t="shared" si="43"/>
        <v>119.00000000000001</v>
      </c>
      <c r="AC197" s="158">
        <f t="shared" si="43"/>
        <v>93</v>
      </c>
      <c r="AD197" s="158">
        <f t="shared" si="43"/>
        <v>72</v>
      </c>
      <c r="AE197" s="157">
        <f t="shared" si="45"/>
        <v>1463.4428904428905</v>
      </c>
    </row>
    <row r="198" spans="1:31" outlineLevel="2">
      <c r="B198" s="116"/>
      <c r="C198" s="116"/>
      <c r="D198" s="155"/>
      <c r="E198" s="155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71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7"/>
    </row>
    <row r="199" spans="1:31" outlineLevel="1">
      <c r="B199" s="116"/>
      <c r="C199" s="159" t="s">
        <v>559</v>
      </c>
      <c r="D199" s="155"/>
      <c r="E199" s="155"/>
      <c r="F199" s="162">
        <f t="shared" ref="F199:Q199" si="46">SUM(F162:F198)</f>
        <v>43194.439999999988</v>
      </c>
      <c r="G199" s="162">
        <f t="shared" si="46"/>
        <v>42513.82</v>
      </c>
      <c r="H199" s="162">
        <f t="shared" si="46"/>
        <v>42363.589999999989</v>
      </c>
      <c r="I199" s="162">
        <f t="shared" si="46"/>
        <v>44054.849999999991</v>
      </c>
      <c r="J199" s="162">
        <f t="shared" si="46"/>
        <v>42780.909999999996</v>
      </c>
      <c r="K199" s="162">
        <f t="shared" si="46"/>
        <v>42564.739999999991</v>
      </c>
      <c r="L199" s="162">
        <f t="shared" si="46"/>
        <v>43111.509999999995</v>
      </c>
      <c r="M199" s="162">
        <f t="shared" si="46"/>
        <v>43885.97</v>
      </c>
      <c r="N199" s="162">
        <f t="shared" si="46"/>
        <v>42555.78</v>
      </c>
      <c r="O199" s="162">
        <f t="shared" si="46"/>
        <v>44252.019999999982</v>
      </c>
      <c r="P199" s="162">
        <f t="shared" si="46"/>
        <v>44429.74</v>
      </c>
      <c r="Q199" s="162">
        <f t="shared" si="46"/>
        <v>42982.05999999999</v>
      </c>
      <c r="R199" s="163">
        <f>SUM(F199:Q199)</f>
        <v>518689.42999999993</v>
      </c>
      <c r="S199" s="162">
        <f>SUM(S162:S173,S175:S178,S180:S182,S184:S186,S188:S190)</f>
        <v>919.25</v>
      </c>
      <c r="T199" s="162">
        <f t="shared" ref="T199:AE199" si="47">SUM(T162:T173,T175:T178,T180:T182,T184:T186,T188:T190)</f>
        <v>800.2680781911007</v>
      </c>
      <c r="U199" s="162">
        <f t="shared" si="47"/>
        <v>775.94379645785762</v>
      </c>
      <c r="V199" s="162">
        <f t="shared" si="47"/>
        <v>904.95058699190167</v>
      </c>
      <c r="W199" s="162">
        <f t="shared" si="47"/>
        <v>779.64527833370755</v>
      </c>
      <c r="X199" s="162">
        <f t="shared" si="47"/>
        <v>770.53847633651844</v>
      </c>
      <c r="Y199" s="162">
        <f t="shared" si="47"/>
        <v>836.99997701572124</v>
      </c>
      <c r="Z199" s="162">
        <f t="shared" si="47"/>
        <v>891.00014610523408</v>
      </c>
      <c r="AA199" s="162">
        <f t="shared" si="47"/>
        <v>814.00026534976587</v>
      </c>
      <c r="AB199" s="162">
        <f t="shared" si="47"/>
        <v>980.12512421874908</v>
      </c>
      <c r="AC199" s="162">
        <f t="shared" si="47"/>
        <v>840.25</v>
      </c>
      <c r="AD199" s="162">
        <f t="shared" si="47"/>
        <v>819.00009819846491</v>
      </c>
      <c r="AE199" s="163">
        <f t="shared" si="47"/>
        <v>10131.97182719902</v>
      </c>
    </row>
    <row r="200" spans="1:31" outlineLevel="1">
      <c r="B200" s="116"/>
      <c r="C200" s="159"/>
      <c r="D200" s="155"/>
      <c r="E200" s="155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7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7"/>
    </row>
    <row r="201" spans="1:31" outlineLevel="2">
      <c r="B201" s="164" t="s">
        <v>560</v>
      </c>
      <c r="C201" s="159"/>
      <c r="D201" s="155"/>
      <c r="E201" s="155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7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7"/>
    </row>
    <row r="202" spans="1:31" outlineLevel="2">
      <c r="A202" s="135" t="str">
        <f t="shared" ref="A202:A210" si="48">+$A$5&amp;$A$161&amp;B202</f>
        <v>AmericanMulti-FamilyM2YDRECY</v>
      </c>
      <c r="B202" s="170" t="s">
        <v>561</v>
      </c>
      <c r="C202" s="170" t="s">
        <v>562</v>
      </c>
      <c r="D202" s="155">
        <v>13.09</v>
      </c>
      <c r="E202" s="155">
        <v>11.25</v>
      </c>
      <c r="F202" s="156">
        <v>113.36</v>
      </c>
      <c r="G202" s="156">
        <v>113.36</v>
      </c>
      <c r="H202" s="156">
        <v>113.36</v>
      </c>
      <c r="I202" s="156">
        <v>113.36</v>
      </c>
      <c r="J202" s="156">
        <v>113.36</v>
      </c>
      <c r="K202" s="156">
        <v>113.36</v>
      </c>
      <c r="L202" s="156">
        <v>97.43</v>
      </c>
      <c r="M202" s="156">
        <v>97.43</v>
      </c>
      <c r="N202" s="156">
        <v>97.43</v>
      </c>
      <c r="O202" s="156">
        <v>97.43</v>
      </c>
      <c r="P202" s="156">
        <v>97.43</v>
      </c>
      <c r="Q202" s="156">
        <v>97.43</v>
      </c>
      <c r="R202" s="157">
        <f t="shared" ref="R202:R210" si="49">SUM(F202:Q202)</f>
        <v>1264.7400000000002</v>
      </c>
      <c r="S202" s="158">
        <f t="shared" ref="S202:W209" si="50">+IFERROR(F202/$D202,0)</f>
        <v>8.6600458365164243</v>
      </c>
      <c r="T202" s="158">
        <f t="shared" si="50"/>
        <v>8.6600458365164243</v>
      </c>
      <c r="U202" s="158">
        <f t="shared" si="50"/>
        <v>8.6600458365164243</v>
      </c>
      <c r="V202" s="158">
        <f t="shared" si="50"/>
        <v>8.6600458365164243</v>
      </c>
      <c r="W202" s="158">
        <f t="shared" si="50"/>
        <v>8.6600458365164243</v>
      </c>
      <c r="X202" s="158">
        <f t="shared" ref="X202:AD210" si="51">+IFERROR(K202/$E202,0)</f>
        <v>10.076444444444444</v>
      </c>
      <c r="Y202" s="158">
        <f t="shared" si="51"/>
        <v>8.6604444444444457</v>
      </c>
      <c r="Z202" s="158">
        <f t="shared" si="51"/>
        <v>8.6604444444444457</v>
      </c>
      <c r="AA202" s="158">
        <f t="shared" si="51"/>
        <v>8.6604444444444457</v>
      </c>
      <c r="AB202" s="158">
        <f t="shared" si="51"/>
        <v>8.6604444444444457</v>
      </c>
      <c r="AC202" s="158">
        <f t="shared" si="51"/>
        <v>8.6604444444444457</v>
      </c>
      <c r="AD202" s="158">
        <f t="shared" si="51"/>
        <v>8.6604444444444457</v>
      </c>
      <c r="AE202" s="157">
        <f t="shared" ref="AE202:AE209" si="52">+SUM(S202:AD202)/$AB$3</f>
        <v>105.33934029369325</v>
      </c>
    </row>
    <row r="203" spans="1:31" outlineLevel="2">
      <c r="A203" s="135" t="str">
        <f t="shared" si="48"/>
        <v>AmericanMulti-FamilyM6YDRECY</v>
      </c>
      <c r="B203" s="170" t="s">
        <v>563</v>
      </c>
      <c r="C203" s="170" t="s">
        <v>564</v>
      </c>
      <c r="D203" s="155">
        <v>40.82</v>
      </c>
      <c r="E203" s="155">
        <v>35.090000000000003</v>
      </c>
      <c r="F203" s="156">
        <v>1414</v>
      </c>
      <c r="G203" s="156">
        <v>1767.5</v>
      </c>
      <c r="H203" s="156">
        <v>1767.5</v>
      </c>
      <c r="I203" s="156">
        <v>1767.5</v>
      </c>
      <c r="J203" s="156">
        <v>1767.5</v>
      </c>
      <c r="K203" s="156">
        <v>441.87</v>
      </c>
      <c r="L203" s="156">
        <v>1063.58</v>
      </c>
      <c r="M203" s="156">
        <v>1063.58</v>
      </c>
      <c r="N203" s="156">
        <v>1063.58</v>
      </c>
      <c r="O203" s="156">
        <v>1063.58</v>
      </c>
      <c r="P203" s="156">
        <v>1063.58</v>
      </c>
      <c r="Q203" s="156">
        <v>1063.58</v>
      </c>
      <c r="R203" s="157">
        <f t="shared" si="49"/>
        <v>15307.35</v>
      </c>
      <c r="S203" s="158">
        <f t="shared" si="50"/>
        <v>34.639882410583049</v>
      </c>
      <c r="T203" s="158">
        <f t="shared" si="50"/>
        <v>43.299853013228812</v>
      </c>
      <c r="U203" s="158">
        <f t="shared" si="50"/>
        <v>43.299853013228812</v>
      </c>
      <c r="V203" s="158">
        <f t="shared" si="50"/>
        <v>43.299853013228812</v>
      </c>
      <c r="W203" s="158">
        <f t="shared" si="50"/>
        <v>43.299853013228812</v>
      </c>
      <c r="X203" s="158">
        <f t="shared" si="51"/>
        <v>12.592476489028211</v>
      </c>
      <c r="Y203" s="158">
        <f t="shared" si="51"/>
        <v>30.310059846109997</v>
      </c>
      <c r="Z203" s="158">
        <f t="shared" si="51"/>
        <v>30.310059846109997</v>
      </c>
      <c r="AA203" s="158">
        <f t="shared" si="51"/>
        <v>30.310059846109997</v>
      </c>
      <c r="AB203" s="158">
        <f t="shared" si="51"/>
        <v>30.310059846109997</v>
      </c>
      <c r="AC203" s="158">
        <f t="shared" si="51"/>
        <v>30.310059846109997</v>
      </c>
      <c r="AD203" s="158">
        <f t="shared" si="51"/>
        <v>30.310059846109997</v>
      </c>
      <c r="AE203" s="157">
        <f t="shared" si="52"/>
        <v>402.29213002918647</v>
      </c>
    </row>
    <row r="204" spans="1:31" outlineLevel="2">
      <c r="A204" s="135" t="str">
        <f t="shared" si="48"/>
        <v>AmericanMulti-FamilyMCCRECYR</v>
      </c>
      <c r="B204" s="170" t="s">
        <v>565</v>
      </c>
      <c r="C204" s="170" t="s">
        <v>566</v>
      </c>
      <c r="D204" s="155">
        <v>7.2</v>
      </c>
      <c r="E204" s="155">
        <v>6.22</v>
      </c>
      <c r="F204" s="156">
        <v>993.6</v>
      </c>
      <c r="G204" s="156">
        <v>986.4</v>
      </c>
      <c r="H204" s="156">
        <v>986.4</v>
      </c>
      <c r="I204" s="156">
        <v>986.4</v>
      </c>
      <c r="J204" s="156">
        <v>986.4</v>
      </c>
      <c r="K204" s="156">
        <v>852.14</v>
      </c>
      <c r="L204" s="156">
        <v>852.14</v>
      </c>
      <c r="M204" s="156">
        <v>852.14</v>
      </c>
      <c r="N204" s="156">
        <v>852.14</v>
      </c>
      <c r="O204" s="156">
        <v>852.14</v>
      </c>
      <c r="P204" s="156">
        <v>852.14</v>
      </c>
      <c r="Q204" s="156">
        <v>852.14</v>
      </c>
      <c r="R204" s="157">
        <f t="shared" si="49"/>
        <v>10904.179999999998</v>
      </c>
      <c r="S204" s="158">
        <f t="shared" si="50"/>
        <v>138</v>
      </c>
      <c r="T204" s="158">
        <f t="shared" si="50"/>
        <v>137</v>
      </c>
      <c r="U204" s="158">
        <f t="shared" si="50"/>
        <v>137</v>
      </c>
      <c r="V204" s="158">
        <f t="shared" si="50"/>
        <v>137</v>
      </c>
      <c r="W204" s="158">
        <f t="shared" si="50"/>
        <v>137</v>
      </c>
      <c r="X204" s="158">
        <f t="shared" si="51"/>
        <v>137</v>
      </c>
      <c r="Y204" s="158">
        <f t="shared" si="51"/>
        <v>137</v>
      </c>
      <c r="Z204" s="158">
        <f t="shared" si="51"/>
        <v>137</v>
      </c>
      <c r="AA204" s="158">
        <f t="shared" si="51"/>
        <v>137</v>
      </c>
      <c r="AB204" s="158">
        <f t="shared" si="51"/>
        <v>137</v>
      </c>
      <c r="AC204" s="158">
        <f t="shared" si="51"/>
        <v>137</v>
      </c>
      <c r="AD204" s="158">
        <f t="shared" si="51"/>
        <v>137</v>
      </c>
      <c r="AE204" s="157">
        <f t="shared" si="52"/>
        <v>1645</v>
      </c>
    </row>
    <row r="205" spans="1:31" outlineLevel="2">
      <c r="A205" s="135" t="str">
        <f t="shared" si="48"/>
        <v>AmericanMulti-FamilyMRECYIN</v>
      </c>
      <c r="B205" s="116" t="s">
        <v>567</v>
      </c>
      <c r="C205" s="116" t="s">
        <v>568</v>
      </c>
      <c r="D205" s="155">
        <v>0.75</v>
      </c>
      <c r="E205" s="155">
        <v>0.75</v>
      </c>
      <c r="F205" s="156">
        <v>24.75</v>
      </c>
      <c r="G205" s="156">
        <v>24.75</v>
      </c>
      <c r="H205" s="156">
        <v>24.75</v>
      </c>
      <c r="I205" s="156">
        <v>24.75</v>
      </c>
      <c r="J205" s="156">
        <v>25.5</v>
      </c>
      <c r="K205" s="156">
        <v>25.5</v>
      </c>
      <c r="L205" s="156">
        <v>25.5</v>
      </c>
      <c r="M205" s="156">
        <v>25.88</v>
      </c>
      <c r="N205" s="156">
        <v>26.25</v>
      </c>
      <c r="O205" s="156">
        <v>26.25</v>
      </c>
      <c r="P205" s="156">
        <v>25.88</v>
      </c>
      <c r="Q205" s="156">
        <v>25.5</v>
      </c>
      <c r="R205" s="157">
        <f t="shared" si="49"/>
        <v>305.26</v>
      </c>
      <c r="S205" s="158">
        <f t="shared" si="50"/>
        <v>33</v>
      </c>
      <c r="T205" s="158">
        <f t="shared" si="50"/>
        <v>33</v>
      </c>
      <c r="U205" s="158">
        <f t="shared" si="50"/>
        <v>33</v>
      </c>
      <c r="V205" s="158">
        <f t="shared" si="50"/>
        <v>33</v>
      </c>
      <c r="W205" s="158">
        <f t="shared" si="50"/>
        <v>34</v>
      </c>
      <c r="X205" s="158">
        <f t="shared" si="51"/>
        <v>34</v>
      </c>
      <c r="Y205" s="158">
        <f t="shared" si="51"/>
        <v>34</v>
      </c>
      <c r="Z205" s="158">
        <f t="shared" si="51"/>
        <v>34.506666666666668</v>
      </c>
      <c r="AA205" s="158">
        <f t="shared" si="51"/>
        <v>35</v>
      </c>
      <c r="AB205" s="158">
        <f t="shared" si="51"/>
        <v>35</v>
      </c>
      <c r="AC205" s="158">
        <f t="shared" si="51"/>
        <v>34.506666666666668</v>
      </c>
      <c r="AD205" s="158">
        <f t="shared" si="51"/>
        <v>34</v>
      </c>
      <c r="AE205" s="157">
        <f t="shared" si="52"/>
        <v>407.01333333333332</v>
      </c>
    </row>
    <row r="206" spans="1:31" outlineLevel="2">
      <c r="A206" s="135" t="str">
        <f t="shared" si="48"/>
        <v>AmericanMulti-FamilyMRECYONLY</v>
      </c>
      <c r="B206" s="170" t="s">
        <v>569</v>
      </c>
      <c r="C206" s="170" t="s">
        <v>570</v>
      </c>
      <c r="D206" s="155">
        <v>10.72</v>
      </c>
      <c r="E206" s="155">
        <v>9.2100000000000009</v>
      </c>
      <c r="F206" s="156">
        <v>0</v>
      </c>
      <c r="G206" s="156">
        <v>0</v>
      </c>
      <c r="H206" s="156">
        <v>0</v>
      </c>
      <c r="I206" s="156">
        <v>0</v>
      </c>
      <c r="J206" s="156">
        <v>0</v>
      </c>
      <c r="K206" s="156">
        <v>0</v>
      </c>
      <c r="L206" s="156">
        <v>0</v>
      </c>
      <c r="M206" s="156">
        <v>0</v>
      </c>
      <c r="N206" s="156">
        <v>0</v>
      </c>
      <c r="O206" s="156">
        <v>0</v>
      </c>
      <c r="P206" s="156">
        <v>0</v>
      </c>
      <c r="Q206" s="156">
        <v>0</v>
      </c>
      <c r="R206" s="157">
        <f t="shared" si="49"/>
        <v>0</v>
      </c>
      <c r="S206" s="158">
        <f t="shared" si="50"/>
        <v>0</v>
      </c>
      <c r="T206" s="158">
        <f t="shared" si="50"/>
        <v>0</v>
      </c>
      <c r="U206" s="158">
        <f t="shared" si="50"/>
        <v>0</v>
      </c>
      <c r="V206" s="158">
        <f t="shared" si="50"/>
        <v>0</v>
      </c>
      <c r="W206" s="158">
        <f t="shared" si="50"/>
        <v>0</v>
      </c>
      <c r="X206" s="158">
        <f t="shared" si="51"/>
        <v>0</v>
      </c>
      <c r="Y206" s="158">
        <f t="shared" si="51"/>
        <v>0</v>
      </c>
      <c r="Z206" s="158">
        <f t="shared" si="51"/>
        <v>0</v>
      </c>
      <c r="AA206" s="158">
        <f t="shared" si="51"/>
        <v>0</v>
      </c>
      <c r="AB206" s="158">
        <f t="shared" si="51"/>
        <v>0</v>
      </c>
      <c r="AC206" s="158">
        <f t="shared" si="51"/>
        <v>0</v>
      </c>
      <c r="AD206" s="158">
        <f t="shared" si="51"/>
        <v>0</v>
      </c>
      <c r="AE206" s="157">
        <f t="shared" si="52"/>
        <v>0</v>
      </c>
    </row>
    <row r="207" spans="1:31" outlineLevel="2">
      <c r="A207" s="135" t="str">
        <f t="shared" si="48"/>
        <v>AmericanMulti-FamilyMRECYR</v>
      </c>
      <c r="B207" s="170" t="s">
        <v>571</v>
      </c>
      <c r="C207" s="170" t="s">
        <v>572</v>
      </c>
      <c r="D207" s="155">
        <v>7.14</v>
      </c>
      <c r="E207" s="155">
        <v>6.14</v>
      </c>
      <c r="F207" s="156">
        <v>728.28</v>
      </c>
      <c r="G207" s="156">
        <v>733.64</v>
      </c>
      <c r="H207" s="156">
        <v>749.7</v>
      </c>
      <c r="I207" s="156">
        <v>765.77</v>
      </c>
      <c r="J207" s="156">
        <v>778.26</v>
      </c>
      <c r="K207" s="156">
        <v>664.9</v>
      </c>
      <c r="L207" s="156">
        <v>692.29</v>
      </c>
      <c r="M207" s="156">
        <v>716.85</v>
      </c>
      <c r="N207" s="156">
        <v>724.52</v>
      </c>
      <c r="O207" s="156">
        <v>761.36</v>
      </c>
      <c r="P207" s="156">
        <v>784.39</v>
      </c>
      <c r="Q207" s="156">
        <v>779.78</v>
      </c>
      <c r="R207" s="157">
        <f t="shared" si="49"/>
        <v>8879.74</v>
      </c>
      <c r="S207" s="158">
        <f t="shared" si="50"/>
        <v>102</v>
      </c>
      <c r="T207" s="158">
        <f t="shared" si="50"/>
        <v>102.75070028011204</v>
      </c>
      <c r="U207" s="158">
        <f t="shared" si="50"/>
        <v>105.00000000000001</v>
      </c>
      <c r="V207" s="158">
        <f t="shared" si="50"/>
        <v>107.25070028011204</v>
      </c>
      <c r="W207" s="158">
        <f t="shared" si="50"/>
        <v>109</v>
      </c>
      <c r="X207" s="158">
        <f t="shared" si="51"/>
        <v>108.28990228013029</v>
      </c>
      <c r="Y207" s="158">
        <f t="shared" si="51"/>
        <v>112.75081433224756</v>
      </c>
      <c r="Z207" s="158">
        <f t="shared" si="51"/>
        <v>116.75081433224757</v>
      </c>
      <c r="AA207" s="158">
        <f t="shared" si="51"/>
        <v>118</v>
      </c>
      <c r="AB207" s="158">
        <f t="shared" si="51"/>
        <v>124.00000000000001</v>
      </c>
      <c r="AC207" s="158">
        <f t="shared" si="51"/>
        <v>127.75081433224756</v>
      </c>
      <c r="AD207" s="158">
        <f t="shared" si="51"/>
        <v>127</v>
      </c>
      <c r="AE207" s="157">
        <f t="shared" si="52"/>
        <v>1360.543745837097</v>
      </c>
    </row>
    <row r="208" spans="1:31" outlineLevel="2">
      <c r="A208" s="135" t="str">
        <f t="shared" si="48"/>
        <v>AmericanMulti-FamilyMRENT2YDRECY</v>
      </c>
      <c r="B208" s="116" t="s">
        <v>573</v>
      </c>
      <c r="C208" s="116" t="s">
        <v>574</v>
      </c>
      <c r="D208" s="155">
        <v>12.5</v>
      </c>
      <c r="E208" s="155">
        <v>10.74</v>
      </c>
      <c r="F208" s="156">
        <v>12.5</v>
      </c>
      <c r="G208" s="156">
        <v>12.5</v>
      </c>
      <c r="H208" s="156">
        <v>12.5</v>
      </c>
      <c r="I208" s="156">
        <v>12.5</v>
      </c>
      <c r="J208" s="156">
        <v>12.5</v>
      </c>
      <c r="K208" s="156">
        <v>10.74</v>
      </c>
      <c r="L208" s="156">
        <v>10.74</v>
      </c>
      <c r="M208" s="156">
        <v>10.74</v>
      </c>
      <c r="N208" s="156">
        <v>10.74</v>
      </c>
      <c r="O208" s="156">
        <v>10.74</v>
      </c>
      <c r="P208" s="156">
        <v>10.74</v>
      </c>
      <c r="Q208" s="156">
        <v>10.74</v>
      </c>
      <c r="R208" s="157">
        <f t="shared" si="49"/>
        <v>137.67999999999998</v>
      </c>
      <c r="S208" s="158">
        <f t="shared" si="50"/>
        <v>1</v>
      </c>
      <c r="T208" s="158">
        <f t="shared" si="50"/>
        <v>1</v>
      </c>
      <c r="U208" s="158">
        <f t="shared" si="50"/>
        <v>1</v>
      </c>
      <c r="V208" s="158">
        <f t="shared" si="50"/>
        <v>1</v>
      </c>
      <c r="W208" s="158">
        <f t="shared" si="50"/>
        <v>1</v>
      </c>
      <c r="X208" s="158">
        <f t="shared" si="51"/>
        <v>1</v>
      </c>
      <c r="Y208" s="158">
        <f t="shared" si="51"/>
        <v>1</v>
      </c>
      <c r="Z208" s="158">
        <f t="shared" si="51"/>
        <v>1</v>
      </c>
      <c r="AA208" s="158">
        <f t="shared" si="51"/>
        <v>1</v>
      </c>
      <c r="AB208" s="158">
        <f t="shared" si="51"/>
        <v>1</v>
      </c>
      <c r="AC208" s="158">
        <f t="shared" si="51"/>
        <v>1</v>
      </c>
      <c r="AD208" s="158">
        <f t="shared" si="51"/>
        <v>1</v>
      </c>
      <c r="AE208" s="157">
        <f t="shared" si="52"/>
        <v>12</v>
      </c>
    </row>
    <row r="209" spans="1:31" outlineLevel="2">
      <c r="A209" s="135" t="str">
        <f t="shared" si="48"/>
        <v>AmericanMulti-FamilyMRENT6YDRECY</v>
      </c>
      <c r="B209" s="116" t="s">
        <v>575</v>
      </c>
      <c r="C209" s="116" t="s">
        <v>576</v>
      </c>
      <c r="D209" s="155">
        <v>18.45</v>
      </c>
      <c r="E209" s="155">
        <v>15.86</v>
      </c>
      <c r="F209" s="156">
        <v>92.25</v>
      </c>
      <c r="G209" s="156">
        <v>92.25</v>
      </c>
      <c r="H209" s="156">
        <v>92.25</v>
      </c>
      <c r="I209" s="156">
        <v>92.25</v>
      </c>
      <c r="J209" s="156">
        <v>92.25</v>
      </c>
      <c r="K209" s="156">
        <v>79.3</v>
      </c>
      <c r="L209" s="156">
        <v>63.44</v>
      </c>
      <c r="M209" s="156">
        <v>63.44</v>
      </c>
      <c r="N209" s="156">
        <v>63.44</v>
      </c>
      <c r="O209" s="156">
        <v>63.44</v>
      </c>
      <c r="P209" s="156">
        <v>63.44</v>
      </c>
      <c r="Q209" s="156">
        <v>63.44</v>
      </c>
      <c r="R209" s="157">
        <f t="shared" si="49"/>
        <v>921.19000000000028</v>
      </c>
      <c r="S209" s="158">
        <f t="shared" si="50"/>
        <v>5</v>
      </c>
      <c r="T209" s="158">
        <f t="shared" si="50"/>
        <v>5</v>
      </c>
      <c r="U209" s="158">
        <f t="shared" si="50"/>
        <v>5</v>
      </c>
      <c r="V209" s="158">
        <f t="shared" si="50"/>
        <v>5</v>
      </c>
      <c r="W209" s="158">
        <f t="shared" si="50"/>
        <v>5</v>
      </c>
      <c r="X209" s="158">
        <f t="shared" si="51"/>
        <v>5</v>
      </c>
      <c r="Y209" s="158">
        <f t="shared" si="51"/>
        <v>4</v>
      </c>
      <c r="Z209" s="158">
        <f t="shared" si="51"/>
        <v>4</v>
      </c>
      <c r="AA209" s="158">
        <f t="shared" si="51"/>
        <v>4</v>
      </c>
      <c r="AB209" s="158">
        <f t="shared" si="51"/>
        <v>4</v>
      </c>
      <c r="AC209" s="158">
        <f t="shared" si="51"/>
        <v>4</v>
      </c>
      <c r="AD209" s="158">
        <f t="shared" si="51"/>
        <v>4</v>
      </c>
      <c r="AE209" s="157">
        <f t="shared" si="52"/>
        <v>54</v>
      </c>
    </row>
    <row r="210" spans="1:31" outlineLevel="2">
      <c r="A210" s="135" t="str">
        <f t="shared" si="48"/>
        <v>AmericanMulti-FamilyMSRTOT</v>
      </c>
      <c r="B210" s="116" t="s">
        <v>577</v>
      </c>
      <c r="C210" s="116" t="s">
        <v>578</v>
      </c>
      <c r="D210" s="155">
        <v>6.32</v>
      </c>
      <c r="E210" s="155">
        <v>6.22</v>
      </c>
      <c r="F210" s="156">
        <v>930.58</v>
      </c>
      <c r="G210" s="156">
        <v>930.58</v>
      </c>
      <c r="H210" s="156">
        <v>930.58</v>
      </c>
      <c r="I210" s="156">
        <v>930.58</v>
      </c>
      <c r="J210" s="156">
        <v>930.58</v>
      </c>
      <c r="K210" s="156">
        <v>930.58</v>
      </c>
      <c r="L210" s="156">
        <v>799.34</v>
      </c>
      <c r="M210" s="156">
        <v>799.34</v>
      </c>
      <c r="N210" s="156">
        <v>799.34</v>
      </c>
      <c r="O210" s="156">
        <v>799.34</v>
      </c>
      <c r="P210" s="156">
        <v>799.34</v>
      </c>
      <c r="Q210" s="156">
        <v>799.34</v>
      </c>
      <c r="R210" s="157">
        <f t="shared" si="49"/>
        <v>10379.52</v>
      </c>
      <c r="S210" s="158">
        <f>+IFERROR(F210/$D210,0)</f>
        <v>147.24367088607596</v>
      </c>
      <c r="T210" s="158">
        <f>+IFERROR(G210/$D210,0)</f>
        <v>147.24367088607596</v>
      </c>
      <c r="U210" s="158">
        <f>+IFERROR(H210/$D210,0)</f>
        <v>147.24367088607596</v>
      </c>
      <c r="V210" s="158">
        <f>+IFERROR(I210/$D210,0)</f>
        <v>147.24367088607596</v>
      </c>
      <c r="W210" s="158">
        <f>+IFERROR(J210/$D210,0)</f>
        <v>147.24367088607596</v>
      </c>
      <c r="X210" s="158">
        <f t="shared" si="51"/>
        <v>149.61093247588425</v>
      </c>
      <c r="Y210" s="158">
        <f t="shared" si="51"/>
        <v>128.51125401929261</v>
      </c>
      <c r="Z210" s="158">
        <f t="shared" si="51"/>
        <v>128.51125401929261</v>
      </c>
      <c r="AA210" s="158">
        <f t="shared" si="51"/>
        <v>128.51125401929261</v>
      </c>
      <c r="AB210" s="158">
        <f t="shared" si="51"/>
        <v>128.51125401929261</v>
      </c>
      <c r="AC210" s="158">
        <f t="shared" si="51"/>
        <v>128.51125401929261</v>
      </c>
      <c r="AD210" s="158">
        <f t="shared" si="51"/>
        <v>128.51125401929261</v>
      </c>
      <c r="AE210" s="157">
        <f>+SUM(S210:AD210)/$AB$3</f>
        <v>1656.8968110220201</v>
      </c>
    </row>
    <row r="211" spans="1:31" outlineLevel="2">
      <c r="B211" s="116"/>
      <c r="C211" s="159"/>
      <c r="D211" s="155"/>
      <c r="E211" s="155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7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7"/>
    </row>
    <row r="212" spans="1:31" outlineLevel="1">
      <c r="B212" s="116"/>
      <c r="C212" s="159" t="s">
        <v>579</v>
      </c>
      <c r="D212" s="155"/>
      <c r="E212" s="155"/>
      <c r="F212" s="162">
        <f t="shared" ref="F212:K212" si="53">SUM(F202:F211)</f>
        <v>4309.32</v>
      </c>
      <c r="G212" s="162">
        <f t="shared" si="53"/>
        <v>4660.9799999999996</v>
      </c>
      <c r="H212" s="162">
        <f t="shared" si="53"/>
        <v>4677.04</v>
      </c>
      <c r="I212" s="162">
        <f t="shared" si="53"/>
        <v>4693.1099999999997</v>
      </c>
      <c r="J212" s="162">
        <f t="shared" si="53"/>
        <v>4706.3499999999995</v>
      </c>
      <c r="K212" s="162">
        <f t="shared" si="53"/>
        <v>3118.39</v>
      </c>
      <c r="L212" s="162">
        <f t="shared" ref="L212:Q212" si="54">SUM(L202:L211)</f>
        <v>3604.46</v>
      </c>
      <c r="M212" s="162">
        <f t="shared" si="54"/>
        <v>3629.4</v>
      </c>
      <c r="N212" s="162">
        <f t="shared" si="54"/>
        <v>3637.44</v>
      </c>
      <c r="O212" s="162">
        <f t="shared" si="54"/>
        <v>3674.28</v>
      </c>
      <c r="P212" s="162">
        <f t="shared" si="54"/>
        <v>3696.94</v>
      </c>
      <c r="Q212" s="162">
        <f t="shared" si="54"/>
        <v>3691.9500000000003</v>
      </c>
      <c r="R212" s="163">
        <f>SUM(F212:Q212)</f>
        <v>48099.659999999996</v>
      </c>
      <c r="S212" s="162">
        <f>SUM(S202:S204,S206:S207,S210)</f>
        <v>430.54359913317546</v>
      </c>
      <c r="T212" s="162">
        <f t="shared" ref="T212:AE212" si="55">SUM(T202:T204,T206:T207,T210)</f>
        <v>438.95427001593322</v>
      </c>
      <c r="U212" s="162">
        <f t="shared" si="55"/>
        <v>441.20356973582119</v>
      </c>
      <c r="V212" s="162">
        <f t="shared" si="55"/>
        <v>443.45427001593322</v>
      </c>
      <c r="W212" s="162">
        <f t="shared" si="55"/>
        <v>445.20356973582119</v>
      </c>
      <c r="X212" s="162">
        <f t="shared" si="55"/>
        <v>417.56975568948724</v>
      </c>
      <c r="Y212" s="162">
        <f t="shared" si="55"/>
        <v>417.23257264209462</v>
      </c>
      <c r="Z212" s="162">
        <f t="shared" si="55"/>
        <v>421.23257264209462</v>
      </c>
      <c r="AA212" s="162">
        <f t="shared" si="55"/>
        <v>422.48175830984707</v>
      </c>
      <c r="AB212" s="162">
        <f t="shared" si="55"/>
        <v>428.48175830984707</v>
      </c>
      <c r="AC212" s="162">
        <f t="shared" si="55"/>
        <v>432.23257264209462</v>
      </c>
      <c r="AD212" s="162">
        <f t="shared" si="55"/>
        <v>431.48175830984707</v>
      </c>
      <c r="AE212" s="163">
        <f t="shared" si="55"/>
        <v>5170.0720271819973</v>
      </c>
    </row>
    <row r="213" spans="1:31" outlineLevel="1">
      <c r="B213" s="116"/>
      <c r="C213" s="159"/>
      <c r="D213" s="155"/>
      <c r="E213" s="155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7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7"/>
    </row>
    <row r="214" spans="1:31" outlineLevel="1">
      <c r="D214" s="155"/>
      <c r="E214" s="155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7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7"/>
    </row>
    <row r="215" spans="1:31" s="172" customFormat="1">
      <c r="B215" s="136" t="s">
        <v>580</v>
      </c>
      <c r="C215" s="136"/>
      <c r="D215" s="155"/>
      <c r="E215" s="155"/>
      <c r="F215" s="167">
        <f>+F158+F199+F212</f>
        <v>186229.8</v>
      </c>
      <c r="G215" s="167">
        <f t="shared" ref="G215:AE215" si="56">+G158+G199+G212</f>
        <v>184018.17000000004</v>
      </c>
      <c r="H215" s="167">
        <f t="shared" si="56"/>
        <v>184375.73</v>
      </c>
      <c r="I215" s="167">
        <f t="shared" si="56"/>
        <v>182821.40999999997</v>
      </c>
      <c r="J215" s="167">
        <f t="shared" si="56"/>
        <v>182667.09999999998</v>
      </c>
      <c r="K215" s="167">
        <f t="shared" si="56"/>
        <v>182786.28999999998</v>
      </c>
      <c r="L215" s="167">
        <f t="shared" si="56"/>
        <v>188511.19999999998</v>
      </c>
      <c r="M215" s="167">
        <f t="shared" si="56"/>
        <v>196225.79</v>
      </c>
      <c r="N215" s="167">
        <f t="shared" si="56"/>
        <v>195860.24000000002</v>
      </c>
      <c r="O215" s="167">
        <f t="shared" si="56"/>
        <v>199976.08000000002</v>
      </c>
      <c r="P215" s="167">
        <f t="shared" si="56"/>
        <v>200092.46000000005</v>
      </c>
      <c r="Q215" s="167">
        <f t="shared" si="56"/>
        <v>198714.96999999997</v>
      </c>
      <c r="R215" s="167">
        <f t="shared" si="56"/>
        <v>2282279.2400000002</v>
      </c>
      <c r="S215" s="167">
        <f t="shared" si="56"/>
        <v>1964.0821992717229</v>
      </c>
      <c r="T215" s="167">
        <f t="shared" si="56"/>
        <v>1845.8943759142453</v>
      </c>
      <c r="U215" s="167">
        <f t="shared" si="56"/>
        <v>1826.3635264503471</v>
      </c>
      <c r="V215" s="167">
        <f t="shared" si="56"/>
        <v>1950.9347507604962</v>
      </c>
      <c r="W215" s="167">
        <f t="shared" si="56"/>
        <v>1834.5902435489611</v>
      </c>
      <c r="X215" s="167">
        <f t="shared" si="56"/>
        <v>1794.7113104782673</v>
      </c>
      <c r="Y215" s="167">
        <f t="shared" si="56"/>
        <v>1869.8576322793506</v>
      </c>
      <c r="Z215" s="167">
        <f t="shared" si="56"/>
        <v>1940.6927546368888</v>
      </c>
      <c r="AA215" s="167">
        <f t="shared" si="56"/>
        <v>1873.4821347698935</v>
      </c>
      <c r="AB215" s="167">
        <f t="shared" si="56"/>
        <v>2049.6070066131633</v>
      </c>
      <c r="AC215" s="167">
        <f t="shared" si="56"/>
        <v>1911.983351338039</v>
      </c>
      <c r="AD215" s="167">
        <f t="shared" si="56"/>
        <v>1899.2384810406679</v>
      </c>
      <c r="AE215" s="167">
        <f t="shared" si="56"/>
        <v>22761.437767102041</v>
      </c>
    </row>
    <row r="216" spans="1:31" s="172" customFormat="1">
      <c r="B216" s="136"/>
      <c r="C216" s="136"/>
      <c r="D216" s="155"/>
      <c r="E216" s="155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7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68"/>
    </row>
    <row r="217" spans="1:31">
      <c r="D217" s="155"/>
      <c r="E217" s="155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7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7"/>
    </row>
    <row r="218" spans="1:31" outlineLevel="1">
      <c r="B218" s="150" t="s">
        <v>581</v>
      </c>
      <c r="C218" s="151"/>
      <c r="D218" s="155"/>
      <c r="E218" s="155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7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7"/>
    </row>
    <row r="219" spans="1:31" outlineLevel="1">
      <c r="B219" s="151"/>
      <c r="C219" s="151"/>
      <c r="D219" s="155"/>
      <c r="E219" s="155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7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7"/>
    </row>
    <row r="220" spans="1:31" outlineLevel="2">
      <c r="A220" s="135" t="s">
        <v>794</v>
      </c>
      <c r="B220" s="164" t="s">
        <v>583</v>
      </c>
      <c r="C220" s="116"/>
      <c r="D220" s="155"/>
      <c r="E220" s="155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7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7"/>
    </row>
    <row r="221" spans="1:31" outlineLevel="2">
      <c r="A221" s="135" t="str">
        <f t="shared" ref="A221:A284" si="57">+$A$5&amp;$A$220&amp;B221</f>
        <v>AmericanRolloffROHAUL20</v>
      </c>
      <c r="B221" s="116" t="s">
        <v>584</v>
      </c>
      <c r="C221" s="116" t="s">
        <v>585</v>
      </c>
      <c r="D221" s="155">
        <v>87.56</v>
      </c>
      <c r="E221" s="155">
        <v>87.56</v>
      </c>
      <c r="F221" s="156">
        <v>1050.72</v>
      </c>
      <c r="G221" s="156">
        <v>1138.28</v>
      </c>
      <c r="H221" s="156">
        <v>963.16</v>
      </c>
      <c r="I221" s="156">
        <v>963.16</v>
      </c>
      <c r="J221" s="156">
        <v>1050.72</v>
      </c>
      <c r="K221" s="156">
        <v>788.04</v>
      </c>
      <c r="L221" s="156">
        <v>875.6</v>
      </c>
      <c r="M221" s="156">
        <v>1050.72</v>
      </c>
      <c r="N221" s="156">
        <v>875.6</v>
      </c>
      <c r="O221" s="156">
        <v>788.04</v>
      </c>
      <c r="P221" s="156">
        <v>1225.8399999999999</v>
      </c>
      <c r="Q221" s="156">
        <v>1313.4</v>
      </c>
      <c r="R221" s="157">
        <f t="shared" ref="R221:R284" si="58">SUM(F221:Q221)</f>
        <v>12083.28</v>
      </c>
      <c r="S221" s="158">
        <f t="shared" ref="S221:W236" si="59">+IFERROR(F221/$D221,0)</f>
        <v>12</v>
      </c>
      <c r="T221" s="158">
        <f t="shared" si="59"/>
        <v>13</v>
      </c>
      <c r="U221" s="158">
        <f t="shared" si="59"/>
        <v>11</v>
      </c>
      <c r="V221" s="158">
        <f t="shared" si="59"/>
        <v>11</v>
      </c>
      <c r="W221" s="158">
        <f t="shared" si="59"/>
        <v>12</v>
      </c>
      <c r="X221" s="158">
        <f t="shared" ref="X221:AD236" si="60">+IFERROR(K221/$E221,0)</f>
        <v>9</v>
      </c>
      <c r="Y221" s="158">
        <f t="shared" si="60"/>
        <v>10</v>
      </c>
      <c r="Z221" s="158">
        <f t="shared" si="60"/>
        <v>12</v>
      </c>
      <c r="AA221" s="158">
        <f t="shared" si="60"/>
        <v>10</v>
      </c>
      <c r="AB221" s="158">
        <f t="shared" si="60"/>
        <v>9</v>
      </c>
      <c r="AC221" s="158">
        <f t="shared" si="60"/>
        <v>13.999999999999998</v>
      </c>
      <c r="AD221" s="158">
        <f t="shared" si="60"/>
        <v>15</v>
      </c>
      <c r="AE221" s="157">
        <f t="shared" ref="AE221:AE252" si="61">+SUM(S221:AD221)/$AB$3</f>
        <v>138</v>
      </c>
    </row>
    <row r="222" spans="1:31" outlineLevel="2">
      <c r="A222" s="135" t="str">
        <f t="shared" si="57"/>
        <v>AmericanRolloffROHAUL20A</v>
      </c>
      <c r="B222" s="116" t="s">
        <v>586</v>
      </c>
      <c r="C222" s="116" t="s">
        <v>587</v>
      </c>
      <c r="D222" s="155">
        <v>87.56</v>
      </c>
      <c r="E222" s="155">
        <v>87.56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0</v>
      </c>
      <c r="O222" s="156">
        <v>0</v>
      </c>
      <c r="P222" s="156">
        <v>0</v>
      </c>
      <c r="Q222" s="156">
        <v>0</v>
      </c>
      <c r="R222" s="157">
        <f t="shared" si="58"/>
        <v>0</v>
      </c>
      <c r="S222" s="158">
        <f t="shared" si="59"/>
        <v>0</v>
      </c>
      <c r="T222" s="158">
        <f t="shared" si="59"/>
        <v>0</v>
      </c>
      <c r="U222" s="158">
        <f t="shared" si="59"/>
        <v>0</v>
      </c>
      <c r="V222" s="158">
        <f t="shared" si="59"/>
        <v>0</v>
      </c>
      <c r="W222" s="158">
        <f t="shared" si="59"/>
        <v>0</v>
      </c>
      <c r="X222" s="158">
        <f t="shared" si="60"/>
        <v>0</v>
      </c>
      <c r="Y222" s="158">
        <f t="shared" si="60"/>
        <v>0</v>
      </c>
      <c r="Z222" s="158">
        <f t="shared" si="60"/>
        <v>0</v>
      </c>
      <c r="AA222" s="158">
        <f t="shared" si="60"/>
        <v>0</v>
      </c>
      <c r="AB222" s="158">
        <f t="shared" si="60"/>
        <v>0</v>
      </c>
      <c r="AC222" s="158">
        <f t="shared" si="60"/>
        <v>0</v>
      </c>
      <c r="AD222" s="158">
        <f t="shared" si="60"/>
        <v>0</v>
      </c>
      <c r="AE222" s="157">
        <f t="shared" si="61"/>
        <v>0</v>
      </c>
    </row>
    <row r="223" spans="1:31" outlineLevel="2">
      <c r="A223" s="135" t="str">
        <f t="shared" si="57"/>
        <v>AmericanRolloffROHAUL20CO</v>
      </c>
      <c r="B223" s="116" t="s">
        <v>588</v>
      </c>
      <c r="C223" s="116" t="s">
        <v>589</v>
      </c>
      <c r="D223" s="155">
        <v>0</v>
      </c>
      <c r="E223" s="155">
        <v>0</v>
      </c>
      <c r="F223" s="156">
        <v>0</v>
      </c>
      <c r="G223" s="156">
        <v>0</v>
      </c>
      <c r="H223" s="156">
        <v>0</v>
      </c>
      <c r="I223" s="156">
        <v>0</v>
      </c>
      <c r="J223" s="156">
        <v>0</v>
      </c>
      <c r="K223" s="156">
        <v>0</v>
      </c>
      <c r="L223" s="156">
        <v>0</v>
      </c>
      <c r="M223" s="156">
        <v>0</v>
      </c>
      <c r="N223" s="156">
        <v>0</v>
      </c>
      <c r="O223" s="156">
        <v>0</v>
      </c>
      <c r="P223" s="156">
        <v>0</v>
      </c>
      <c r="Q223" s="156">
        <v>0</v>
      </c>
      <c r="R223" s="157">
        <f t="shared" si="58"/>
        <v>0</v>
      </c>
      <c r="S223" s="158">
        <f t="shared" si="59"/>
        <v>0</v>
      </c>
      <c r="T223" s="158">
        <f t="shared" si="59"/>
        <v>0</v>
      </c>
      <c r="U223" s="158">
        <f t="shared" si="59"/>
        <v>0</v>
      </c>
      <c r="V223" s="158">
        <f t="shared" si="59"/>
        <v>0</v>
      </c>
      <c r="W223" s="158">
        <f t="shared" si="59"/>
        <v>0</v>
      </c>
      <c r="X223" s="158">
        <f t="shared" si="60"/>
        <v>0</v>
      </c>
      <c r="Y223" s="158">
        <f t="shared" si="60"/>
        <v>0</v>
      </c>
      <c r="Z223" s="158">
        <f t="shared" si="60"/>
        <v>0</v>
      </c>
      <c r="AA223" s="158">
        <f t="shared" si="60"/>
        <v>0</v>
      </c>
      <c r="AB223" s="158">
        <f t="shared" si="60"/>
        <v>0</v>
      </c>
      <c r="AC223" s="158">
        <f t="shared" si="60"/>
        <v>0</v>
      </c>
      <c r="AD223" s="158">
        <f t="shared" si="60"/>
        <v>0</v>
      </c>
      <c r="AE223" s="157">
        <f t="shared" si="61"/>
        <v>0</v>
      </c>
    </row>
    <row r="224" spans="1:31" outlineLevel="2">
      <c r="A224" s="135" t="str">
        <f t="shared" si="57"/>
        <v>AmericanRolloffROHAUL20T</v>
      </c>
      <c r="B224" s="116" t="s">
        <v>590</v>
      </c>
      <c r="C224" s="116" t="s">
        <v>591</v>
      </c>
      <c r="D224" s="155">
        <v>104.5</v>
      </c>
      <c r="E224" s="155">
        <v>104.5</v>
      </c>
      <c r="F224" s="156">
        <v>731.5</v>
      </c>
      <c r="G224" s="156">
        <v>940.5</v>
      </c>
      <c r="H224" s="156">
        <v>1149.5</v>
      </c>
      <c r="I224" s="156">
        <v>627</v>
      </c>
      <c r="J224" s="156">
        <v>209</v>
      </c>
      <c r="K224" s="156">
        <v>1149.5</v>
      </c>
      <c r="L224" s="156">
        <v>627</v>
      </c>
      <c r="M224" s="156">
        <v>1567.5</v>
      </c>
      <c r="N224" s="156">
        <v>1881</v>
      </c>
      <c r="O224" s="156">
        <v>1881</v>
      </c>
      <c r="P224" s="156">
        <v>3135</v>
      </c>
      <c r="Q224" s="156">
        <v>1567.5</v>
      </c>
      <c r="R224" s="157">
        <f t="shared" si="58"/>
        <v>15466</v>
      </c>
      <c r="S224" s="158">
        <f t="shared" si="59"/>
        <v>7</v>
      </c>
      <c r="T224" s="158">
        <f t="shared" si="59"/>
        <v>9</v>
      </c>
      <c r="U224" s="158">
        <f t="shared" si="59"/>
        <v>11</v>
      </c>
      <c r="V224" s="158">
        <f t="shared" si="59"/>
        <v>6</v>
      </c>
      <c r="W224" s="158">
        <f t="shared" si="59"/>
        <v>2</v>
      </c>
      <c r="X224" s="158">
        <f t="shared" si="60"/>
        <v>11</v>
      </c>
      <c r="Y224" s="158">
        <f t="shared" si="60"/>
        <v>6</v>
      </c>
      <c r="Z224" s="158">
        <f t="shared" si="60"/>
        <v>15</v>
      </c>
      <c r="AA224" s="158">
        <f t="shared" si="60"/>
        <v>18</v>
      </c>
      <c r="AB224" s="158">
        <f t="shared" si="60"/>
        <v>18</v>
      </c>
      <c r="AC224" s="158">
        <f t="shared" si="60"/>
        <v>30</v>
      </c>
      <c r="AD224" s="158">
        <f t="shared" si="60"/>
        <v>15</v>
      </c>
      <c r="AE224" s="157">
        <f t="shared" si="61"/>
        <v>148</v>
      </c>
    </row>
    <row r="225" spans="1:31" outlineLevel="2">
      <c r="A225" s="135" t="str">
        <f t="shared" si="57"/>
        <v>AmericanRolloffROHAUL25</v>
      </c>
      <c r="B225" s="116" t="s">
        <v>592</v>
      </c>
      <c r="C225" s="116" t="s">
        <v>593</v>
      </c>
      <c r="D225" s="155">
        <v>95.98</v>
      </c>
      <c r="E225" s="155">
        <v>95.98</v>
      </c>
      <c r="F225" s="156">
        <v>863.82</v>
      </c>
      <c r="G225" s="156">
        <v>479.9</v>
      </c>
      <c r="H225" s="156">
        <v>575.88</v>
      </c>
      <c r="I225" s="156">
        <v>575.88</v>
      </c>
      <c r="J225" s="156">
        <v>479.9</v>
      </c>
      <c r="K225" s="156">
        <v>575.88</v>
      </c>
      <c r="L225" s="156">
        <v>479.9</v>
      </c>
      <c r="M225" s="156">
        <v>767.84</v>
      </c>
      <c r="N225" s="156">
        <v>479.9</v>
      </c>
      <c r="O225" s="156">
        <v>671.86</v>
      </c>
      <c r="P225" s="156">
        <v>575.88</v>
      </c>
      <c r="Q225" s="156">
        <v>575.88</v>
      </c>
      <c r="R225" s="157">
        <f t="shared" si="58"/>
        <v>7102.5199999999995</v>
      </c>
      <c r="S225" s="158">
        <f t="shared" si="59"/>
        <v>9</v>
      </c>
      <c r="T225" s="158">
        <f t="shared" si="59"/>
        <v>4.9999999999999991</v>
      </c>
      <c r="U225" s="158">
        <f t="shared" si="59"/>
        <v>6</v>
      </c>
      <c r="V225" s="158">
        <f t="shared" si="59"/>
        <v>6</v>
      </c>
      <c r="W225" s="158">
        <f t="shared" si="59"/>
        <v>4.9999999999999991</v>
      </c>
      <c r="X225" s="158">
        <f t="shared" si="60"/>
        <v>6</v>
      </c>
      <c r="Y225" s="158">
        <f t="shared" si="60"/>
        <v>4.9999999999999991</v>
      </c>
      <c r="Z225" s="158">
        <f t="shared" si="60"/>
        <v>8</v>
      </c>
      <c r="AA225" s="158">
        <f t="shared" si="60"/>
        <v>4.9999999999999991</v>
      </c>
      <c r="AB225" s="158">
        <f t="shared" si="60"/>
        <v>7</v>
      </c>
      <c r="AC225" s="158">
        <f t="shared" si="60"/>
        <v>6</v>
      </c>
      <c r="AD225" s="158">
        <f t="shared" si="60"/>
        <v>6</v>
      </c>
      <c r="AE225" s="157">
        <f t="shared" si="61"/>
        <v>74</v>
      </c>
    </row>
    <row r="226" spans="1:31" outlineLevel="2">
      <c r="A226" s="135" t="str">
        <f t="shared" si="57"/>
        <v>AmericanRolloffROHAUL25A</v>
      </c>
      <c r="B226" s="116" t="s">
        <v>594</v>
      </c>
      <c r="C226" s="116" t="s">
        <v>595</v>
      </c>
      <c r="D226" s="155">
        <v>95.98</v>
      </c>
      <c r="E226" s="155">
        <v>95.98</v>
      </c>
      <c r="F226" s="156">
        <v>0</v>
      </c>
      <c r="G226" s="156">
        <v>0</v>
      </c>
      <c r="H226" s="156">
        <v>0</v>
      </c>
      <c r="I226" s="156">
        <v>0</v>
      </c>
      <c r="J226" s="156">
        <v>0</v>
      </c>
      <c r="K226" s="156">
        <v>0</v>
      </c>
      <c r="L226" s="156">
        <v>0</v>
      </c>
      <c r="M226" s="156">
        <v>0</v>
      </c>
      <c r="N226" s="156">
        <v>0</v>
      </c>
      <c r="O226" s="156">
        <v>0</v>
      </c>
      <c r="P226" s="156">
        <v>0</v>
      </c>
      <c r="Q226" s="156">
        <v>0</v>
      </c>
      <c r="R226" s="157">
        <f t="shared" si="58"/>
        <v>0</v>
      </c>
      <c r="S226" s="158">
        <f t="shared" si="59"/>
        <v>0</v>
      </c>
      <c r="T226" s="158">
        <f t="shared" si="59"/>
        <v>0</v>
      </c>
      <c r="U226" s="158">
        <f t="shared" si="59"/>
        <v>0</v>
      </c>
      <c r="V226" s="158">
        <f t="shared" si="59"/>
        <v>0</v>
      </c>
      <c r="W226" s="158">
        <f t="shared" si="59"/>
        <v>0</v>
      </c>
      <c r="X226" s="158">
        <f t="shared" si="60"/>
        <v>0</v>
      </c>
      <c r="Y226" s="158">
        <f t="shared" si="60"/>
        <v>0</v>
      </c>
      <c r="Z226" s="158">
        <f t="shared" si="60"/>
        <v>0</v>
      </c>
      <c r="AA226" s="158">
        <f t="shared" si="60"/>
        <v>0</v>
      </c>
      <c r="AB226" s="158">
        <f t="shared" si="60"/>
        <v>0</v>
      </c>
      <c r="AC226" s="158">
        <f t="shared" si="60"/>
        <v>0</v>
      </c>
      <c r="AD226" s="158">
        <f t="shared" si="60"/>
        <v>0</v>
      </c>
      <c r="AE226" s="157">
        <f t="shared" si="61"/>
        <v>0</v>
      </c>
    </row>
    <row r="227" spans="1:31" outlineLevel="2">
      <c r="A227" s="135" t="str">
        <f t="shared" si="57"/>
        <v>AmericanRolloffROHAUL25T</v>
      </c>
      <c r="B227" s="116" t="s">
        <v>596</v>
      </c>
      <c r="C227" s="116" t="s">
        <v>597</v>
      </c>
      <c r="D227" s="155">
        <v>111.56</v>
      </c>
      <c r="E227" s="155">
        <v>111.56</v>
      </c>
      <c r="F227" s="156">
        <v>780.92</v>
      </c>
      <c r="G227" s="156">
        <v>111.56</v>
      </c>
      <c r="H227" s="156">
        <v>334.68</v>
      </c>
      <c r="I227" s="156">
        <v>669.36</v>
      </c>
      <c r="J227" s="156">
        <v>111.56</v>
      </c>
      <c r="K227" s="156">
        <v>669.36</v>
      </c>
      <c r="L227" s="156">
        <v>780.92</v>
      </c>
      <c r="M227" s="156">
        <v>557.79999999999995</v>
      </c>
      <c r="N227" s="156">
        <v>111.56</v>
      </c>
      <c r="O227" s="156">
        <v>557.79999999999995</v>
      </c>
      <c r="P227" s="156">
        <v>892.48</v>
      </c>
      <c r="Q227" s="156">
        <v>223.12</v>
      </c>
      <c r="R227" s="157">
        <f t="shared" si="58"/>
        <v>5801.12</v>
      </c>
      <c r="S227" s="158">
        <f t="shared" si="59"/>
        <v>6.9999999999999991</v>
      </c>
      <c r="T227" s="158">
        <f t="shared" si="59"/>
        <v>1</v>
      </c>
      <c r="U227" s="158">
        <f t="shared" si="59"/>
        <v>3</v>
      </c>
      <c r="V227" s="158">
        <f t="shared" si="59"/>
        <v>6</v>
      </c>
      <c r="W227" s="158">
        <f t="shared" si="59"/>
        <v>1</v>
      </c>
      <c r="X227" s="158">
        <f t="shared" si="60"/>
        <v>6</v>
      </c>
      <c r="Y227" s="158">
        <f t="shared" si="60"/>
        <v>6.9999999999999991</v>
      </c>
      <c r="Z227" s="158">
        <f t="shared" si="60"/>
        <v>4.9999999999999991</v>
      </c>
      <c r="AA227" s="158">
        <f t="shared" si="60"/>
        <v>1</v>
      </c>
      <c r="AB227" s="158">
        <f t="shared" si="60"/>
        <v>4.9999999999999991</v>
      </c>
      <c r="AC227" s="158">
        <f t="shared" si="60"/>
        <v>8</v>
      </c>
      <c r="AD227" s="158">
        <f t="shared" si="60"/>
        <v>2</v>
      </c>
      <c r="AE227" s="157">
        <f t="shared" si="61"/>
        <v>52</v>
      </c>
    </row>
    <row r="228" spans="1:31" outlineLevel="2">
      <c r="A228" s="135" t="str">
        <f t="shared" si="57"/>
        <v>AmericanRolloffROHAUL30</v>
      </c>
      <c r="B228" s="116" t="s">
        <v>598</v>
      </c>
      <c r="C228" s="116" t="s">
        <v>599</v>
      </c>
      <c r="D228" s="155">
        <v>103.19</v>
      </c>
      <c r="E228" s="155">
        <v>103.19</v>
      </c>
      <c r="F228" s="156">
        <v>1238.28</v>
      </c>
      <c r="G228" s="156">
        <v>1547.85</v>
      </c>
      <c r="H228" s="156">
        <v>1341.47</v>
      </c>
      <c r="I228" s="156">
        <v>1238.28</v>
      </c>
      <c r="J228" s="156">
        <v>928.71</v>
      </c>
      <c r="K228" s="156">
        <v>722.33</v>
      </c>
      <c r="L228" s="156">
        <v>1135.0899999999999</v>
      </c>
      <c r="M228" s="156">
        <v>1135.0899999999999</v>
      </c>
      <c r="N228" s="156">
        <v>1238.28</v>
      </c>
      <c r="O228" s="156">
        <v>928.71</v>
      </c>
      <c r="P228" s="156">
        <v>1341.47</v>
      </c>
      <c r="Q228" s="156">
        <v>722.33</v>
      </c>
      <c r="R228" s="157">
        <f t="shared" si="58"/>
        <v>13517.89</v>
      </c>
      <c r="S228" s="158">
        <f t="shared" si="59"/>
        <v>12</v>
      </c>
      <c r="T228" s="158">
        <f t="shared" si="59"/>
        <v>15</v>
      </c>
      <c r="U228" s="158">
        <f t="shared" si="59"/>
        <v>13</v>
      </c>
      <c r="V228" s="158">
        <f t="shared" si="59"/>
        <v>12</v>
      </c>
      <c r="W228" s="158">
        <f t="shared" si="59"/>
        <v>9</v>
      </c>
      <c r="X228" s="158">
        <f t="shared" si="60"/>
        <v>7.0000000000000009</v>
      </c>
      <c r="Y228" s="158">
        <f t="shared" si="60"/>
        <v>11</v>
      </c>
      <c r="Z228" s="158">
        <f t="shared" si="60"/>
        <v>11</v>
      </c>
      <c r="AA228" s="158">
        <f t="shared" si="60"/>
        <v>12</v>
      </c>
      <c r="AB228" s="158">
        <f t="shared" si="60"/>
        <v>9</v>
      </c>
      <c r="AC228" s="158">
        <f t="shared" si="60"/>
        <v>13</v>
      </c>
      <c r="AD228" s="158">
        <f t="shared" si="60"/>
        <v>7.0000000000000009</v>
      </c>
      <c r="AE228" s="157">
        <f t="shared" si="61"/>
        <v>131</v>
      </c>
    </row>
    <row r="229" spans="1:31" outlineLevel="2">
      <c r="A229" s="135" t="str">
        <f t="shared" si="57"/>
        <v>AmericanRolloffROHAUL30A</v>
      </c>
      <c r="B229" s="116" t="s">
        <v>600</v>
      </c>
      <c r="C229" s="116" t="s">
        <v>601</v>
      </c>
      <c r="D229" s="155">
        <v>103.19</v>
      </c>
      <c r="E229" s="155">
        <v>103.19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56">
        <v>0</v>
      </c>
      <c r="Q229" s="156">
        <v>0</v>
      </c>
      <c r="R229" s="157">
        <f t="shared" si="58"/>
        <v>0</v>
      </c>
      <c r="S229" s="158">
        <f t="shared" si="59"/>
        <v>0</v>
      </c>
      <c r="T229" s="158">
        <f t="shared" si="59"/>
        <v>0</v>
      </c>
      <c r="U229" s="158">
        <f t="shared" si="59"/>
        <v>0</v>
      </c>
      <c r="V229" s="158">
        <f t="shared" si="59"/>
        <v>0</v>
      </c>
      <c r="W229" s="158">
        <f t="shared" si="59"/>
        <v>0</v>
      </c>
      <c r="X229" s="158">
        <f t="shared" si="60"/>
        <v>0</v>
      </c>
      <c r="Y229" s="158">
        <f t="shared" si="60"/>
        <v>0</v>
      </c>
      <c r="Z229" s="158">
        <f t="shared" si="60"/>
        <v>0</v>
      </c>
      <c r="AA229" s="158">
        <f t="shared" si="60"/>
        <v>0</v>
      </c>
      <c r="AB229" s="158">
        <f t="shared" si="60"/>
        <v>0</v>
      </c>
      <c r="AC229" s="158">
        <f t="shared" si="60"/>
        <v>0</v>
      </c>
      <c r="AD229" s="158">
        <f t="shared" si="60"/>
        <v>0</v>
      </c>
      <c r="AE229" s="157">
        <f t="shared" si="61"/>
        <v>0</v>
      </c>
    </row>
    <row r="230" spans="1:31" outlineLevel="2">
      <c r="A230" s="135" t="str">
        <f t="shared" si="57"/>
        <v>AmericanRolloffROHAUL30T</v>
      </c>
      <c r="B230" s="116" t="s">
        <v>602</v>
      </c>
      <c r="C230" s="116" t="s">
        <v>603</v>
      </c>
      <c r="D230" s="155">
        <v>117.56</v>
      </c>
      <c r="E230" s="155">
        <v>117.56</v>
      </c>
      <c r="F230" s="156">
        <v>3174.12</v>
      </c>
      <c r="G230" s="156">
        <v>940.48</v>
      </c>
      <c r="H230" s="156">
        <v>470.24</v>
      </c>
      <c r="I230" s="156">
        <v>352.68</v>
      </c>
      <c r="J230" s="156">
        <v>822.92</v>
      </c>
      <c r="K230" s="156">
        <v>2703.88</v>
      </c>
      <c r="L230" s="156">
        <v>2351.1999999999998</v>
      </c>
      <c r="M230" s="156">
        <v>1410.72</v>
      </c>
      <c r="N230" s="156">
        <v>1058.04</v>
      </c>
      <c r="O230" s="156">
        <v>1293.1600000000001</v>
      </c>
      <c r="P230" s="156">
        <v>1293.1600000000001</v>
      </c>
      <c r="Q230" s="156">
        <v>705.36</v>
      </c>
      <c r="R230" s="157">
        <f t="shared" si="58"/>
        <v>16575.96</v>
      </c>
      <c r="S230" s="158">
        <f t="shared" si="59"/>
        <v>27</v>
      </c>
      <c r="T230" s="158">
        <f t="shared" si="59"/>
        <v>8</v>
      </c>
      <c r="U230" s="158">
        <f t="shared" si="59"/>
        <v>4</v>
      </c>
      <c r="V230" s="158">
        <f t="shared" si="59"/>
        <v>3</v>
      </c>
      <c r="W230" s="158">
        <f t="shared" si="59"/>
        <v>6.9999999999999991</v>
      </c>
      <c r="X230" s="158">
        <f t="shared" si="60"/>
        <v>23</v>
      </c>
      <c r="Y230" s="158">
        <f t="shared" si="60"/>
        <v>19.999999999999996</v>
      </c>
      <c r="Z230" s="158">
        <f t="shared" si="60"/>
        <v>12</v>
      </c>
      <c r="AA230" s="158">
        <f t="shared" si="60"/>
        <v>9</v>
      </c>
      <c r="AB230" s="158">
        <f t="shared" si="60"/>
        <v>11</v>
      </c>
      <c r="AC230" s="158">
        <f t="shared" si="60"/>
        <v>11</v>
      </c>
      <c r="AD230" s="158">
        <f t="shared" si="60"/>
        <v>6</v>
      </c>
      <c r="AE230" s="157">
        <f t="shared" si="61"/>
        <v>141</v>
      </c>
    </row>
    <row r="231" spans="1:31" outlineLevel="2">
      <c r="A231" s="135" t="str">
        <f t="shared" si="57"/>
        <v>AmericanRolloffROHAUL40</v>
      </c>
      <c r="B231" s="116" t="s">
        <v>604</v>
      </c>
      <c r="C231" s="116" t="s">
        <v>605</v>
      </c>
      <c r="D231" s="155">
        <v>124.76</v>
      </c>
      <c r="E231" s="155">
        <v>124.76</v>
      </c>
      <c r="F231" s="156">
        <v>0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0</v>
      </c>
      <c r="N231" s="156">
        <v>0</v>
      </c>
      <c r="O231" s="156">
        <v>0</v>
      </c>
      <c r="P231" s="156">
        <v>0</v>
      </c>
      <c r="Q231" s="156">
        <v>0</v>
      </c>
      <c r="R231" s="157">
        <f t="shared" si="58"/>
        <v>0</v>
      </c>
      <c r="S231" s="158">
        <f t="shared" si="59"/>
        <v>0</v>
      </c>
      <c r="T231" s="158">
        <f t="shared" si="59"/>
        <v>0</v>
      </c>
      <c r="U231" s="158">
        <f t="shared" si="59"/>
        <v>0</v>
      </c>
      <c r="V231" s="158">
        <f t="shared" si="59"/>
        <v>0</v>
      </c>
      <c r="W231" s="158">
        <f t="shared" si="59"/>
        <v>0</v>
      </c>
      <c r="X231" s="158">
        <f t="shared" si="60"/>
        <v>0</v>
      </c>
      <c r="Y231" s="158">
        <f t="shared" si="60"/>
        <v>0</v>
      </c>
      <c r="Z231" s="158">
        <f t="shared" si="60"/>
        <v>0</v>
      </c>
      <c r="AA231" s="158">
        <f t="shared" si="60"/>
        <v>0</v>
      </c>
      <c r="AB231" s="158">
        <f t="shared" si="60"/>
        <v>0</v>
      </c>
      <c r="AC231" s="158">
        <f t="shared" si="60"/>
        <v>0</v>
      </c>
      <c r="AD231" s="158">
        <f t="shared" si="60"/>
        <v>0</v>
      </c>
      <c r="AE231" s="157">
        <f t="shared" si="61"/>
        <v>0</v>
      </c>
    </row>
    <row r="232" spans="1:31" outlineLevel="2">
      <c r="A232" s="135" t="str">
        <f t="shared" si="57"/>
        <v>AmericanRolloffROHAUL40A</v>
      </c>
      <c r="B232" s="116" t="s">
        <v>606</v>
      </c>
      <c r="C232" s="116" t="s">
        <v>607</v>
      </c>
      <c r="D232" s="155">
        <v>124.76</v>
      </c>
      <c r="E232" s="155">
        <v>124.76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6">
        <v>0</v>
      </c>
      <c r="Q232" s="156">
        <v>0</v>
      </c>
      <c r="R232" s="157">
        <f t="shared" si="58"/>
        <v>0</v>
      </c>
      <c r="S232" s="158">
        <f t="shared" si="59"/>
        <v>0</v>
      </c>
      <c r="T232" s="158">
        <f t="shared" si="59"/>
        <v>0</v>
      </c>
      <c r="U232" s="158">
        <f t="shared" si="59"/>
        <v>0</v>
      </c>
      <c r="V232" s="158">
        <f t="shared" si="59"/>
        <v>0</v>
      </c>
      <c r="W232" s="158">
        <f t="shared" si="59"/>
        <v>0</v>
      </c>
      <c r="X232" s="158">
        <f t="shared" si="60"/>
        <v>0</v>
      </c>
      <c r="Y232" s="158">
        <f t="shared" si="60"/>
        <v>0</v>
      </c>
      <c r="Z232" s="158">
        <f t="shared" si="60"/>
        <v>0</v>
      </c>
      <c r="AA232" s="158">
        <f t="shared" si="60"/>
        <v>0</v>
      </c>
      <c r="AB232" s="158">
        <f t="shared" si="60"/>
        <v>0</v>
      </c>
      <c r="AC232" s="158">
        <f t="shared" si="60"/>
        <v>0</v>
      </c>
      <c r="AD232" s="158">
        <f t="shared" si="60"/>
        <v>0</v>
      </c>
      <c r="AE232" s="157">
        <f t="shared" si="61"/>
        <v>0</v>
      </c>
    </row>
    <row r="233" spans="1:31" outlineLevel="2">
      <c r="A233" s="135" t="str">
        <f t="shared" si="57"/>
        <v>AmericanRolloffROHAUL40T</v>
      </c>
      <c r="B233" s="116" t="s">
        <v>608</v>
      </c>
      <c r="C233" s="116" t="s">
        <v>609</v>
      </c>
      <c r="D233" s="155">
        <v>0</v>
      </c>
      <c r="E233" s="155">
        <v>135.55000000000001</v>
      </c>
      <c r="F233" s="156">
        <v>542.20000000000005</v>
      </c>
      <c r="G233" s="156">
        <v>406.65</v>
      </c>
      <c r="H233" s="156">
        <v>0</v>
      </c>
      <c r="I233" s="156">
        <v>0</v>
      </c>
      <c r="J233" s="156">
        <v>0</v>
      </c>
      <c r="K233" s="156">
        <v>271.10000000000002</v>
      </c>
      <c r="L233" s="156">
        <v>0</v>
      </c>
      <c r="M233" s="156">
        <v>0</v>
      </c>
      <c r="N233" s="156">
        <v>0</v>
      </c>
      <c r="O233" s="156">
        <v>0</v>
      </c>
      <c r="P233" s="156">
        <v>0</v>
      </c>
      <c r="Q233" s="156">
        <v>0</v>
      </c>
      <c r="R233" s="157">
        <f t="shared" si="58"/>
        <v>1219.95</v>
      </c>
      <c r="S233" s="158">
        <f t="shared" si="59"/>
        <v>0</v>
      </c>
      <c r="T233" s="158">
        <f t="shared" si="59"/>
        <v>0</v>
      </c>
      <c r="U233" s="158">
        <f t="shared" si="59"/>
        <v>0</v>
      </c>
      <c r="V233" s="158">
        <f t="shared" si="59"/>
        <v>0</v>
      </c>
      <c r="W233" s="158">
        <f t="shared" si="59"/>
        <v>0</v>
      </c>
      <c r="X233" s="158">
        <f t="shared" si="60"/>
        <v>2</v>
      </c>
      <c r="Y233" s="158">
        <f t="shared" si="60"/>
        <v>0</v>
      </c>
      <c r="Z233" s="158">
        <f t="shared" si="60"/>
        <v>0</v>
      </c>
      <c r="AA233" s="158">
        <f t="shared" si="60"/>
        <v>0</v>
      </c>
      <c r="AB233" s="158">
        <f t="shared" si="60"/>
        <v>0</v>
      </c>
      <c r="AC233" s="158">
        <f t="shared" si="60"/>
        <v>0</v>
      </c>
      <c r="AD233" s="158">
        <f t="shared" si="60"/>
        <v>0</v>
      </c>
      <c r="AE233" s="157">
        <f t="shared" si="61"/>
        <v>2</v>
      </c>
    </row>
    <row r="234" spans="1:31" outlineLevel="2">
      <c r="A234" s="135" t="str">
        <f t="shared" si="57"/>
        <v>AmericanRolloffCPHAUL10</v>
      </c>
      <c r="B234" s="116" t="s">
        <v>610</v>
      </c>
      <c r="C234" s="116" t="s">
        <v>611</v>
      </c>
      <c r="D234" s="155">
        <v>125.97</v>
      </c>
      <c r="E234" s="155">
        <v>125.97</v>
      </c>
      <c r="F234" s="156">
        <v>1511.64</v>
      </c>
      <c r="G234" s="156">
        <v>1259.7</v>
      </c>
      <c r="H234" s="156">
        <v>1259.7</v>
      </c>
      <c r="I234" s="156">
        <v>1637.61</v>
      </c>
      <c r="J234" s="156">
        <v>1259.7</v>
      </c>
      <c r="K234" s="156">
        <v>1259.7</v>
      </c>
      <c r="L234" s="156">
        <v>1385.67</v>
      </c>
      <c r="M234" s="156">
        <v>1385.67</v>
      </c>
      <c r="N234" s="156">
        <v>1259.7</v>
      </c>
      <c r="O234" s="156">
        <v>1511.64</v>
      </c>
      <c r="P234" s="156">
        <v>1385.67</v>
      </c>
      <c r="Q234" s="156">
        <v>1259.7</v>
      </c>
      <c r="R234" s="157">
        <f t="shared" si="58"/>
        <v>16376.1</v>
      </c>
      <c r="S234" s="158">
        <f t="shared" si="59"/>
        <v>12.000000000000002</v>
      </c>
      <c r="T234" s="158">
        <f t="shared" si="59"/>
        <v>10</v>
      </c>
      <c r="U234" s="158">
        <f t="shared" si="59"/>
        <v>10</v>
      </c>
      <c r="V234" s="158">
        <f t="shared" si="59"/>
        <v>13</v>
      </c>
      <c r="W234" s="158">
        <f t="shared" si="59"/>
        <v>10</v>
      </c>
      <c r="X234" s="158">
        <f t="shared" si="60"/>
        <v>10</v>
      </c>
      <c r="Y234" s="158">
        <f t="shared" si="60"/>
        <v>11</v>
      </c>
      <c r="Z234" s="158">
        <f t="shared" si="60"/>
        <v>11</v>
      </c>
      <c r="AA234" s="158">
        <f t="shared" si="60"/>
        <v>10</v>
      </c>
      <c r="AB234" s="158">
        <f t="shared" si="60"/>
        <v>12.000000000000002</v>
      </c>
      <c r="AC234" s="158">
        <f t="shared" si="60"/>
        <v>11</v>
      </c>
      <c r="AD234" s="158">
        <f t="shared" si="60"/>
        <v>10</v>
      </c>
      <c r="AE234" s="157">
        <f t="shared" si="61"/>
        <v>130</v>
      </c>
    </row>
    <row r="235" spans="1:31" outlineLevel="2">
      <c r="A235" s="135" t="str">
        <f t="shared" si="57"/>
        <v>AmericanRolloffCPHAUL15</v>
      </c>
      <c r="B235" s="116" t="s">
        <v>612</v>
      </c>
      <c r="C235" s="116" t="s">
        <v>613</v>
      </c>
      <c r="D235" s="155">
        <v>130.16</v>
      </c>
      <c r="E235" s="155">
        <v>130.16</v>
      </c>
      <c r="F235" s="156">
        <v>0</v>
      </c>
      <c r="G235" s="156">
        <v>130.16</v>
      </c>
      <c r="H235" s="156">
        <v>0</v>
      </c>
      <c r="I235" s="156">
        <v>130.16</v>
      </c>
      <c r="J235" s="156">
        <v>130.16</v>
      </c>
      <c r="K235" s="156">
        <v>0</v>
      </c>
      <c r="L235" s="156">
        <v>130.16</v>
      </c>
      <c r="M235" s="156">
        <v>0</v>
      </c>
      <c r="N235" s="156">
        <v>130.16</v>
      </c>
      <c r="O235" s="156">
        <v>130.16</v>
      </c>
      <c r="P235" s="156">
        <v>0</v>
      </c>
      <c r="Q235" s="156">
        <v>130.16</v>
      </c>
      <c r="R235" s="157">
        <f t="shared" si="58"/>
        <v>911.11999999999989</v>
      </c>
      <c r="S235" s="158">
        <f t="shared" si="59"/>
        <v>0</v>
      </c>
      <c r="T235" s="158">
        <f t="shared" si="59"/>
        <v>1</v>
      </c>
      <c r="U235" s="158">
        <f t="shared" si="59"/>
        <v>0</v>
      </c>
      <c r="V235" s="158">
        <f t="shared" si="59"/>
        <v>1</v>
      </c>
      <c r="W235" s="158">
        <f t="shared" si="59"/>
        <v>1</v>
      </c>
      <c r="X235" s="158">
        <f t="shared" si="60"/>
        <v>0</v>
      </c>
      <c r="Y235" s="158">
        <f t="shared" si="60"/>
        <v>1</v>
      </c>
      <c r="Z235" s="158">
        <f t="shared" si="60"/>
        <v>0</v>
      </c>
      <c r="AA235" s="158">
        <f t="shared" si="60"/>
        <v>1</v>
      </c>
      <c r="AB235" s="158">
        <f t="shared" si="60"/>
        <v>1</v>
      </c>
      <c r="AC235" s="158">
        <f t="shared" si="60"/>
        <v>0</v>
      </c>
      <c r="AD235" s="158">
        <f t="shared" si="60"/>
        <v>1</v>
      </c>
      <c r="AE235" s="157">
        <f t="shared" si="61"/>
        <v>7</v>
      </c>
    </row>
    <row r="236" spans="1:31" outlineLevel="2">
      <c r="A236" s="135" t="str">
        <f t="shared" si="57"/>
        <v>AmericanRolloffCPHAUL20</v>
      </c>
      <c r="B236" s="116" t="s">
        <v>614</v>
      </c>
      <c r="C236" s="116" t="s">
        <v>615</v>
      </c>
      <c r="D236" s="155">
        <v>130.16</v>
      </c>
      <c r="E236" s="155">
        <v>130.16</v>
      </c>
      <c r="F236" s="156">
        <v>780.96</v>
      </c>
      <c r="G236" s="156">
        <v>911.12</v>
      </c>
      <c r="H236" s="156">
        <v>780.96</v>
      </c>
      <c r="I236" s="156">
        <v>1692.08</v>
      </c>
      <c r="J236" s="156">
        <v>1692.08</v>
      </c>
      <c r="K236" s="156">
        <v>1692.08</v>
      </c>
      <c r="L236" s="156">
        <v>1952.4</v>
      </c>
      <c r="M236" s="156">
        <v>1952.4</v>
      </c>
      <c r="N236" s="156">
        <v>1692.08</v>
      </c>
      <c r="O236" s="156">
        <v>2212.7199999999998</v>
      </c>
      <c r="P236" s="156">
        <v>2082.56</v>
      </c>
      <c r="Q236" s="156">
        <v>1692.08</v>
      </c>
      <c r="R236" s="157">
        <f t="shared" si="58"/>
        <v>19133.519999999997</v>
      </c>
      <c r="S236" s="158">
        <f t="shared" si="59"/>
        <v>6</v>
      </c>
      <c r="T236" s="158">
        <f t="shared" si="59"/>
        <v>7</v>
      </c>
      <c r="U236" s="158">
        <f t="shared" si="59"/>
        <v>6</v>
      </c>
      <c r="V236" s="158">
        <f t="shared" si="59"/>
        <v>13</v>
      </c>
      <c r="W236" s="158">
        <f t="shared" si="59"/>
        <v>13</v>
      </c>
      <c r="X236" s="158">
        <f t="shared" si="60"/>
        <v>13</v>
      </c>
      <c r="Y236" s="158">
        <f t="shared" si="60"/>
        <v>15.000000000000002</v>
      </c>
      <c r="Z236" s="158">
        <f t="shared" si="60"/>
        <v>15.000000000000002</v>
      </c>
      <c r="AA236" s="158">
        <f t="shared" si="60"/>
        <v>13</v>
      </c>
      <c r="AB236" s="158">
        <f t="shared" si="60"/>
        <v>17</v>
      </c>
      <c r="AC236" s="158">
        <f t="shared" si="60"/>
        <v>16</v>
      </c>
      <c r="AD236" s="158">
        <f t="shared" si="60"/>
        <v>13</v>
      </c>
      <c r="AE236" s="157">
        <f t="shared" si="61"/>
        <v>147</v>
      </c>
    </row>
    <row r="237" spans="1:31" outlineLevel="2">
      <c r="A237" s="135" t="str">
        <f t="shared" si="57"/>
        <v>AmericanRolloffCPHAUL25</v>
      </c>
      <c r="B237" s="116" t="s">
        <v>616</v>
      </c>
      <c r="C237" s="116" t="s">
        <v>617</v>
      </c>
      <c r="D237" s="155">
        <v>135</v>
      </c>
      <c r="E237" s="155">
        <v>135</v>
      </c>
      <c r="F237" s="156">
        <v>1485</v>
      </c>
      <c r="G237" s="156">
        <v>1080</v>
      </c>
      <c r="H237" s="156">
        <v>1485</v>
      </c>
      <c r="I237" s="156">
        <v>1485</v>
      </c>
      <c r="J237" s="156">
        <v>1080</v>
      </c>
      <c r="K237" s="156">
        <v>1215</v>
      </c>
      <c r="L237" s="156">
        <v>1485</v>
      </c>
      <c r="M237" s="156">
        <v>675</v>
      </c>
      <c r="N237" s="156">
        <v>675</v>
      </c>
      <c r="O237" s="156">
        <v>675</v>
      </c>
      <c r="P237" s="156">
        <v>675</v>
      </c>
      <c r="Q237" s="156">
        <v>675</v>
      </c>
      <c r="R237" s="157">
        <f t="shared" si="58"/>
        <v>12690</v>
      </c>
      <c r="S237" s="158">
        <f t="shared" ref="S237:W287" si="62">+IFERROR(F237/$D237,0)</f>
        <v>11</v>
      </c>
      <c r="T237" s="158">
        <f t="shared" si="62"/>
        <v>8</v>
      </c>
      <c r="U237" s="158">
        <f t="shared" si="62"/>
        <v>11</v>
      </c>
      <c r="V237" s="158">
        <f t="shared" si="62"/>
        <v>11</v>
      </c>
      <c r="W237" s="158">
        <f t="shared" si="62"/>
        <v>8</v>
      </c>
      <c r="X237" s="158">
        <f t="shared" ref="X237:AD273" si="63">+IFERROR(K237/$E237,0)</f>
        <v>9</v>
      </c>
      <c r="Y237" s="158">
        <f t="shared" si="63"/>
        <v>11</v>
      </c>
      <c r="Z237" s="158">
        <f t="shared" si="63"/>
        <v>5</v>
      </c>
      <c r="AA237" s="158">
        <f t="shared" si="63"/>
        <v>5</v>
      </c>
      <c r="AB237" s="158">
        <f t="shared" si="63"/>
        <v>5</v>
      </c>
      <c r="AC237" s="158">
        <f t="shared" si="63"/>
        <v>5</v>
      </c>
      <c r="AD237" s="158">
        <f t="shared" si="63"/>
        <v>5</v>
      </c>
      <c r="AE237" s="157">
        <f t="shared" si="61"/>
        <v>94</v>
      </c>
    </row>
    <row r="238" spans="1:31" outlineLevel="2">
      <c r="A238" s="135" t="str">
        <f t="shared" si="57"/>
        <v>AmericanRolloffCPHAUL30</v>
      </c>
      <c r="B238" s="116" t="s">
        <v>618</v>
      </c>
      <c r="C238" s="116" t="s">
        <v>619</v>
      </c>
      <c r="D238" s="155">
        <v>143.37</v>
      </c>
      <c r="E238" s="155">
        <v>143.37</v>
      </c>
      <c r="F238" s="156">
        <v>3010.77</v>
      </c>
      <c r="G238" s="156">
        <v>3010.77</v>
      </c>
      <c r="H238" s="156">
        <v>2867.4</v>
      </c>
      <c r="I238" s="156">
        <v>2867.4</v>
      </c>
      <c r="J238" s="156">
        <v>2007.18</v>
      </c>
      <c r="K238" s="156">
        <v>2580.66</v>
      </c>
      <c r="L238" s="156">
        <v>2293.92</v>
      </c>
      <c r="M238" s="156">
        <v>3297.51</v>
      </c>
      <c r="N238" s="156">
        <v>2867.4</v>
      </c>
      <c r="O238" s="156">
        <v>2724.03</v>
      </c>
      <c r="P238" s="156">
        <v>3010.77</v>
      </c>
      <c r="Q238" s="156">
        <v>2867.4</v>
      </c>
      <c r="R238" s="157">
        <f t="shared" si="58"/>
        <v>33405.21</v>
      </c>
      <c r="S238" s="158">
        <f t="shared" si="62"/>
        <v>21</v>
      </c>
      <c r="T238" s="158">
        <f t="shared" si="62"/>
        <v>21</v>
      </c>
      <c r="U238" s="158">
        <f t="shared" si="62"/>
        <v>20</v>
      </c>
      <c r="V238" s="158">
        <f t="shared" si="62"/>
        <v>20</v>
      </c>
      <c r="W238" s="158">
        <f t="shared" si="62"/>
        <v>14</v>
      </c>
      <c r="X238" s="158">
        <f t="shared" si="63"/>
        <v>18</v>
      </c>
      <c r="Y238" s="158">
        <f t="shared" si="63"/>
        <v>16</v>
      </c>
      <c r="Z238" s="158">
        <f t="shared" si="63"/>
        <v>23</v>
      </c>
      <c r="AA238" s="158">
        <f t="shared" si="63"/>
        <v>20</v>
      </c>
      <c r="AB238" s="158">
        <f t="shared" si="63"/>
        <v>19</v>
      </c>
      <c r="AC238" s="158">
        <f t="shared" si="63"/>
        <v>21</v>
      </c>
      <c r="AD238" s="158">
        <f t="shared" si="63"/>
        <v>20</v>
      </c>
      <c r="AE238" s="157">
        <f t="shared" si="61"/>
        <v>233</v>
      </c>
    </row>
    <row r="239" spans="1:31" outlineLevel="2">
      <c r="A239" s="135" t="str">
        <f t="shared" si="57"/>
        <v>AmericanRolloffCPHAUL35</v>
      </c>
      <c r="B239" s="116" t="s">
        <v>620</v>
      </c>
      <c r="C239" s="116" t="s">
        <v>621</v>
      </c>
      <c r="D239" s="155">
        <v>148.21</v>
      </c>
      <c r="E239" s="155">
        <v>148.21</v>
      </c>
      <c r="F239" s="156">
        <v>0</v>
      </c>
      <c r="G239" s="156">
        <v>0</v>
      </c>
      <c r="H239" s="156">
        <v>0</v>
      </c>
      <c r="I239" s="156">
        <v>0</v>
      </c>
      <c r="J239" s="156">
        <v>0</v>
      </c>
      <c r="K239" s="156">
        <v>0</v>
      </c>
      <c r="L239" s="156">
        <v>0</v>
      </c>
      <c r="M239" s="156">
        <v>0</v>
      </c>
      <c r="N239" s="156">
        <v>0</v>
      </c>
      <c r="O239" s="156">
        <v>0</v>
      </c>
      <c r="P239" s="156">
        <v>0</v>
      </c>
      <c r="Q239" s="156">
        <v>0</v>
      </c>
      <c r="R239" s="157">
        <f t="shared" si="58"/>
        <v>0</v>
      </c>
      <c r="S239" s="158">
        <f t="shared" si="62"/>
        <v>0</v>
      </c>
      <c r="T239" s="158">
        <f t="shared" si="62"/>
        <v>0</v>
      </c>
      <c r="U239" s="158">
        <f t="shared" si="62"/>
        <v>0</v>
      </c>
      <c r="V239" s="158">
        <f t="shared" si="62"/>
        <v>0</v>
      </c>
      <c r="W239" s="158">
        <f t="shared" si="62"/>
        <v>0</v>
      </c>
      <c r="X239" s="158">
        <f t="shared" si="63"/>
        <v>0</v>
      </c>
      <c r="Y239" s="158">
        <f t="shared" si="63"/>
        <v>0</v>
      </c>
      <c r="Z239" s="158">
        <f t="shared" si="63"/>
        <v>0</v>
      </c>
      <c r="AA239" s="158">
        <f t="shared" si="63"/>
        <v>0</v>
      </c>
      <c r="AB239" s="158">
        <f t="shared" si="63"/>
        <v>0</v>
      </c>
      <c r="AC239" s="158">
        <f t="shared" si="63"/>
        <v>0</v>
      </c>
      <c r="AD239" s="158">
        <f t="shared" si="63"/>
        <v>0</v>
      </c>
      <c r="AE239" s="157">
        <f t="shared" si="61"/>
        <v>0</v>
      </c>
    </row>
    <row r="240" spans="1:31" outlineLevel="2">
      <c r="A240" s="135" t="str">
        <f t="shared" si="57"/>
        <v>AmericanRolloffCPHAUL40</v>
      </c>
      <c r="B240" s="116" t="s">
        <v>622</v>
      </c>
      <c r="C240" s="116" t="s">
        <v>623</v>
      </c>
      <c r="D240" s="155">
        <v>154.15</v>
      </c>
      <c r="E240" s="155">
        <v>154.15</v>
      </c>
      <c r="F240" s="156">
        <v>308.3</v>
      </c>
      <c r="G240" s="156">
        <v>616.6</v>
      </c>
      <c r="H240" s="156">
        <v>308.3</v>
      </c>
      <c r="I240" s="156">
        <v>308.3</v>
      </c>
      <c r="J240" s="156">
        <v>462.45</v>
      </c>
      <c r="K240" s="156">
        <v>308.3</v>
      </c>
      <c r="L240" s="156">
        <v>616.6</v>
      </c>
      <c r="M240" s="156">
        <v>462.45</v>
      </c>
      <c r="N240" s="156">
        <v>616.6</v>
      </c>
      <c r="O240" s="156">
        <v>462.45</v>
      </c>
      <c r="P240" s="156">
        <v>462.45</v>
      </c>
      <c r="Q240" s="156">
        <v>616.6</v>
      </c>
      <c r="R240" s="157">
        <f t="shared" si="58"/>
        <v>5549.4</v>
      </c>
      <c r="S240" s="158">
        <f t="shared" si="62"/>
        <v>2</v>
      </c>
      <c r="T240" s="158">
        <f t="shared" si="62"/>
        <v>4</v>
      </c>
      <c r="U240" s="158">
        <f t="shared" si="62"/>
        <v>2</v>
      </c>
      <c r="V240" s="158">
        <f t="shared" si="62"/>
        <v>2</v>
      </c>
      <c r="W240" s="158">
        <f t="shared" si="62"/>
        <v>3</v>
      </c>
      <c r="X240" s="158">
        <f t="shared" si="63"/>
        <v>2</v>
      </c>
      <c r="Y240" s="158">
        <f t="shared" si="63"/>
        <v>4</v>
      </c>
      <c r="Z240" s="158">
        <f t="shared" si="63"/>
        <v>3</v>
      </c>
      <c r="AA240" s="158">
        <f t="shared" si="63"/>
        <v>4</v>
      </c>
      <c r="AB240" s="158">
        <f t="shared" si="63"/>
        <v>3</v>
      </c>
      <c r="AC240" s="158">
        <f t="shared" si="63"/>
        <v>3</v>
      </c>
      <c r="AD240" s="158">
        <f t="shared" si="63"/>
        <v>4</v>
      </c>
      <c r="AE240" s="157">
        <f t="shared" si="61"/>
        <v>36</v>
      </c>
    </row>
    <row r="241" spans="1:31" outlineLevel="2">
      <c r="A241" s="135" t="str">
        <f t="shared" si="57"/>
        <v>AmericanRolloffRORENT20D</v>
      </c>
      <c r="B241" s="116" t="s">
        <v>624</v>
      </c>
      <c r="C241" s="116" t="s">
        <v>625</v>
      </c>
      <c r="D241" s="155">
        <v>0</v>
      </c>
      <c r="E241" s="155">
        <v>0</v>
      </c>
      <c r="F241" s="156">
        <v>0</v>
      </c>
      <c r="G241" s="156">
        <v>0</v>
      </c>
      <c r="H241" s="156">
        <v>0</v>
      </c>
      <c r="I241" s="156">
        <v>0</v>
      </c>
      <c r="J241" s="156">
        <v>0</v>
      </c>
      <c r="K241" s="156">
        <v>0</v>
      </c>
      <c r="L241" s="156">
        <v>0</v>
      </c>
      <c r="M241" s="156">
        <v>0</v>
      </c>
      <c r="N241" s="156">
        <v>0</v>
      </c>
      <c r="O241" s="156">
        <v>0</v>
      </c>
      <c r="P241" s="156">
        <v>0</v>
      </c>
      <c r="Q241" s="156">
        <v>0</v>
      </c>
      <c r="R241" s="157">
        <f t="shared" si="58"/>
        <v>0</v>
      </c>
      <c r="S241" s="158">
        <f t="shared" si="62"/>
        <v>0</v>
      </c>
      <c r="T241" s="158">
        <f t="shared" si="62"/>
        <v>0</v>
      </c>
      <c r="U241" s="158">
        <f t="shared" si="62"/>
        <v>0</v>
      </c>
      <c r="V241" s="158">
        <f t="shared" si="62"/>
        <v>0</v>
      </c>
      <c r="W241" s="158">
        <f t="shared" si="62"/>
        <v>0</v>
      </c>
      <c r="X241" s="158">
        <f t="shared" si="63"/>
        <v>0</v>
      </c>
      <c r="Y241" s="158">
        <f t="shared" si="63"/>
        <v>0</v>
      </c>
      <c r="Z241" s="158">
        <f t="shared" si="63"/>
        <v>0</v>
      </c>
      <c r="AA241" s="158">
        <f t="shared" si="63"/>
        <v>0</v>
      </c>
      <c r="AB241" s="158">
        <f t="shared" si="63"/>
        <v>0</v>
      </c>
      <c r="AC241" s="158">
        <f t="shared" si="63"/>
        <v>0</v>
      </c>
      <c r="AD241" s="158">
        <f t="shared" si="63"/>
        <v>0</v>
      </c>
      <c r="AE241" s="157">
        <f t="shared" si="61"/>
        <v>0</v>
      </c>
    </row>
    <row r="242" spans="1:31" outlineLevel="2">
      <c r="A242" s="135" t="str">
        <f t="shared" si="57"/>
        <v>AmericanRolloffRORENT20P</v>
      </c>
      <c r="B242" s="116" t="s">
        <v>626</v>
      </c>
      <c r="C242" s="116" t="s">
        <v>627</v>
      </c>
      <c r="D242" s="155">
        <v>83.68</v>
      </c>
      <c r="E242" s="155">
        <v>83.68</v>
      </c>
      <c r="F242" s="156">
        <v>471.4</v>
      </c>
      <c r="G242" s="156">
        <v>418.4</v>
      </c>
      <c r="H242" s="156">
        <v>418.4</v>
      </c>
      <c r="I242" s="156">
        <v>613.65</v>
      </c>
      <c r="J242" s="156">
        <v>397.48</v>
      </c>
      <c r="K242" s="156">
        <v>334.72</v>
      </c>
      <c r="L242" s="156">
        <v>334.72</v>
      </c>
      <c r="M242" s="156">
        <v>334.72</v>
      </c>
      <c r="N242" s="156">
        <v>387.72</v>
      </c>
      <c r="O242" s="156">
        <v>390.51</v>
      </c>
      <c r="P242" s="156">
        <v>524.4</v>
      </c>
      <c r="Q242" s="156">
        <v>669.44</v>
      </c>
      <c r="R242" s="157">
        <f t="shared" si="58"/>
        <v>5295.5600000000013</v>
      </c>
      <c r="S242" s="158">
        <f t="shared" si="62"/>
        <v>5.6333652007648176</v>
      </c>
      <c r="T242" s="158">
        <f t="shared" si="62"/>
        <v>4.9999999999999991</v>
      </c>
      <c r="U242" s="158">
        <f t="shared" si="62"/>
        <v>4.9999999999999991</v>
      </c>
      <c r="V242" s="158">
        <f t="shared" si="62"/>
        <v>7.3332934990439762</v>
      </c>
      <c r="W242" s="158">
        <f t="shared" si="62"/>
        <v>4.75</v>
      </c>
      <c r="X242" s="158">
        <f t="shared" si="63"/>
        <v>4</v>
      </c>
      <c r="Y242" s="158">
        <f t="shared" si="63"/>
        <v>4</v>
      </c>
      <c r="Z242" s="158">
        <f t="shared" si="63"/>
        <v>4</v>
      </c>
      <c r="AA242" s="158">
        <f t="shared" si="63"/>
        <v>4.6333652007648185</v>
      </c>
      <c r="AB242" s="158">
        <f t="shared" si="63"/>
        <v>4.666706500956022</v>
      </c>
      <c r="AC242" s="158">
        <f t="shared" si="63"/>
        <v>6.2667304015296361</v>
      </c>
      <c r="AD242" s="158">
        <f t="shared" si="63"/>
        <v>8</v>
      </c>
      <c r="AE242" s="157">
        <f t="shared" si="61"/>
        <v>63.28346080305927</v>
      </c>
    </row>
    <row r="243" spans="1:31" outlineLevel="2">
      <c r="A243" s="135" t="str">
        <f t="shared" si="57"/>
        <v>AmericanRolloffRORENT20T</v>
      </c>
      <c r="B243" s="116" t="s">
        <v>628</v>
      </c>
      <c r="C243" s="116" t="s">
        <v>629</v>
      </c>
      <c r="D243" s="155">
        <v>142.19999999999999</v>
      </c>
      <c r="E243" s="155">
        <v>142.19999999999999</v>
      </c>
      <c r="F243" s="156">
        <v>891.12</v>
      </c>
      <c r="G243" s="156">
        <v>1033.32</v>
      </c>
      <c r="H243" s="156">
        <v>951.98</v>
      </c>
      <c r="I243" s="156">
        <v>550.29999999999995</v>
      </c>
      <c r="J243" s="156">
        <v>206.87</v>
      </c>
      <c r="K243" s="156">
        <v>829.5</v>
      </c>
      <c r="L243" s="156">
        <v>843.72</v>
      </c>
      <c r="M243" s="156">
        <v>1476.6</v>
      </c>
      <c r="N243" s="156">
        <v>1938.66</v>
      </c>
      <c r="O243" s="156">
        <v>1869.4</v>
      </c>
      <c r="P243" s="156">
        <v>1788.51</v>
      </c>
      <c r="Q243" s="156">
        <v>1815.42</v>
      </c>
      <c r="R243" s="157">
        <f t="shared" si="58"/>
        <v>14195.4</v>
      </c>
      <c r="S243" s="158">
        <f t="shared" si="62"/>
        <v>6.2666666666666675</v>
      </c>
      <c r="T243" s="158">
        <f t="shared" si="62"/>
        <v>7.2666666666666666</v>
      </c>
      <c r="U243" s="158">
        <f t="shared" si="62"/>
        <v>6.6946554149085804</v>
      </c>
      <c r="V243" s="158">
        <f t="shared" si="62"/>
        <v>3.8699015471167368</v>
      </c>
      <c r="W243" s="158">
        <f t="shared" si="62"/>
        <v>1.4547819971870606</v>
      </c>
      <c r="X243" s="158">
        <f t="shared" si="63"/>
        <v>5.8333333333333339</v>
      </c>
      <c r="Y243" s="158">
        <f t="shared" si="63"/>
        <v>5.9333333333333336</v>
      </c>
      <c r="Z243" s="158">
        <f t="shared" si="63"/>
        <v>10.383966244725739</v>
      </c>
      <c r="AA243" s="158">
        <f t="shared" si="63"/>
        <v>13.633333333333335</v>
      </c>
      <c r="AB243" s="158">
        <f t="shared" si="63"/>
        <v>13.146272855133617</v>
      </c>
      <c r="AC243" s="158">
        <f t="shared" si="63"/>
        <v>12.577426160337554</v>
      </c>
      <c r="AD243" s="158">
        <f t="shared" si="63"/>
        <v>12.766666666666667</v>
      </c>
      <c r="AE243" s="157">
        <f t="shared" si="61"/>
        <v>99.827004219409289</v>
      </c>
    </row>
    <row r="244" spans="1:31" outlineLevel="2">
      <c r="A244" s="135" t="str">
        <f t="shared" si="57"/>
        <v>AmericanRolloffRORENT25D</v>
      </c>
      <c r="B244" s="116" t="s">
        <v>630</v>
      </c>
      <c r="C244" s="116" t="s">
        <v>631</v>
      </c>
      <c r="D244" s="155">
        <v>0</v>
      </c>
      <c r="E244" s="155">
        <v>0</v>
      </c>
      <c r="F244" s="156">
        <v>0</v>
      </c>
      <c r="G244" s="156">
        <v>0</v>
      </c>
      <c r="H244" s="156">
        <v>0</v>
      </c>
      <c r="I244" s="156">
        <v>0</v>
      </c>
      <c r="J244" s="156">
        <v>0</v>
      </c>
      <c r="K244" s="156">
        <v>0</v>
      </c>
      <c r="L244" s="156">
        <v>0</v>
      </c>
      <c r="M244" s="156">
        <v>0</v>
      </c>
      <c r="N244" s="156">
        <v>0</v>
      </c>
      <c r="O244" s="156">
        <v>0</v>
      </c>
      <c r="P244" s="156">
        <v>0</v>
      </c>
      <c r="Q244" s="156">
        <v>0</v>
      </c>
      <c r="R244" s="157">
        <f t="shared" si="58"/>
        <v>0</v>
      </c>
      <c r="S244" s="158">
        <f t="shared" si="62"/>
        <v>0</v>
      </c>
      <c r="T244" s="158">
        <f t="shared" si="62"/>
        <v>0</v>
      </c>
      <c r="U244" s="158">
        <f t="shared" si="62"/>
        <v>0</v>
      </c>
      <c r="V244" s="158">
        <f t="shared" si="62"/>
        <v>0</v>
      </c>
      <c r="W244" s="158">
        <f t="shared" si="62"/>
        <v>0</v>
      </c>
      <c r="X244" s="158">
        <f t="shared" si="63"/>
        <v>0</v>
      </c>
      <c r="Y244" s="158">
        <f t="shared" si="63"/>
        <v>0</v>
      </c>
      <c r="Z244" s="158">
        <f t="shared" si="63"/>
        <v>0</v>
      </c>
      <c r="AA244" s="158">
        <f t="shared" si="63"/>
        <v>0</v>
      </c>
      <c r="AB244" s="158">
        <f t="shared" si="63"/>
        <v>0</v>
      </c>
      <c r="AC244" s="158">
        <f t="shared" si="63"/>
        <v>0</v>
      </c>
      <c r="AD244" s="158">
        <f t="shared" si="63"/>
        <v>0</v>
      </c>
      <c r="AE244" s="157">
        <f t="shared" si="61"/>
        <v>0</v>
      </c>
    </row>
    <row r="245" spans="1:31" outlineLevel="2">
      <c r="A245" s="135" t="str">
        <f t="shared" si="57"/>
        <v>AmericanRolloffRORENT25P</v>
      </c>
      <c r="B245" s="116" t="s">
        <v>632</v>
      </c>
      <c r="C245" s="116" t="s">
        <v>633</v>
      </c>
      <c r="D245" s="155">
        <v>93.76</v>
      </c>
      <c r="E245" s="155">
        <v>93.76</v>
      </c>
      <c r="F245" s="156">
        <v>281.27999999999997</v>
      </c>
      <c r="G245" s="156">
        <v>281.27999999999997</v>
      </c>
      <c r="H245" s="156">
        <v>281.27999999999997</v>
      </c>
      <c r="I245" s="156">
        <v>281.27999999999997</v>
      </c>
      <c r="J245" s="156">
        <v>281.27999999999997</v>
      </c>
      <c r="K245" s="156">
        <v>281.27999999999997</v>
      </c>
      <c r="L245" s="156">
        <v>375.04</v>
      </c>
      <c r="M245" s="156">
        <v>344.8</v>
      </c>
      <c r="N245" s="156">
        <v>281.27999999999997</v>
      </c>
      <c r="O245" s="156">
        <v>281.27999999999997</v>
      </c>
      <c r="P245" s="156">
        <v>281.27999999999997</v>
      </c>
      <c r="Q245" s="156">
        <v>281.27999999999997</v>
      </c>
      <c r="R245" s="157">
        <f t="shared" si="58"/>
        <v>3532.6399999999994</v>
      </c>
      <c r="S245" s="158">
        <f t="shared" si="62"/>
        <v>2.9999999999999996</v>
      </c>
      <c r="T245" s="158">
        <f t="shared" si="62"/>
        <v>2.9999999999999996</v>
      </c>
      <c r="U245" s="158">
        <f t="shared" si="62"/>
        <v>2.9999999999999996</v>
      </c>
      <c r="V245" s="158">
        <f t="shared" si="62"/>
        <v>2.9999999999999996</v>
      </c>
      <c r="W245" s="158">
        <f t="shared" si="62"/>
        <v>2.9999999999999996</v>
      </c>
      <c r="X245" s="158">
        <f t="shared" si="63"/>
        <v>2.9999999999999996</v>
      </c>
      <c r="Y245" s="158">
        <f t="shared" si="63"/>
        <v>4</v>
      </c>
      <c r="Z245" s="158">
        <f t="shared" si="63"/>
        <v>3.6774744027303754</v>
      </c>
      <c r="AA245" s="158">
        <f t="shared" si="63"/>
        <v>2.9999999999999996</v>
      </c>
      <c r="AB245" s="158">
        <f t="shared" si="63"/>
        <v>2.9999999999999996</v>
      </c>
      <c r="AC245" s="158">
        <f t="shared" si="63"/>
        <v>2.9999999999999996</v>
      </c>
      <c r="AD245" s="158">
        <f t="shared" si="63"/>
        <v>2.9999999999999996</v>
      </c>
      <c r="AE245" s="157">
        <f t="shared" si="61"/>
        <v>37.677474402730368</v>
      </c>
    </row>
    <row r="246" spans="1:31" outlineLevel="2">
      <c r="A246" s="135" t="str">
        <f t="shared" si="57"/>
        <v>AmericanRolloffRORENT25T</v>
      </c>
      <c r="B246" s="116" t="s">
        <v>634</v>
      </c>
      <c r="C246" s="116" t="s">
        <v>635</v>
      </c>
      <c r="D246" s="155">
        <v>148.19999999999999</v>
      </c>
      <c r="E246" s="155">
        <v>148.19999999999999</v>
      </c>
      <c r="F246" s="156">
        <v>143.26</v>
      </c>
      <c r="G246" s="156">
        <v>54.34</v>
      </c>
      <c r="H246" s="156">
        <v>148.19999999999999</v>
      </c>
      <c r="I246" s="156">
        <v>301.33999999999997</v>
      </c>
      <c r="J246" s="156">
        <v>227.24</v>
      </c>
      <c r="K246" s="156">
        <v>429.78</v>
      </c>
      <c r="L246" s="156">
        <v>256.88</v>
      </c>
      <c r="M246" s="156">
        <v>207.8</v>
      </c>
      <c r="N246" s="156">
        <v>123.5</v>
      </c>
      <c r="O246" s="156">
        <v>419.1</v>
      </c>
      <c r="P246" s="156">
        <v>237.12</v>
      </c>
      <c r="Q246" s="156">
        <v>286.52</v>
      </c>
      <c r="R246" s="157">
        <f t="shared" si="58"/>
        <v>2835.08</v>
      </c>
      <c r="S246" s="158">
        <f t="shared" si="62"/>
        <v>0.96666666666666667</v>
      </c>
      <c r="T246" s="158">
        <f t="shared" si="62"/>
        <v>0.3666666666666667</v>
      </c>
      <c r="U246" s="158">
        <f t="shared" si="62"/>
        <v>1</v>
      </c>
      <c r="V246" s="158">
        <f t="shared" si="62"/>
        <v>2.0333333333333332</v>
      </c>
      <c r="W246" s="158">
        <f t="shared" si="62"/>
        <v>1.5333333333333334</v>
      </c>
      <c r="X246" s="158">
        <f t="shared" si="63"/>
        <v>2.9</v>
      </c>
      <c r="Y246" s="158">
        <f t="shared" si="63"/>
        <v>1.7333333333333334</v>
      </c>
      <c r="Z246" s="158">
        <f t="shared" si="63"/>
        <v>1.4021592442645077</v>
      </c>
      <c r="AA246" s="158">
        <f t="shared" si="63"/>
        <v>0.83333333333333337</v>
      </c>
      <c r="AB246" s="158">
        <f t="shared" si="63"/>
        <v>2.8279352226720653</v>
      </c>
      <c r="AC246" s="158">
        <f t="shared" si="63"/>
        <v>1.6</v>
      </c>
      <c r="AD246" s="158">
        <f t="shared" si="63"/>
        <v>1.9333333333333333</v>
      </c>
      <c r="AE246" s="157">
        <f t="shared" si="61"/>
        <v>19.130094466936576</v>
      </c>
    </row>
    <row r="247" spans="1:31" outlineLevel="2">
      <c r="A247" s="135" t="str">
        <f t="shared" si="57"/>
        <v>AmericanRolloffRORENT30D</v>
      </c>
      <c r="B247" s="116" t="s">
        <v>636</v>
      </c>
      <c r="C247" s="116" t="s">
        <v>637</v>
      </c>
      <c r="D247" s="155">
        <v>0</v>
      </c>
      <c r="E247" s="155">
        <v>0</v>
      </c>
      <c r="F247" s="156">
        <v>0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56">
        <v>0</v>
      </c>
      <c r="Q247" s="156">
        <v>0</v>
      </c>
      <c r="R247" s="157">
        <f t="shared" si="58"/>
        <v>0</v>
      </c>
      <c r="S247" s="158">
        <f t="shared" si="62"/>
        <v>0</v>
      </c>
      <c r="T247" s="158">
        <f t="shared" si="62"/>
        <v>0</v>
      </c>
      <c r="U247" s="158">
        <f t="shared" si="62"/>
        <v>0</v>
      </c>
      <c r="V247" s="158">
        <f t="shared" si="62"/>
        <v>0</v>
      </c>
      <c r="W247" s="158">
        <f t="shared" si="62"/>
        <v>0</v>
      </c>
      <c r="X247" s="158">
        <f t="shared" si="63"/>
        <v>0</v>
      </c>
      <c r="Y247" s="158">
        <f t="shared" si="63"/>
        <v>0</v>
      </c>
      <c r="Z247" s="158">
        <f t="shared" si="63"/>
        <v>0</v>
      </c>
      <c r="AA247" s="158">
        <f t="shared" si="63"/>
        <v>0</v>
      </c>
      <c r="AB247" s="158">
        <f t="shared" si="63"/>
        <v>0</v>
      </c>
      <c r="AC247" s="158">
        <f t="shared" si="63"/>
        <v>0</v>
      </c>
      <c r="AD247" s="158">
        <f t="shared" si="63"/>
        <v>0</v>
      </c>
      <c r="AE247" s="157">
        <f t="shared" si="61"/>
        <v>0</v>
      </c>
    </row>
    <row r="248" spans="1:31" outlineLevel="2">
      <c r="A248" s="135" t="str">
        <f t="shared" si="57"/>
        <v>AmericanRolloffRORENT30P</v>
      </c>
      <c r="B248" s="116" t="s">
        <v>638</v>
      </c>
      <c r="C248" s="116" t="s">
        <v>639</v>
      </c>
      <c r="D248" s="155">
        <v>102.84</v>
      </c>
      <c r="E248" s="155">
        <v>102.84</v>
      </c>
      <c r="F248" s="156">
        <v>925.56</v>
      </c>
      <c r="G248" s="156">
        <v>925.56</v>
      </c>
      <c r="H248" s="156">
        <v>887.85</v>
      </c>
      <c r="I248" s="156">
        <v>689.03</v>
      </c>
      <c r="J248" s="156">
        <v>617.04</v>
      </c>
      <c r="K248" s="156">
        <v>623.9</v>
      </c>
      <c r="L248" s="156">
        <v>617.04</v>
      </c>
      <c r="M248" s="156">
        <v>822.72</v>
      </c>
      <c r="N248" s="156">
        <v>884.42</v>
      </c>
      <c r="O248" s="156">
        <v>853.57</v>
      </c>
      <c r="P248" s="156">
        <v>822.72</v>
      </c>
      <c r="Q248" s="156">
        <v>822.72</v>
      </c>
      <c r="R248" s="157">
        <f t="shared" si="58"/>
        <v>9492.1299999999992</v>
      </c>
      <c r="S248" s="158">
        <f t="shared" si="62"/>
        <v>9</v>
      </c>
      <c r="T248" s="158">
        <f t="shared" si="62"/>
        <v>9</v>
      </c>
      <c r="U248" s="158">
        <f t="shared" si="62"/>
        <v>8.6333138856476079</v>
      </c>
      <c r="V248" s="158">
        <f t="shared" si="62"/>
        <v>6.7000194476857251</v>
      </c>
      <c r="W248" s="158">
        <f t="shared" si="62"/>
        <v>5.9999999999999991</v>
      </c>
      <c r="X248" s="158">
        <f t="shared" si="63"/>
        <v>6.0667055620381172</v>
      </c>
      <c r="Y248" s="158">
        <f t="shared" si="63"/>
        <v>5.9999999999999991</v>
      </c>
      <c r="Z248" s="158">
        <f t="shared" si="63"/>
        <v>8</v>
      </c>
      <c r="AA248" s="158">
        <f t="shared" si="63"/>
        <v>8.599961104628548</v>
      </c>
      <c r="AB248" s="158">
        <f t="shared" si="63"/>
        <v>8.299980552314274</v>
      </c>
      <c r="AC248" s="158">
        <f t="shared" si="63"/>
        <v>8</v>
      </c>
      <c r="AD248" s="158">
        <f t="shared" si="63"/>
        <v>8</v>
      </c>
      <c r="AE248" s="157">
        <f t="shared" si="61"/>
        <v>92.299980552314281</v>
      </c>
    </row>
    <row r="249" spans="1:31" outlineLevel="2">
      <c r="A249" s="135" t="str">
        <f t="shared" si="57"/>
        <v>AmericanRolloffRORENT30T</v>
      </c>
      <c r="B249" s="116" t="s">
        <v>640</v>
      </c>
      <c r="C249" s="116" t="s">
        <v>641</v>
      </c>
      <c r="D249" s="155">
        <v>154.80000000000001</v>
      </c>
      <c r="E249" s="155">
        <v>154.80000000000001</v>
      </c>
      <c r="F249" s="156">
        <v>1047.48</v>
      </c>
      <c r="G249" s="156">
        <v>794.64</v>
      </c>
      <c r="H249" s="156">
        <v>490.2</v>
      </c>
      <c r="I249" s="156">
        <v>588.24</v>
      </c>
      <c r="J249" s="156">
        <v>1304.01</v>
      </c>
      <c r="K249" s="156">
        <v>1417.17</v>
      </c>
      <c r="L249" s="156">
        <v>1228.0800000000002</v>
      </c>
      <c r="M249" s="156">
        <v>777.67</v>
      </c>
      <c r="N249" s="156">
        <v>474.72</v>
      </c>
      <c r="O249" s="156">
        <v>711.08</v>
      </c>
      <c r="P249" s="156">
        <v>455.41</v>
      </c>
      <c r="Q249" s="156">
        <v>464.4</v>
      </c>
      <c r="R249" s="157">
        <f t="shared" si="58"/>
        <v>9753.1</v>
      </c>
      <c r="S249" s="158">
        <f t="shared" si="62"/>
        <v>6.7666666666666666</v>
      </c>
      <c r="T249" s="158">
        <f t="shared" si="62"/>
        <v>5.1333333333333329</v>
      </c>
      <c r="U249" s="158">
        <f t="shared" si="62"/>
        <v>3.1666666666666665</v>
      </c>
      <c r="V249" s="158">
        <f t="shared" si="62"/>
        <v>3.8</v>
      </c>
      <c r="W249" s="158">
        <f t="shared" si="62"/>
        <v>8.4238372093023255</v>
      </c>
      <c r="X249" s="158">
        <f t="shared" si="63"/>
        <v>9.1548449612403093</v>
      </c>
      <c r="Y249" s="158">
        <f t="shared" si="63"/>
        <v>7.9333333333333336</v>
      </c>
      <c r="Z249" s="158">
        <f t="shared" si="63"/>
        <v>5.0237080103359171</v>
      </c>
      <c r="AA249" s="158">
        <f t="shared" si="63"/>
        <v>3.0666666666666664</v>
      </c>
      <c r="AB249" s="158">
        <f t="shared" si="63"/>
        <v>4.5935400516795868</v>
      </c>
      <c r="AC249" s="158">
        <f t="shared" si="63"/>
        <v>2.941925064599483</v>
      </c>
      <c r="AD249" s="158">
        <f t="shared" si="63"/>
        <v>2.9999999999999996</v>
      </c>
      <c r="AE249" s="157">
        <f t="shared" si="61"/>
        <v>63.004521963824288</v>
      </c>
    </row>
    <row r="250" spans="1:31" outlineLevel="2">
      <c r="A250" s="135" t="str">
        <f t="shared" si="57"/>
        <v>AmericanRolloffRORENT40P</v>
      </c>
      <c r="B250" s="116" t="s">
        <v>642</v>
      </c>
      <c r="C250" s="116" t="s">
        <v>643</v>
      </c>
      <c r="D250" s="155">
        <v>104.85</v>
      </c>
      <c r="E250" s="155">
        <v>104.85</v>
      </c>
      <c r="F250" s="156">
        <v>0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6">
        <v>0</v>
      </c>
      <c r="Q250" s="156">
        <v>0</v>
      </c>
      <c r="R250" s="157">
        <f t="shared" si="58"/>
        <v>0</v>
      </c>
      <c r="S250" s="158">
        <f t="shared" si="62"/>
        <v>0</v>
      </c>
      <c r="T250" s="158">
        <f t="shared" si="62"/>
        <v>0</v>
      </c>
      <c r="U250" s="158">
        <f t="shared" si="62"/>
        <v>0</v>
      </c>
      <c r="V250" s="158">
        <f t="shared" si="62"/>
        <v>0</v>
      </c>
      <c r="W250" s="158">
        <f t="shared" si="62"/>
        <v>0</v>
      </c>
      <c r="X250" s="158">
        <f t="shared" si="63"/>
        <v>0</v>
      </c>
      <c r="Y250" s="158">
        <f t="shared" si="63"/>
        <v>0</v>
      </c>
      <c r="Z250" s="158">
        <f t="shared" si="63"/>
        <v>0</v>
      </c>
      <c r="AA250" s="158">
        <f t="shared" si="63"/>
        <v>0</v>
      </c>
      <c r="AB250" s="158">
        <f t="shared" si="63"/>
        <v>0</v>
      </c>
      <c r="AC250" s="158">
        <f t="shared" si="63"/>
        <v>0</v>
      </c>
      <c r="AD250" s="158">
        <f t="shared" si="63"/>
        <v>0</v>
      </c>
      <c r="AE250" s="157">
        <f t="shared" si="61"/>
        <v>0</v>
      </c>
    </row>
    <row r="251" spans="1:31" outlineLevel="2">
      <c r="A251" s="135" t="str">
        <f t="shared" si="57"/>
        <v>AmericanRolloffRORENT40T</v>
      </c>
      <c r="B251" s="116" t="s">
        <v>644</v>
      </c>
      <c r="C251" s="116" t="s">
        <v>645</v>
      </c>
      <c r="D251" s="155">
        <v>187.5</v>
      </c>
      <c r="E251" s="155">
        <v>187.5</v>
      </c>
      <c r="F251" s="156">
        <v>12.5</v>
      </c>
      <c r="G251" s="156">
        <v>12.5</v>
      </c>
      <c r="H251" s="156">
        <v>0</v>
      </c>
      <c r="I251" s="156">
        <v>0</v>
      </c>
      <c r="J251" s="156">
        <v>0</v>
      </c>
      <c r="K251" s="156">
        <v>6.25</v>
      </c>
      <c r="L251" s="156">
        <v>0</v>
      </c>
      <c r="M251" s="156">
        <v>0</v>
      </c>
      <c r="N251" s="156">
        <v>0</v>
      </c>
      <c r="O251" s="156">
        <v>0</v>
      </c>
      <c r="P251" s="156">
        <v>0</v>
      </c>
      <c r="Q251" s="156">
        <v>0</v>
      </c>
      <c r="R251" s="157">
        <f t="shared" si="58"/>
        <v>31.25</v>
      </c>
      <c r="S251" s="158">
        <f t="shared" si="62"/>
        <v>6.6666666666666666E-2</v>
      </c>
      <c r="T251" s="158">
        <f t="shared" si="62"/>
        <v>6.6666666666666666E-2</v>
      </c>
      <c r="U251" s="158">
        <f t="shared" si="62"/>
        <v>0</v>
      </c>
      <c r="V251" s="158">
        <f t="shared" si="62"/>
        <v>0</v>
      </c>
      <c r="W251" s="158">
        <f t="shared" si="62"/>
        <v>0</v>
      </c>
      <c r="X251" s="158">
        <f t="shared" si="63"/>
        <v>3.3333333333333333E-2</v>
      </c>
      <c r="Y251" s="158">
        <f t="shared" si="63"/>
        <v>0</v>
      </c>
      <c r="Z251" s="158">
        <f t="shared" si="63"/>
        <v>0</v>
      </c>
      <c r="AA251" s="158">
        <f t="shared" si="63"/>
        <v>0</v>
      </c>
      <c r="AB251" s="158">
        <f t="shared" si="63"/>
        <v>0</v>
      </c>
      <c r="AC251" s="158">
        <f t="shared" si="63"/>
        <v>0</v>
      </c>
      <c r="AD251" s="158">
        <f t="shared" si="63"/>
        <v>0</v>
      </c>
      <c r="AE251" s="157">
        <f t="shared" si="61"/>
        <v>0.16666666666666666</v>
      </c>
    </row>
    <row r="252" spans="1:31" outlineLevel="2">
      <c r="A252" s="135" t="str">
        <f t="shared" si="57"/>
        <v>AmericanRolloffRECYHAUL10</v>
      </c>
      <c r="B252" s="116" t="s">
        <v>646</v>
      </c>
      <c r="C252" s="116" t="s">
        <v>647</v>
      </c>
      <c r="D252" s="155">
        <v>0</v>
      </c>
      <c r="E252" s="155">
        <v>0</v>
      </c>
      <c r="F252" s="156">
        <v>0</v>
      </c>
      <c r="G252" s="156">
        <v>0</v>
      </c>
      <c r="H252" s="156">
        <v>0</v>
      </c>
      <c r="I252" s="156">
        <v>0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156">
        <v>0</v>
      </c>
      <c r="P252" s="156">
        <v>0</v>
      </c>
      <c r="Q252" s="156">
        <v>0</v>
      </c>
      <c r="R252" s="157">
        <f t="shared" si="58"/>
        <v>0</v>
      </c>
      <c r="S252" s="158">
        <f t="shared" si="62"/>
        <v>0</v>
      </c>
      <c r="T252" s="158">
        <f t="shared" si="62"/>
        <v>0</v>
      </c>
      <c r="U252" s="158">
        <f t="shared" si="62"/>
        <v>0</v>
      </c>
      <c r="V252" s="158">
        <f t="shared" si="62"/>
        <v>0</v>
      </c>
      <c r="W252" s="158">
        <f t="shared" si="62"/>
        <v>0</v>
      </c>
      <c r="X252" s="158">
        <f t="shared" si="63"/>
        <v>0</v>
      </c>
      <c r="Y252" s="158">
        <f t="shared" si="63"/>
        <v>0</v>
      </c>
      <c r="Z252" s="158">
        <f t="shared" si="63"/>
        <v>0</v>
      </c>
      <c r="AA252" s="158">
        <f t="shared" si="63"/>
        <v>0</v>
      </c>
      <c r="AB252" s="158">
        <f t="shared" si="63"/>
        <v>0</v>
      </c>
      <c r="AC252" s="158">
        <f t="shared" si="63"/>
        <v>0</v>
      </c>
      <c r="AD252" s="158">
        <f t="shared" si="63"/>
        <v>0</v>
      </c>
      <c r="AE252" s="157">
        <f t="shared" si="61"/>
        <v>0</v>
      </c>
    </row>
    <row r="253" spans="1:31" outlineLevel="2">
      <c r="A253" s="135" t="str">
        <f t="shared" si="57"/>
        <v>AmericanRolloffRECYHAUL12</v>
      </c>
      <c r="B253" s="116" t="s">
        <v>648</v>
      </c>
      <c r="C253" s="116" t="s">
        <v>649</v>
      </c>
      <c r="D253" s="155">
        <v>0</v>
      </c>
      <c r="E253" s="155">
        <v>0</v>
      </c>
      <c r="F253" s="156">
        <v>0</v>
      </c>
      <c r="G253" s="156">
        <v>0</v>
      </c>
      <c r="H253" s="156">
        <v>0</v>
      </c>
      <c r="I253" s="156">
        <v>0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56">
        <v>0</v>
      </c>
      <c r="P253" s="156">
        <v>0</v>
      </c>
      <c r="Q253" s="156">
        <v>0</v>
      </c>
      <c r="R253" s="157">
        <f t="shared" si="58"/>
        <v>0</v>
      </c>
      <c r="S253" s="158">
        <f t="shared" si="62"/>
        <v>0</v>
      </c>
      <c r="T253" s="158">
        <f t="shared" si="62"/>
        <v>0</v>
      </c>
      <c r="U253" s="158">
        <f t="shared" si="62"/>
        <v>0</v>
      </c>
      <c r="V253" s="158">
        <f t="shared" si="62"/>
        <v>0</v>
      </c>
      <c r="W253" s="158">
        <f t="shared" si="62"/>
        <v>0</v>
      </c>
      <c r="X253" s="158">
        <f t="shared" si="63"/>
        <v>0</v>
      </c>
      <c r="Y253" s="158">
        <f t="shared" si="63"/>
        <v>0</v>
      </c>
      <c r="Z253" s="158">
        <f t="shared" si="63"/>
        <v>0</v>
      </c>
      <c r="AA253" s="158">
        <f t="shared" si="63"/>
        <v>0</v>
      </c>
      <c r="AB253" s="158">
        <f t="shared" si="63"/>
        <v>0</v>
      </c>
      <c r="AC253" s="158">
        <f t="shared" si="63"/>
        <v>0</v>
      </c>
      <c r="AD253" s="158">
        <f t="shared" si="63"/>
        <v>0</v>
      </c>
      <c r="AE253" s="157">
        <f t="shared" ref="AE253:AE299" si="64">+SUM(S253:AD253)/$AB$3</f>
        <v>0</v>
      </c>
    </row>
    <row r="254" spans="1:31" outlineLevel="2">
      <c r="A254" s="135" t="str">
        <f t="shared" si="57"/>
        <v>AmericanRolloffRECYHAUL15</v>
      </c>
      <c r="B254" s="116" t="s">
        <v>650</v>
      </c>
      <c r="C254" s="116" t="s">
        <v>651</v>
      </c>
      <c r="D254" s="155">
        <v>0</v>
      </c>
      <c r="E254" s="155"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56">
        <v>0</v>
      </c>
      <c r="Q254" s="156">
        <v>0</v>
      </c>
      <c r="R254" s="157">
        <f t="shared" si="58"/>
        <v>0</v>
      </c>
      <c r="S254" s="158">
        <f t="shared" si="62"/>
        <v>0</v>
      </c>
      <c r="T254" s="158">
        <f t="shared" si="62"/>
        <v>0</v>
      </c>
      <c r="U254" s="158">
        <f t="shared" si="62"/>
        <v>0</v>
      </c>
      <c r="V254" s="158">
        <f t="shared" si="62"/>
        <v>0</v>
      </c>
      <c r="W254" s="158">
        <f t="shared" si="62"/>
        <v>0</v>
      </c>
      <c r="X254" s="158">
        <f t="shared" si="63"/>
        <v>0</v>
      </c>
      <c r="Y254" s="158">
        <f t="shared" si="63"/>
        <v>0</v>
      </c>
      <c r="Z254" s="158">
        <f t="shared" si="63"/>
        <v>0</v>
      </c>
      <c r="AA254" s="158">
        <f t="shared" si="63"/>
        <v>0</v>
      </c>
      <c r="AB254" s="158">
        <f t="shared" si="63"/>
        <v>0</v>
      </c>
      <c r="AC254" s="158">
        <f t="shared" si="63"/>
        <v>0</v>
      </c>
      <c r="AD254" s="158">
        <f t="shared" si="63"/>
        <v>0</v>
      </c>
      <c r="AE254" s="157">
        <f t="shared" si="64"/>
        <v>0</v>
      </c>
    </row>
    <row r="255" spans="1:31" outlineLevel="2">
      <c r="A255" s="135" t="str">
        <f t="shared" si="57"/>
        <v>AmericanRolloffRECYHAUL20</v>
      </c>
      <c r="B255" s="116" t="s">
        <v>652</v>
      </c>
      <c r="C255" s="116" t="s">
        <v>653</v>
      </c>
      <c r="D255" s="155">
        <v>0</v>
      </c>
      <c r="E255" s="155">
        <v>0</v>
      </c>
      <c r="F255" s="156">
        <v>0</v>
      </c>
      <c r="G255" s="156">
        <v>0</v>
      </c>
      <c r="H255" s="156">
        <v>0</v>
      </c>
      <c r="I255" s="156">
        <v>0</v>
      </c>
      <c r="J255" s="156">
        <v>0</v>
      </c>
      <c r="K255" s="156">
        <v>0</v>
      </c>
      <c r="L255" s="156">
        <v>0</v>
      </c>
      <c r="M255" s="156">
        <v>0</v>
      </c>
      <c r="N255" s="156">
        <v>0</v>
      </c>
      <c r="O255" s="156">
        <v>0</v>
      </c>
      <c r="P255" s="156">
        <v>0</v>
      </c>
      <c r="Q255" s="156">
        <v>0</v>
      </c>
      <c r="R255" s="157">
        <f t="shared" si="58"/>
        <v>0</v>
      </c>
      <c r="S255" s="158">
        <f t="shared" si="62"/>
        <v>0</v>
      </c>
      <c r="T255" s="158">
        <f t="shared" si="62"/>
        <v>0</v>
      </c>
      <c r="U255" s="158">
        <f t="shared" si="62"/>
        <v>0</v>
      </c>
      <c r="V255" s="158">
        <f t="shared" si="62"/>
        <v>0</v>
      </c>
      <c r="W255" s="158">
        <f t="shared" si="62"/>
        <v>0</v>
      </c>
      <c r="X255" s="158">
        <f t="shared" si="63"/>
        <v>0</v>
      </c>
      <c r="Y255" s="158">
        <f t="shared" si="63"/>
        <v>0</v>
      </c>
      <c r="Z255" s="158">
        <f t="shared" si="63"/>
        <v>0</v>
      </c>
      <c r="AA255" s="158">
        <f t="shared" si="63"/>
        <v>0</v>
      </c>
      <c r="AB255" s="158">
        <f t="shared" si="63"/>
        <v>0</v>
      </c>
      <c r="AC255" s="158">
        <f t="shared" si="63"/>
        <v>0</v>
      </c>
      <c r="AD255" s="158">
        <f t="shared" si="63"/>
        <v>0</v>
      </c>
      <c r="AE255" s="157">
        <f t="shared" si="64"/>
        <v>0</v>
      </c>
    </row>
    <row r="256" spans="1:31" outlineLevel="2">
      <c r="A256" s="135" t="str">
        <f t="shared" si="57"/>
        <v>AmericanRolloffRECYHAUL25</v>
      </c>
      <c r="B256" s="116" t="s">
        <v>654</v>
      </c>
      <c r="C256" s="116" t="s">
        <v>655</v>
      </c>
      <c r="D256" s="155">
        <v>0</v>
      </c>
      <c r="E256" s="155">
        <v>0</v>
      </c>
      <c r="F256" s="156">
        <v>0</v>
      </c>
      <c r="G256" s="156">
        <v>0</v>
      </c>
      <c r="H256" s="156">
        <v>0</v>
      </c>
      <c r="I256" s="156">
        <v>0</v>
      </c>
      <c r="J256" s="156">
        <v>0</v>
      </c>
      <c r="K256" s="156">
        <v>0</v>
      </c>
      <c r="L256" s="156">
        <v>0</v>
      </c>
      <c r="M256" s="156">
        <v>0</v>
      </c>
      <c r="N256" s="156">
        <v>0</v>
      </c>
      <c r="O256" s="156">
        <v>0</v>
      </c>
      <c r="P256" s="156">
        <v>0</v>
      </c>
      <c r="Q256" s="156">
        <v>0</v>
      </c>
      <c r="R256" s="157">
        <f t="shared" si="58"/>
        <v>0</v>
      </c>
      <c r="S256" s="158">
        <f t="shared" si="62"/>
        <v>0</v>
      </c>
      <c r="T256" s="158">
        <f t="shared" si="62"/>
        <v>0</v>
      </c>
      <c r="U256" s="158">
        <f t="shared" si="62"/>
        <v>0</v>
      </c>
      <c r="V256" s="158">
        <f t="shared" si="62"/>
        <v>0</v>
      </c>
      <c r="W256" s="158">
        <f t="shared" si="62"/>
        <v>0</v>
      </c>
      <c r="X256" s="158">
        <f t="shared" si="63"/>
        <v>0</v>
      </c>
      <c r="Y256" s="158">
        <f t="shared" si="63"/>
        <v>0</v>
      </c>
      <c r="Z256" s="158">
        <f t="shared" si="63"/>
        <v>0</v>
      </c>
      <c r="AA256" s="158">
        <f t="shared" si="63"/>
        <v>0</v>
      </c>
      <c r="AB256" s="158">
        <f t="shared" si="63"/>
        <v>0</v>
      </c>
      <c r="AC256" s="158">
        <f t="shared" si="63"/>
        <v>0</v>
      </c>
      <c r="AD256" s="158">
        <f t="shared" si="63"/>
        <v>0</v>
      </c>
      <c r="AE256" s="157">
        <f t="shared" si="64"/>
        <v>0</v>
      </c>
    </row>
    <row r="257" spans="1:31" outlineLevel="2">
      <c r="A257" s="135" t="str">
        <f t="shared" si="57"/>
        <v>AmericanRolloffRECYHAUL30</v>
      </c>
      <c r="B257" s="116" t="s">
        <v>656</v>
      </c>
      <c r="C257" s="116" t="s">
        <v>657</v>
      </c>
      <c r="D257" s="155">
        <v>0</v>
      </c>
      <c r="E257" s="155">
        <v>0</v>
      </c>
      <c r="F257" s="156">
        <v>0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56">
        <v>0</v>
      </c>
      <c r="Q257" s="156">
        <v>0</v>
      </c>
      <c r="R257" s="157">
        <f t="shared" si="58"/>
        <v>0</v>
      </c>
      <c r="S257" s="158">
        <f t="shared" si="62"/>
        <v>0</v>
      </c>
      <c r="T257" s="158">
        <f t="shared" si="62"/>
        <v>0</v>
      </c>
      <c r="U257" s="158">
        <f t="shared" si="62"/>
        <v>0</v>
      </c>
      <c r="V257" s="158">
        <f t="shared" si="62"/>
        <v>0</v>
      </c>
      <c r="W257" s="158">
        <f t="shared" si="62"/>
        <v>0</v>
      </c>
      <c r="X257" s="158">
        <f t="shared" si="63"/>
        <v>0</v>
      </c>
      <c r="Y257" s="158">
        <f t="shared" si="63"/>
        <v>0</v>
      </c>
      <c r="Z257" s="158">
        <f t="shared" si="63"/>
        <v>0</v>
      </c>
      <c r="AA257" s="158">
        <f t="shared" si="63"/>
        <v>0</v>
      </c>
      <c r="AB257" s="158">
        <f t="shared" si="63"/>
        <v>0</v>
      </c>
      <c r="AC257" s="158">
        <f t="shared" si="63"/>
        <v>0</v>
      </c>
      <c r="AD257" s="158">
        <f t="shared" si="63"/>
        <v>0</v>
      </c>
      <c r="AE257" s="157">
        <f t="shared" si="64"/>
        <v>0</v>
      </c>
    </row>
    <row r="258" spans="1:31" outlineLevel="2">
      <c r="A258" s="135" t="str">
        <f t="shared" si="57"/>
        <v>AmericanRolloffRECYHAUL40</v>
      </c>
      <c r="B258" s="116" t="s">
        <v>658</v>
      </c>
      <c r="C258" s="116" t="s">
        <v>659</v>
      </c>
      <c r="D258" s="155">
        <v>0</v>
      </c>
      <c r="E258" s="155">
        <v>0</v>
      </c>
      <c r="F258" s="156">
        <v>0</v>
      </c>
      <c r="G258" s="156">
        <v>0</v>
      </c>
      <c r="H258" s="156">
        <v>0</v>
      </c>
      <c r="I258" s="156">
        <v>0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156">
        <v>227</v>
      </c>
      <c r="P258" s="156">
        <v>-227</v>
      </c>
      <c r="Q258" s="156">
        <v>0</v>
      </c>
      <c r="R258" s="157">
        <f t="shared" si="58"/>
        <v>0</v>
      </c>
      <c r="S258" s="158">
        <f t="shared" si="62"/>
        <v>0</v>
      </c>
      <c r="T258" s="158">
        <f t="shared" si="62"/>
        <v>0</v>
      </c>
      <c r="U258" s="158">
        <f t="shared" si="62"/>
        <v>0</v>
      </c>
      <c r="V258" s="158">
        <f t="shared" si="62"/>
        <v>0</v>
      </c>
      <c r="W258" s="158">
        <f t="shared" si="62"/>
        <v>0</v>
      </c>
      <c r="X258" s="158">
        <f t="shared" si="63"/>
        <v>0</v>
      </c>
      <c r="Y258" s="158">
        <f t="shared" si="63"/>
        <v>0</v>
      </c>
      <c r="Z258" s="158">
        <f t="shared" si="63"/>
        <v>0</v>
      </c>
      <c r="AA258" s="158">
        <f t="shared" si="63"/>
        <v>0</v>
      </c>
      <c r="AB258" s="158">
        <f t="shared" si="63"/>
        <v>0</v>
      </c>
      <c r="AC258" s="158">
        <f t="shared" si="63"/>
        <v>0</v>
      </c>
      <c r="AD258" s="158">
        <f t="shared" si="63"/>
        <v>0</v>
      </c>
      <c r="AE258" s="157">
        <f t="shared" si="64"/>
        <v>0</v>
      </c>
    </row>
    <row r="259" spans="1:31" outlineLevel="2">
      <c r="A259" s="135" t="str">
        <f t="shared" si="57"/>
        <v>AmericanRolloffRECYHAUL50</v>
      </c>
      <c r="B259" s="116" t="s">
        <v>660</v>
      </c>
      <c r="C259" s="116" t="s">
        <v>661</v>
      </c>
      <c r="D259" s="155">
        <v>0</v>
      </c>
      <c r="E259" s="155">
        <v>0</v>
      </c>
      <c r="F259" s="156">
        <v>0</v>
      </c>
      <c r="G259" s="156">
        <v>0</v>
      </c>
      <c r="H259" s="156">
        <v>0</v>
      </c>
      <c r="I259" s="156">
        <v>0</v>
      </c>
      <c r="J259" s="156">
        <v>0</v>
      </c>
      <c r="K259" s="156">
        <v>0</v>
      </c>
      <c r="L259" s="156">
        <v>0</v>
      </c>
      <c r="M259" s="156">
        <v>0</v>
      </c>
      <c r="N259" s="156">
        <v>0</v>
      </c>
      <c r="O259" s="156">
        <v>0</v>
      </c>
      <c r="P259" s="156">
        <v>0</v>
      </c>
      <c r="Q259" s="156">
        <v>0</v>
      </c>
      <c r="R259" s="157">
        <f t="shared" si="58"/>
        <v>0</v>
      </c>
      <c r="S259" s="158">
        <f t="shared" si="62"/>
        <v>0</v>
      </c>
      <c r="T259" s="158">
        <f t="shared" si="62"/>
        <v>0</v>
      </c>
      <c r="U259" s="158">
        <f t="shared" si="62"/>
        <v>0</v>
      </c>
      <c r="V259" s="158">
        <f t="shared" si="62"/>
        <v>0</v>
      </c>
      <c r="W259" s="158">
        <f t="shared" si="62"/>
        <v>0</v>
      </c>
      <c r="X259" s="158">
        <f t="shared" si="63"/>
        <v>0</v>
      </c>
      <c r="Y259" s="158">
        <f t="shared" si="63"/>
        <v>0</v>
      </c>
      <c r="Z259" s="158">
        <f t="shared" si="63"/>
        <v>0</v>
      </c>
      <c r="AA259" s="158">
        <f t="shared" si="63"/>
        <v>0</v>
      </c>
      <c r="AB259" s="158">
        <f t="shared" si="63"/>
        <v>0</v>
      </c>
      <c r="AC259" s="158">
        <f t="shared" si="63"/>
        <v>0</v>
      </c>
      <c r="AD259" s="158">
        <f t="shared" si="63"/>
        <v>0</v>
      </c>
      <c r="AE259" s="157">
        <f t="shared" si="64"/>
        <v>0</v>
      </c>
    </row>
    <row r="260" spans="1:31" outlineLevel="2">
      <c r="A260" s="135" t="str">
        <f t="shared" si="57"/>
        <v>AmericanRolloffRECYHAULCOMP</v>
      </c>
      <c r="B260" s="116" t="s">
        <v>662</v>
      </c>
      <c r="C260" s="116" t="s">
        <v>663</v>
      </c>
      <c r="D260" s="155">
        <v>0</v>
      </c>
      <c r="E260" s="155">
        <v>0</v>
      </c>
      <c r="F260" s="156">
        <v>0</v>
      </c>
      <c r="G260" s="156">
        <v>0</v>
      </c>
      <c r="H260" s="156">
        <v>0</v>
      </c>
      <c r="I260" s="156">
        <v>0</v>
      </c>
      <c r="J260" s="156">
        <v>0</v>
      </c>
      <c r="K260" s="156">
        <v>0</v>
      </c>
      <c r="L260" s="156">
        <v>0</v>
      </c>
      <c r="M260" s="156">
        <v>0</v>
      </c>
      <c r="N260" s="156">
        <v>0</v>
      </c>
      <c r="O260" s="156">
        <v>0</v>
      </c>
      <c r="P260" s="156">
        <v>0</v>
      </c>
      <c r="Q260" s="156">
        <v>0</v>
      </c>
      <c r="R260" s="157">
        <f t="shared" si="58"/>
        <v>0</v>
      </c>
      <c r="S260" s="158">
        <f t="shared" si="62"/>
        <v>0</v>
      </c>
      <c r="T260" s="158">
        <f t="shared" si="62"/>
        <v>0</v>
      </c>
      <c r="U260" s="158">
        <f t="shared" si="62"/>
        <v>0</v>
      </c>
      <c r="V260" s="158">
        <f t="shared" si="62"/>
        <v>0</v>
      </c>
      <c r="W260" s="158">
        <f t="shared" si="62"/>
        <v>0</v>
      </c>
      <c r="X260" s="158">
        <f t="shared" si="63"/>
        <v>0</v>
      </c>
      <c r="Y260" s="158">
        <f t="shared" si="63"/>
        <v>0</v>
      </c>
      <c r="Z260" s="158">
        <f t="shared" si="63"/>
        <v>0</v>
      </c>
      <c r="AA260" s="158">
        <f t="shared" si="63"/>
        <v>0</v>
      </c>
      <c r="AB260" s="158">
        <f t="shared" si="63"/>
        <v>0</v>
      </c>
      <c r="AC260" s="158">
        <f t="shared" si="63"/>
        <v>0</v>
      </c>
      <c r="AD260" s="158">
        <f t="shared" si="63"/>
        <v>0</v>
      </c>
      <c r="AE260" s="157">
        <f t="shared" si="64"/>
        <v>0</v>
      </c>
    </row>
    <row r="261" spans="1:31" outlineLevel="2">
      <c r="A261" s="135" t="str">
        <f t="shared" si="57"/>
        <v>AmericanRolloffRECYRENT12</v>
      </c>
      <c r="B261" s="116" t="s">
        <v>664</v>
      </c>
      <c r="C261" s="116" t="s">
        <v>665</v>
      </c>
      <c r="D261" s="155">
        <v>0</v>
      </c>
      <c r="E261" s="155">
        <v>0</v>
      </c>
      <c r="F261" s="156">
        <v>0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56">
        <v>0</v>
      </c>
      <c r="Q261" s="156">
        <v>0</v>
      </c>
      <c r="R261" s="157">
        <f t="shared" si="58"/>
        <v>0</v>
      </c>
      <c r="S261" s="158">
        <f t="shared" si="62"/>
        <v>0</v>
      </c>
      <c r="T261" s="158">
        <f t="shared" si="62"/>
        <v>0</v>
      </c>
      <c r="U261" s="158">
        <f t="shared" si="62"/>
        <v>0</v>
      </c>
      <c r="V261" s="158">
        <f t="shared" si="62"/>
        <v>0</v>
      </c>
      <c r="W261" s="158">
        <f t="shared" si="62"/>
        <v>0</v>
      </c>
      <c r="X261" s="158">
        <f t="shared" si="63"/>
        <v>0</v>
      </c>
      <c r="Y261" s="158">
        <f t="shared" si="63"/>
        <v>0</v>
      </c>
      <c r="Z261" s="158">
        <f t="shared" si="63"/>
        <v>0</v>
      </c>
      <c r="AA261" s="158">
        <f t="shared" si="63"/>
        <v>0</v>
      </c>
      <c r="AB261" s="158">
        <f t="shared" si="63"/>
        <v>0</v>
      </c>
      <c r="AC261" s="158">
        <f t="shared" si="63"/>
        <v>0</v>
      </c>
      <c r="AD261" s="158">
        <f t="shared" si="63"/>
        <v>0</v>
      </c>
      <c r="AE261" s="157">
        <f t="shared" si="64"/>
        <v>0</v>
      </c>
    </row>
    <row r="262" spans="1:31" outlineLevel="2">
      <c r="A262" s="135" t="str">
        <f t="shared" si="57"/>
        <v>AmericanRolloffRECYRENT15</v>
      </c>
      <c r="B262" s="116" t="s">
        <v>666</v>
      </c>
      <c r="C262" s="116" t="s">
        <v>667</v>
      </c>
      <c r="D262" s="155">
        <v>0</v>
      </c>
      <c r="E262" s="155">
        <v>0</v>
      </c>
      <c r="F262" s="156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56">
        <v>0</v>
      </c>
      <c r="Q262" s="156">
        <v>0</v>
      </c>
      <c r="R262" s="157">
        <f t="shared" si="58"/>
        <v>0</v>
      </c>
      <c r="S262" s="158">
        <f t="shared" si="62"/>
        <v>0</v>
      </c>
      <c r="T262" s="158">
        <f t="shared" si="62"/>
        <v>0</v>
      </c>
      <c r="U262" s="158">
        <f t="shared" si="62"/>
        <v>0</v>
      </c>
      <c r="V262" s="158">
        <f t="shared" si="62"/>
        <v>0</v>
      </c>
      <c r="W262" s="158">
        <f t="shared" si="62"/>
        <v>0</v>
      </c>
      <c r="X262" s="158">
        <f t="shared" si="63"/>
        <v>0</v>
      </c>
      <c r="Y262" s="158">
        <f t="shared" si="63"/>
        <v>0</v>
      </c>
      <c r="Z262" s="158">
        <f t="shared" si="63"/>
        <v>0</v>
      </c>
      <c r="AA262" s="158">
        <f t="shared" si="63"/>
        <v>0</v>
      </c>
      <c r="AB262" s="158">
        <f t="shared" si="63"/>
        <v>0</v>
      </c>
      <c r="AC262" s="158">
        <f t="shared" si="63"/>
        <v>0</v>
      </c>
      <c r="AD262" s="158">
        <f t="shared" si="63"/>
        <v>0</v>
      </c>
      <c r="AE262" s="157">
        <f t="shared" si="64"/>
        <v>0</v>
      </c>
    </row>
    <row r="263" spans="1:31" outlineLevel="2">
      <c r="A263" s="135" t="str">
        <f t="shared" si="57"/>
        <v>AmericanRolloffRECYRENT20</v>
      </c>
      <c r="B263" s="116" t="s">
        <v>668</v>
      </c>
      <c r="C263" s="116" t="s">
        <v>669</v>
      </c>
      <c r="D263" s="155">
        <v>0</v>
      </c>
      <c r="E263" s="155"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56">
        <v>0</v>
      </c>
      <c r="Q263" s="156">
        <v>0</v>
      </c>
      <c r="R263" s="157">
        <f t="shared" si="58"/>
        <v>0</v>
      </c>
      <c r="S263" s="158">
        <f t="shared" si="62"/>
        <v>0</v>
      </c>
      <c r="T263" s="158">
        <f t="shared" si="62"/>
        <v>0</v>
      </c>
      <c r="U263" s="158">
        <f t="shared" si="62"/>
        <v>0</v>
      </c>
      <c r="V263" s="158">
        <f t="shared" si="62"/>
        <v>0</v>
      </c>
      <c r="W263" s="158">
        <f t="shared" si="62"/>
        <v>0</v>
      </c>
      <c r="X263" s="158">
        <f t="shared" si="63"/>
        <v>0</v>
      </c>
      <c r="Y263" s="158">
        <f t="shared" si="63"/>
        <v>0</v>
      </c>
      <c r="Z263" s="158">
        <f t="shared" si="63"/>
        <v>0</v>
      </c>
      <c r="AA263" s="158">
        <f t="shared" si="63"/>
        <v>0</v>
      </c>
      <c r="AB263" s="158">
        <f t="shared" si="63"/>
        <v>0</v>
      </c>
      <c r="AC263" s="158">
        <f t="shared" si="63"/>
        <v>0</v>
      </c>
      <c r="AD263" s="158">
        <f t="shared" si="63"/>
        <v>0</v>
      </c>
      <c r="AE263" s="157">
        <f t="shared" si="64"/>
        <v>0</v>
      </c>
    </row>
    <row r="264" spans="1:31" outlineLevel="2">
      <c r="A264" s="135" t="str">
        <f t="shared" si="57"/>
        <v>AmericanRolloffRECYRENT25</v>
      </c>
      <c r="B264" s="116" t="s">
        <v>670</v>
      </c>
      <c r="C264" s="116" t="s">
        <v>671</v>
      </c>
      <c r="D264" s="155">
        <v>0</v>
      </c>
      <c r="E264" s="155"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56">
        <v>0</v>
      </c>
      <c r="Q264" s="156">
        <v>0</v>
      </c>
      <c r="R264" s="157">
        <f t="shared" si="58"/>
        <v>0</v>
      </c>
      <c r="S264" s="158">
        <f t="shared" si="62"/>
        <v>0</v>
      </c>
      <c r="T264" s="158">
        <f t="shared" si="62"/>
        <v>0</v>
      </c>
      <c r="U264" s="158">
        <f t="shared" si="62"/>
        <v>0</v>
      </c>
      <c r="V264" s="158">
        <f t="shared" si="62"/>
        <v>0</v>
      </c>
      <c r="W264" s="158">
        <f t="shared" si="62"/>
        <v>0</v>
      </c>
      <c r="X264" s="158">
        <f t="shared" si="63"/>
        <v>0</v>
      </c>
      <c r="Y264" s="158">
        <f t="shared" si="63"/>
        <v>0</v>
      </c>
      <c r="Z264" s="158">
        <f t="shared" si="63"/>
        <v>0</v>
      </c>
      <c r="AA264" s="158">
        <f t="shared" si="63"/>
        <v>0</v>
      </c>
      <c r="AB264" s="158">
        <f t="shared" si="63"/>
        <v>0</v>
      </c>
      <c r="AC264" s="158">
        <f t="shared" si="63"/>
        <v>0</v>
      </c>
      <c r="AD264" s="158">
        <f t="shared" si="63"/>
        <v>0</v>
      </c>
      <c r="AE264" s="157">
        <f t="shared" si="64"/>
        <v>0</v>
      </c>
    </row>
    <row r="265" spans="1:31" outlineLevel="2">
      <c r="A265" s="135" t="str">
        <f t="shared" si="57"/>
        <v>AmericanRolloffRECYRENT30</v>
      </c>
      <c r="B265" s="116" t="s">
        <v>672</v>
      </c>
      <c r="C265" s="116" t="s">
        <v>673</v>
      </c>
      <c r="D265" s="155">
        <v>0</v>
      </c>
      <c r="E265" s="155">
        <v>0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56">
        <v>0</v>
      </c>
      <c r="Q265" s="156">
        <v>0</v>
      </c>
      <c r="R265" s="157">
        <f t="shared" si="58"/>
        <v>0</v>
      </c>
      <c r="S265" s="158">
        <f t="shared" si="62"/>
        <v>0</v>
      </c>
      <c r="T265" s="158">
        <f t="shared" si="62"/>
        <v>0</v>
      </c>
      <c r="U265" s="158">
        <f t="shared" si="62"/>
        <v>0</v>
      </c>
      <c r="V265" s="158">
        <f t="shared" si="62"/>
        <v>0</v>
      </c>
      <c r="W265" s="158">
        <f t="shared" si="62"/>
        <v>0</v>
      </c>
      <c r="X265" s="158">
        <f t="shared" si="63"/>
        <v>0</v>
      </c>
      <c r="Y265" s="158">
        <f t="shared" si="63"/>
        <v>0</v>
      </c>
      <c r="Z265" s="158">
        <f t="shared" si="63"/>
        <v>0</v>
      </c>
      <c r="AA265" s="158">
        <f t="shared" si="63"/>
        <v>0</v>
      </c>
      <c r="AB265" s="158">
        <f t="shared" si="63"/>
        <v>0</v>
      </c>
      <c r="AC265" s="158">
        <f t="shared" si="63"/>
        <v>0</v>
      </c>
      <c r="AD265" s="158">
        <f t="shared" si="63"/>
        <v>0</v>
      </c>
      <c r="AE265" s="157">
        <f t="shared" si="64"/>
        <v>0</v>
      </c>
    </row>
    <row r="266" spans="1:31" outlineLevel="2">
      <c r="A266" s="135" t="str">
        <f t="shared" si="57"/>
        <v>AmericanRolloffRECYRENT40</v>
      </c>
      <c r="B266" s="116" t="s">
        <v>674</v>
      </c>
      <c r="C266" s="116" t="s">
        <v>675</v>
      </c>
      <c r="D266" s="155">
        <v>0</v>
      </c>
      <c r="E266" s="155">
        <v>0</v>
      </c>
      <c r="F266" s="156">
        <v>0</v>
      </c>
      <c r="G266" s="156">
        <v>0</v>
      </c>
      <c r="H266" s="156">
        <v>0</v>
      </c>
      <c r="I266" s="156">
        <v>0</v>
      </c>
      <c r="J266" s="156">
        <v>0</v>
      </c>
      <c r="K266" s="156">
        <v>0</v>
      </c>
      <c r="L266" s="156">
        <v>-82.2</v>
      </c>
      <c r="M266" s="156">
        <v>0</v>
      </c>
      <c r="N266" s="156">
        <v>0</v>
      </c>
      <c r="O266" s="156">
        <v>0</v>
      </c>
      <c r="P266" s="156">
        <v>0</v>
      </c>
      <c r="Q266" s="156">
        <v>0</v>
      </c>
      <c r="R266" s="157">
        <f t="shared" si="58"/>
        <v>-82.2</v>
      </c>
      <c r="S266" s="158">
        <f t="shared" si="62"/>
        <v>0</v>
      </c>
      <c r="T266" s="158">
        <f t="shared" si="62"/>
        <v>0</v>
      </c>
      <c r="U266" s="158">
        <f t="shared" si="62"/>
        <v>0</v>
      </c>
      <c r="V266" s="158">
        <f t="shared" si="62"/>
        <v>0</v>
      </c>
      <c r="W266" s="158">
        <f t="shared" si="62"/>
        <v>0</v>
      </c>
      <c r="X266" s="158">
        <f t="shared" si="63"/>
        <v>0</v>
      </c>
      <c r="Y266" s="158">
        <f t="shared" si="63"/>
        <v>0</v>
      </c>
      <c r="Z266" s="158">
        <f t="shared" si="63"/>
        <v>0</v>
      </c>
      <c r="AA266" s="158">
        <f t="shared" si="63"/>
        <v>0</v>
      </c>
      <c r="AB266" s="158">
        <f t="shared" si="63"/>
        <v>0</v>
      </c>
      <c r="AC266" s="158">
        <f t="shared" si="63"/>
        <v>0</v>
      </c>
      <c r="AD266" s="158">
        <f t="shared" si="63"/>
        <v>0</v>
      </c>
      <c r="AE266" s="157">
        <f t="shared" si="64"/>
        <v>0</v>
      </c>
    </row>
    <row r="267" spans="1:31" outlineLevel="2">
      <c r="A267" s="135" t="str">
        <f t="shared" si="57"/>
        <v>AmericanRolloffRECYRENT50</v>
      </c>
      <c r="B267" s="116" t="s">
        <v>676</v>
      </c>
      <c r="C267" s="116" t="s">
        <v>677</v>
      </c>
      <c r="D267" s="155">
        <v>0</v>
      </c>
      <c r="E267" s="155">
        <v>0</v>
      </c>
      <c r="F267" s="156">
        <v>0</v>
      </c>
      <c r="G267" s="156">
        <v>0</v>
      </c>
      <c r="H267" s="156">
        <v>0</v>
      </c>
      <c r="I267" s="156">
        <v>0</v>
      </c>
      <c r="J267" s="156">
        <v>0</v>
      </c>
      <c r="K267" s="156">
        <v>0</v>
      </c>
      <c r="L267" s="156">
        <v>0</v>
      </c>
      <c r="M267" s="156">
        <v>0</v>
      </c>
      <c r="N267" s="156">
        <v>0</v>
      </c>
      <c r="O267" s="156">
        <v>0</v>
      </c>
      <c r="P267" s="156">
        <v>0</v>
      </c>
      <c r="Q267" s="156">
        <v>0</v>
      </c>
      <c r="R267" s="157">
        <f t="shared" si="58"/>
        <v>0</v>
      </c>
      <c r="S267" s="158">
        <f t="shared" si="62"/>
        <v>0</v>
      </c>
      <c r="T267" s="158">
        <f t="shared" si="62"/>
        <v>0</v>
      </c>
      <c r="U267" s="158">
        <f t="shared" si="62"/>
        <v>0</v>
      </c>
      <c r="V267" s="158">
        <f t="shared" si="62"/>
        <v>0</v>
      </c>
      <c r="W267" s="158">
        <f t="shared" si="62"/>
        <v>0</v>
      </c>
      <c r="X267" s="158">
        <f t="shared" si="63"/>
        <v>0</v>
      </c>
      <c r="Y267" s="158">
        <f t="shared" si="63"/>
        <v>0</v>
      </c>
      <c r="Z267" s="158">
        <f t="shared" si="63"/>
        <v>0</v>
      </c>
      <c r="AA267" s="158">
        <f t="shared" si="63"/>
        <v>0</v>
      </c>
      <c r="AB267" s="158">
        <f t="shared" si="63"/>
        <v>0</v>
      </c>
      <c r="AC267" s="158">
        <f t="shared" si="63"/>
        <v>0</v>
      </c>
      <c r="AD267" s="158">
        <f t="shared" si="63"/>
        <v>0</v>
      </c>
      <c r="AE267" s="157">
        <f t="shared" si="64"/>
        <v>0</v>
      </c>
    </row>
    <row r="268" spans="1:31" outlineLevel="2">
      <c r="A268" s="135" t="str">
        <f t="shared" si="57"/>
        <v>AmericanRolloffRECYWPROC100</v>
      </c>
      <c r="B268" s="116" t="s">
        <v>678</v>
      </c>
      <c r="C268" s="116" t="s">
        <v>679</v>
      </c>
      <c r="D268" s="155">
        <v>0</v>
      </c>
      <c r="E268" s="155">
        <v>0</v>
      </c>
      <c r="F268" s="156">
        <v>0</v>
      </c>
      <c r="G268" s="156">
        <v>0</v>
      </c>
      <c r="H268" s="156">
        <v>0</v>
      </c>
      <c r="I268" s="156">
        <v>0</v>
      </c>
      <c r="J268" s="156">
        <v>0</v>
      </c>
      <c r="K268" s="156">
        <v>0</v>
      </c>
      <c r="L268" s="156">
        <v>0</v>
      </c>
      <c r="M268" s="156">
        <v>0</v>
      </c>
      <c r="N268" s="156">
        <v>0</v>
      </c>
      <c r="O268" s="156">
        <v>0</v>
      </c>
      <c r="P268" s="156">
        <v>0</v>
      </c>
      <c r="Q268" s="156">
        <v>0</v>
      </c>
      <c r="R268" s="157">
        <f t="shared" si="58"/>
        <v>0</v>
      </c>
      <c r="S268" s="158">
        <f t="shared" si="62"/>
        <v>0</v>
      </c>
      <c r="T268" s="158">
        <f t="shared" si="62"/>
        <v>0</v>
      </c>
      <c r="U268" s="158">
        <f t="shared" si="62"/>
        <v>0</v>
      </c>
      <c r="V268" s="158">
        <f t="shared" si="62"/>
        <v>0</v>
      </c>
      <c r="W268" s="158">
        <f t="shared" si="62"/>
        <v>0</v>
      </c>
      <c r="X268" s="158">
        <f t="shared" si="63"/>
        <v>0</v>
      </c>
      <c r="Y268" s="158">
        <f t="shared" si="63"/>
        <v>0</v>
      </c>
      <c r="Z268" s="158">
        <f t="shared" si="63"/>
        <v>0</v>
      </c>
      <c r="AA268" s="158">
        <f t="shared" si="63"/>
        <v>0</v>
      </c>
      <c r="AB268" s="158">
        <f t="shared" si="63"/>
        <v>0</v>
      </c>
      <c r="AC268" s="158">
        <f t="shared" si="63"/>
        <v>0</v>
      </c>
      <c r="AD268" s="158">
        <f t="shared" si="63"/>
        <v>0</v>
      </c>
      <c r="AE268" s="157">
        <f t="shared" si="64"/>
        <v>0</v>
      </c>
    </row>
    <row r="269" spans="1:31" outlineLevel="2">
      <c r="A269" s="135" t="str">
        <f t="shared" si="57"/>
        <v>AmericanRolloffRECYWPROC100N</v>
      </c>
      <c r="B269" s="116" t="s">
        <v>680</v>
      </c>
      <c r="C269" s="116" t="s">
        <v>679</v>
      </c>
      <c r="D269" s="155">
        <v>0</v>
      </c>
      <c r="E269" s="155">
        <v>0</v>
      </c>
      <c r="F269" s="156">
        <v>0</v>
      </c>
      <c r="G269" s="156">
        <v>0</v>
      </c>
      <c r="H269" s="156">
        <v>0</v>
      </c>
      <c r="I269" s="156">
        <v>0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56">
        <v>0</v>
      </c>
      <c r="Q269" s="156">
        <v>0</v>
      </c>
      <c r="R269" s="157">
        <f t="shared" si="58"/>
        <v>0</v>
      </c>
      <c r="S269" s="158">
        <f t="shared" si="62"/>
        <v>0</v>
      </c>
      <c r="T269" s="158">
        <f t="shared" si="62"/>
        <v>0</v>
      </c>
      <c r="U269" s="158">
        <f t="shared" si="62"/>
        <v>0</v>
      </c>
      <c r="V269" s="158">
        <f t="shared" si="62"/>
        <v>0</v>
      </c>
      <c r="W269" s="158">
        <f t="shared" si="62"/>
        <v>0</v>
      </c>
      <c r="X269" s="158">
        <f t="shared" si="63"/>
        <v>0</v>
      </c>
      <c r="Y269" s="158">
        <f t="shared" si="63"/>
        <v>0</v>
      </c>
      <c r="Z269" s="158">
        <f t="shared" si="63"/>
        <v>0</v>
      </c>
      <c r="AA269" s="158">
        <f t="shared" si="63"/>
        <v>0</v>
      </c>
      <c r="AB269" s="158">
        <f t="shared" si="63"/>
        <v>0</v>
      </c>
      <c r="AC269" s="158">
        <f t="shared" si="63"/>
        <v>0</v>
      </c>
      <c r="AD269" s="158">
        <f t="shared" si="63"/>
        <v>0</v>
      </c>
      <c r="AE269" s="157">
        <f>+SUM(S269:AD269)/$AB$3</f>
        <v>0</v>
      </c>
    </row>
    <row r="270" spans="1:31" outlineLevel="2">
      <c r="A270" s="135" t="str">
        <f t="shared" si="57"/>
        <v>AmericanRolloffRECYWPROC100D</v>
      </c>
      <c r="B270" s="116" t="s">
        <v>681</v>
      </c>
      <c r="C270" s="116" t="s">
        <v>679</v>
      </c>
      <c r="D270" s="155">
        <v>0</v>
      </c>
      <c r="E270" s="155">
        <v>0</v>
      </c>
      <c r="F270" s="156">
        <v>0</v>
      </c>
      <c r="G270" s="156">
        <v>0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56">
        <v>0</v>
      </c>
      <c r="Q270" s="156">
        <v>0</v>
      </c>
      <c r="R270" s="157">
        <f t="shared" si="58"/>
        <v>0</v>
      </c>
      <c r="S270" s="158">
        <f t="shared" si="62"/>
        <v>0</v>
      </c>
      <c r="T270" s="158">
        <f t="shared" si="62"/>
        <v>0</v>
      </c>
      <c r="U270" s="158">
        <f t="shared" si="62"/>
        <v>0</v>
      </c>
      <c r="V270" s="158">
        <f t="shared" si="62"/>
        <v>0</v>
      </c>
      <c r="W270" s="158">
        <f t="shared" si="62"/>
        <v>0</v>
      </c>
      <c r="X270" s="158">
        <f t="shared" si="63"/>
        <v>0</v>
      </c>
      <c r="Y270" s="158">
        <f t="shared" si="63"/>
        <v>0</v>
      </c>
      <c r="Z270" s="158">
        <f t="shared" si="63"/>
        <v>0</v>
      </c>
      <c r="AA270" s="158">
        <f t="shared" si="63"/>
        <v>0</v>
      </c>
      <c r="AB270" s="158">
        <f t="shared" si="63"/>
        <v>0</v>
      </c>
      <c r="AC270" s="158">
        <f t="shared" si="63"/>
        <v>0</v>
      </c>
      <c r="AD270" s="158">
        <f t="shared" si="63"/>
        <v>0</v>
      </c>
      <c r="AE270" s="157">
        <f>+SUM(S270:AD270)/$AB$3</f>
        <v>0</v>
      </c>
    </row>
    <row r="271" spans="1:31" outlineLevel="2">
      <c r="A271" s="135" t="str">
        <f t="shared" si="57"/>
        <v>AmericanRolloffRECYWPROC20</v>
      </c>
      <c r="B271" s="116" t="s">
        <v>682</v>
      </c>
      <c r="C271" s="116" t="s">
        <v>683</v>
      </c>
      <c r="D271" s="155">
        <v>0</v>
      </c>
      <c r="E271" s="155">
        <v>0</v>
      </c>
      <c r="F271" s="156">
        <v>0</v>
      </c>
      <c r="G271" s="156">
        <v>0</v>
      </c>
      <c r="H271" s="156">
        <v>0</v>
      </c>
      <c r="I271" s="156">
        <v>0</v>
      </c>
      <c r="J271" s="156">
        <v>0</v>
      </c>
      <c r="K271" s="156">
        <v>0</v>
      </c>
      <c r="L271" s="156">
        <v>0</v>
      </c>
      <c r="M271" s="156">
        <v>0</v>
      </c>
      <c r="N271" s="156">
        <v>0</v>
      </c>
      <c r="O271" s="156">
        <v>0</v>
      </c>
      <c r="P271" s="156">
        <v>0</v>
      </c>
      <c r="Q271" s="156">
        <v>0</v>
      </c>
      <c r="R271" s="157">
        <f t="shared" si="58"/>
        <v>0</v>
      </c>
      <c r="S271" s="158">
        <f t="shared" si="62"/>
        <v>0</v>
      </c>
      <c r="T271" s="158">
        <f t="shared" si="62"/>
        <v>0</v>
      </c>
      <c r="U271" s="158">
        <f t="shared" si="62"/>
        <v>0</v>
      </c>
      <c r="V271" s="158">
        <f t="shared" si="62"/>
        <v>0</v>
      </c>
      <c r="W271" s="158">
        <f t="shared" si="62"/>
        <v>0</v>
      </c>
      <c r="X271" s="158">
        <f t="shared" si="63"/>
        <v>0</v>
      </c>
      <c r="Y271" s="158">
        <f t="shared" si="63"/>
        <v>0</v>
      </c>
      <c r="Z271" s="158">
        <f t="shared" si="63"/>
        <v>0</v>
      </c>
      <c r="AA271" s="158">
        <f t="shared" si="63"/>
        <v>0</v>
      </c>
      <c r="AB271" s="158">
        <f t="shared" si="63"/>
        <v>0</v>
      </c>
      <c r="AC271" s="158">
        <f t="shared" si="63"/>
        <v>0</v>
      </c>
      <c r="AD271" s="158">
        <f t="shared" si="63"/>
        <v>0</v>
      </c>
      <c r="AE271" s="157">
        <f t="shared" si="64"/>
        <v>0</v>
      </c>
    </row>
    <row r="272" spans="1:31" outlineLevel="2">
      <c r="A272" s="135" t="str">
        <f t="shared" si="57"/>
        <v>AmericanRolloffRECYWPROC25</v>
      </c>
      <c r="B272" s="116" t="s">
        <v>684</v>
      </c>
      <c r="C272" s="116" t="s">
        <v>685</v>
      </c>
      <c r="D272" s="155">
        <v>0</v>
      </c>
      <c r="E272" s="155">
        <v>0</v>
      </c>
      <c r="F272" s="156">
        <v>0</v>
      </c>
      <c r="G272" s="156">
        <v>0</v>
      </c>
      <c r="H272" s="156">
        <v>0</v>
      </c>
      <c r="I272" s="156">
        <v>0</v>
      </c>
      <c r="J272" s="156">
        <v>0</v>
      </c>
      <c r="K272" s="156">
        <v>0</v>
      </c>
      <c r="L272" s="156">
        <v>0</v>
      </c>
      <c r="M272" s="156">
        <v>0</v>
      </c>
      <c r="N272" s="156">
        <v>0</v>
      </c>
      <c r="O272" s="156">
        <v>0</v>
      </c>
      <c r="P272" s="156">
        <v>0</v>
      </c>
      <c r="Q272" s="156">
        <v>0</v>
      </c>
      <c r="R272" s="157">
        <f t="shared" si="58"/>
        <v>0</v>
      </c>
      <c r="S272" s="158">
        <f t="shared" si="62"/>
        <v>0</v>
      </c>
      <c r="T272" s="158">
        <f t="shared" si="62"/>
        <v>0</v>
      </c>
      <c r="U272" s="158">
        <f t="shared" si="62"/>
        <v>0</v>
      </c>
      <c r="V272" s="158">
        <f t="shared" si="62"/>
        <v>0</v>
      </c>
      <c r="W272" s="158">
        <f t="shared" si="62"/>
        <v>0</v>
      </c>
      <c r="X272" s="158">
        <f t="shared" si="63"/>
        <v>0</v>
      </c>
      <c r="Y272" s="158">
        <f t="shared" si="63"/>
        <v>0</v>
      </c>
      <c r="Z272" s="158">
        <f t="shared" si="63"/>
        <v>0</v>
      </c>
      <c r="AA272" s="158">
        <f t="shared" si="63"/>
        <v>0</v>
      </c>
      <c r="AB272" s="158">
        <f t="shared" si="63"/>
        <v>0</v>
      </c>
      <c r="AC272" s="158">
        <f t="shared" si="63"/>
        <v>0</v>
      </c>
      <c r="AD272" s="158">
        <f t="shared" si="63"/>
        <v>0</v>
      </c>
      <c r="AE272" s="157">
        <f t="shared" si="64"/>
        <v>0</v>
      </c>
    </row>
    <row r="273" spans="1:31" outlineLevel="2">
      <c r="A273" s="135" t="str">
        <f t="shared" si="57"/>
        <v>AmericanRolloffRECYWPROC30</v>
      </c>
      <c r="B273" s="116" t="s">
        <v>686</v>
      </c>
      <c r="C273" s="116" t="s">
        <v>687</v>
      </c>
      <c r="D273" s="155">
        <v>0</v>
      </c>
      <c r="E273" s="155">
        <v>0</v>
      </c>
      <c r="F273" s="156">
        <v>0</v>
      </c>
      <c r="G273" s="156">
        <v>0</v>
      </c>
      <c r="H273" s="156">
        <v>0</v>
      </c>
      <c r="I273" s="156">
        <v>0</v>
      </c>
      <c r="J273" s="156">
        <v>0</v>
      </c>
      <c r="K273" s="156">
        <v>0</v>
      </c>
      <c r="L273" s="156">
        <v>0</v>
      </c>
      <c r="M273" s="156">
        <v>0</v>
      </c>
      <c r="N273" s="156">
        <v>0</v>
      </c>
      <c r="O273" s="156">
        <v>0</v>
      </c>
      <c r="P273" s="156">
        <v>0</v>
      </c>
      <c r="Q273" s="156">
        <v>0</v>
      </c>
      <c r="R273" s="157">
        <f t="shared" si="58"/>
        <v>0</v>
      </c>
      <c r="S273" s="158">
        <f t="shared" si="62"/>
        <v>0</v>
      </c>
      <c r="T273" s="158">
        <f t="shared" si="62"/>
        <v>0</v>
      </c>
      <c r="U273" s="158">
        <f t="shared" si="62"/>
        <v>0</v>
      </c>
      <c r="V273" s="158">
        <f t="shared" si="62"/>
        <v>0</v>
      </c>
      <c r="W273" s="158">
        <f t="shared" si="62"/>
        <v>0</v>
      </c>
      <c r="X273" s="158">
        <f t="shared" si="63"/>
        <v>0</v>
      </c>
      <c r="Y273" s="158">
        <f t="shared" si="63"/>
        <v>0</v>
      </c>
      <c r="Z273" s="158">
        <f t="shared" si="63"/>
        <v>0</v>
      </c>
      <c r="AA273" s="158">
        <f t="shared" ref="AA273:AD299" si="65">+IFERROR(N273/$E273,0)</f>
        <v>0</v>
      </c>
      <c r="AB273" s="158">
        <f t="shared" si="65"/>
        <v>0</v>
      </c>
      <c r="AC273" s="158">
        <f t="shared" si="65"/>
        <v>0</v>
      </c>
      <c r="AD273" s="158">
        <f t="shared" si="65"/>
        <v>0</v>
      </c>
      <c r="AE273" s="157">
        <f t="shared" si="64"/>
        <v>0</v>
      </c>
    </row>
    <row r="274" spans="1:31" outlineLevel="2">
      <c r="A274" s="135" t="str">
        <f t="shared" si="57"/>
        <v>AmericanRolloffRECYWPROC40</v>
      </c>
      <c r="B274" s="116" t="s">
        <v>688</v>
      </c>
      <c r="C274" s="116" t="s">
        <v>689</v>
      </c>
      <c r="D274" s="155">
        <v>0</v>
      </c>
      <c r="E274" s="155">
        <v>0</v>
      </c>
      <c r="F274" s="156">
        <v>0</v>
      </c>
      <c r="G274" s="156">
        <v>0</v>
      </c>
      <c r="H274" s="156">
        <v>0</v>
      </c>
      <c r="I274" s="156">
        <v>0</v>
      </c>
      <c r="J274" s="156">
        <v>0</v>
      </c>
      <c r="K274" s="156">
        <v>0</v>
      </c>
      <c r="L274" s="156">
        <v>0</v>
      </c>
      <c r="M274" s="156">
        <v>0</v>
      </c>
      <c r="N274" s="156">
        <v>0</v>
      </c>
      <c r="O274" s="156">
        <v>0</v>
      </c>
      <c r="P274" s="156">
        <v>0</v>
      </c>
      <c r="Q274" s="156">
        <v>0</v>
      </c>
      <c r="R274" s="157">
        <f t="shared" si="58"/>
        <v>0</v>
      </c>
      <c r="S274" s="158">
        <f t="shared" si="62"/>
        <v>0</v>
      </c>
      <c r="T274" s="158">
        <f t="shared" si="62"/>
        <v>0</v>
      </c>
      <c r="U274" s="158">
        <f t="shared" si="62"/>
        <v>0</v>
      </c>
      <c r="V274" s="158">
        <f t="shared" si="62"/>
        <v>0</v>
      </c>
      <c r="W274" s="158">
        <f t="shared" si="62"/>
        <v>0</v>
      </c>
      <c r="X274" s="158">
        <f t="shared" ref="X274:Z299" si="66">+IFERROR(K274/$E274,0)</f>
        <v>0</v>
      </c>
      <c r="Y274" s="158">
        <f t="shared" si="66"/>
        <v>0</v>
      </c>
      <c r="Z274" s="158">
        <f t="shared" si="66"/>
        <v>0</v>
      </c>
      <c r="AA274" s="158">
        <f t="shared" si="65"/>
        <v>0</v>
      </c>
      <c r="AB274" s="158">
        <f t="shared" si="65"/>
        <v>0</v>
      </c>
      <c r="AC274" s="158">
        <f t="shared" si="65"/>
        <v>0</v>
      </c>
      <c r="AD274" s="158">
        <f t="shared" si="65"/>
        <v>0</v>
      </c>
      <c r="AE274" s="157">
        <f t="shared" si="64"/>
        <v>0</v>
      </c>
    </row>
    <row r="275" spans="1:31" outlineLevel="2">
      <c r="A275" s="135" t="str">
        <f t="shared" si="57"/>
        <v>AmericanRolloffRECYWPROC50</v>
      </c>
      <c r="B275" s="116" t="s">
        <v>690</v>
      </c>
      <c r="C275" s="116" t="s">
        <v>691</v>
      </c>
      <c r="D275" s="155">
        <v>0</v>
      </c>
      <c r="E275" s="155">
        <v>0</v>
      </c>
      <c r="F275" s="156">
        <v>0</v>
      </c>
      <c r="G275" s="156">
        <v>0</v>
      </c>
      <c r="H275" s="156">
        <v>0</v>
      </c>
      <c r="I275" s="156">
        <v>0</v>
      </c>
      <c r="J275" s="156">
        <v>0</v>
      </c>
      <c r="K275" s="156">
        <v>0</v>
      </c>
      <c r="L275" s="156">
        <v>0</v>
      </c>
      <c r="M275" s="156">
        <v>0</v>
      </c>
      <c r="N275" s="156">
        <v>0</v>
      </c>
      <c r="O275" s="156">
        <v>0</v>
      </c>
      <c r="P275" s="156">
        <v>0</v>
      </c>
      <c r="Q275" s="156">
        <v>0</v>
      </c>
      <c r="R275" s="157">
        <f t="shared" si="58"/>
        <v>0</v>
      </c>
      <c r="S275" s="158">
        <f t="shared" si="62"/>
        <v>0</v>
      </c>
      <c r="T275" s="158">
        <f t="shared" si="62"/>
        <v>0</v>
      </c>
      <c r="U275" s="158">
        <f t="shared" si="62"/>
        <v>0</v>
      </c>
      <c r="V275" s="158">
        <f t="shared" si="62"/>
        <v>0</v>
      </c>
      <c r="W275" s="158">
        <f t="shared" si="62"/>
        <v>0</v>
      </c>
      <c r="X275" s="158">
        <f t="shared" si="66"/>
        <v>0</v>
      </c>
      <c r="Y275" s="158">
        <f t="shared" si="66"/>
        <v>0</v>
      </c>
      <c r="Z275" s="158">
        <f t="shared" si="66"/>
        <v>0</v>
      </c>
      <c r="AA275" s="158">
        <f t="shared" si="65"/>
        <v>0</v>
      </c>
      <c r="AB275" s="158">
        <f t="shared" si="65"/>
        <v>0</v>
      </c>
      <c r="AC275" s="158">
        <f t="shared" si="65"/>
        <v>0</v>
      </c>
      <c r="AD275" s="158">
        <f t="shared" si="65"/>
        <v>0</v>
      </c>
      <c r="AE275" s="157">
        <f t="shared" si="64"/>
        <v>0</v>
      </c>
    </row>
    <row r="276" spans="1:31" outlineLevel="2">
      <c r="A276" s="135" t="str">
        <f t="shared" si="57"/>
        <v>AmericanRolloffRECYWPROCASB</v>
      </c>
      <c r="B276" s="116" t="s">
        <v>692</v>
      </c>
      <c r="C276" s="116" t="s">
        <v>693</v>
      </c>
      <c r="D276" s="155">
        <v>0</v>
      </c>
      <c r="E276" s="155">
        <v>0</v>
      </c>
      <c r="F276" s="156">
        <v>0</v>
      </c>
      <c r="G276" s="156">
        <v>0</v>
      </c>
      <c r="H276" s="156">
        <v>0</v>
      </c>
      <c r="I276" s="156">
        <v>0</v>
      </c>
      <c r="J276" s="156">
        <v>0</v>
      </c>
      <c r="K276" s="156">
        <v>0</v>
      </c>
      <c r="L276" s="156">
        <v>0</v>
      </c>
      <c r="M276" s="156">
        <v>0</v>
      </c>
      <c r="N276" s="156">
        <v>0</v>
      </c>
      <c r="O276" s="156">
        <v>0</v>
      </c>
      <c r="P276" s="156">
        <v>0</v>
      </c>
      <c r="Q276" s="156">
        <v>0</v>
      </c>
      <c r="R276" s="157">
        <f t="shared" si="58"/>
        <v>0</v>
      </c>
      <c r="S276" s="158">
        <f t="shared" si="62"/>
        <v>0</v>
      </c>
      <c r="T276" s="158">
        <f t="shared" si="62"/>
        <v>0</v>
      </c>
      <c r="U276" s="158">
        <f t="shared" si="62"/>
        <v>0</v>
      </c>
      <c r="V276" s="158">
        <f t="shared" si="62"/>
        <v>0</v>
      </c>
      <c r="W276" s="158">
        <f t="shared" si="62"/>
        <v>0</v>
      </c>
      <c r="X276" s="158">
        <f t="shared" si="66"/>
        <v>0</v>
      </c>
      <c r="Y276" s="158">
        <f t="shared" si="66"/>
        <v>0</v>
      </c>
      <c r="Z276" s="158">
        <f t="shared" si="66"/>
        <v>0</v>
      </c>
      <c r="AA276" s="158">
        <f t="shared" si="65"/>
        <v>0</v>
      </c>
      <c r="AB276" s="158">
        <f t="shared" si="65"/>
        <v>0</v>
      </c>
      <c r="AC276" s="158">
        <f t="shared" si="65"/>
        <v>0</v>
      </c>
      <c r="AD276" s="158">
        <f t="shared" si="65"/>
        <v>0</v>
      </c>
      <c r="AE276" s="157">
        <f>+SUM(S276:AD276)/$AB$3</f>
        <v>0</v>
      </c>
    </row>
    <row r="277" spans="1:31" outlineLevel="2">
      <c r="A277" s="135" t="str">
        <f t="shared" si="57"/>
        <v>AmericanRolloffRECYWPROCSD</v>
      </c>
      <c r="B277" s="116" t="s">
        <v>694</v>
      </c>
      <c r="C277" s="116" t="s">
        <v>695</v>
      </c>
      <c r="D277" s="155">
        <v>0</v>
      </c>
      <c r="E277" s="155">
        <v>0</v>
      </c>
      <c r="F277" s="156">
        <v>0</v>
      </c>
      <c r="G277" s="156">
        <v>0</v>
      </c>
      <c r="H277" s="156">
        <v>0</v>
      </c>
      <c r="I277" s="156">
        <v>0</v>
      </c>
      <c r="J277" s="156">
        <v>0</v>
      </c>
      <c r="K277" s="156">
        <v>0</v>
      </c>
      <c r="L277" s="156">
        <v>0</v>
      </c>
      <c r="M277" s="156">
        <v>0</v>
      </c>
      <c r="N277" s="156">
        <v>0</v>
      </c>
      <c r="O277" s="156">
        <v>0</v>
      </c>
      <c r="P277" s="156">
        <v>0</v>
      </c>
      <c r="Q277" s="156">
        <v>0</v>
      </c>
      <c r="R277" s="157">
        <f t="shared" si="58"/>
        <v>0</v>
      </c>
      <c r="S277" s="158">
        <f t="shared" si="62"/>
        <v>0</v>
      </c>
      <c r="T277" s="158">
        <f t="shared" si="62"/>
        <v>0</v>
      </c>
      <c r="U277" s="158">
        <f t="shared" si="62"/>
        <v>0</v>
      </c>
      <c r="V277" s="158">
        <f t="shared" si="62"/>
        <v>0</v>
      </c>
      <c r="W277" s="158">
        <f t="shared" si="62"/>
        <v>0</v>
      </c>
      <c r="X277" s="158">
        <f t="shared" si="66"/>
        <v>0</v>
      </c>
      <c r="Y277" s="158">
        <f t="shared" si="66"/>
        <v>0</v>
      </c>
      <c r="Z277" s="158">
        <f t="shared" si="66"/>
        <v>0</v>
      </c>
      <c r="AA277" s="158">
        <f t="shared" si="65"/>
        <v>0</v>
      </c>
      <c r="AB277" s="158">
        <f t="shared" si="65"/>
        <v>0</v>
      </c>
      <c r="AC277" s="158">
        <f t="shared" si="65"/>
        <v>0</v>
      </c>
      <c r="AD277" s="158">
        <f t="shared" si="65"/>
        <v>0</v>
      </c>
      <c r="AE277" s="157">
        <f t="shared" si="64"/>
        <v>0</v>
      </c>
    </row>
    <row r="278" spans="1:31" outlineLevel="2">
      <c r="A278" s="135" t="str">
        <f t="shared" si="57"/>
        <v>AmericanRolloffRORHAULHR12</v>
      </c>
      <c r="B278" s="116" t="s">
        <v>696</v>
      </c>
      <c r="C278" s="116" t="s">
        <v>697</v>
      </c>
      <c r="D278" s="155">
        <v>0</v>
      </c>
      <c r="E278" s="155">
        <v>0</v>
      </c>
      <c r="F278" s="156">
        <v>0</v>
      </c>
      <c r="G278" s="156">
        <v>0</v>
      </c>
      <c r="H278" s="156">
        <v>0</v>
      </c>
      <c r="I278" s="156">
        <v>0</v>
      </c>
      <c r="J278" s="156">
        <v>0</v>
      </c>
      <c r="K278" s="156">
        <v>0</v>
      </c>
      <c r="L278" s="156">
        <v>0</v>
      </c>
      <c r="M278" s="156">
        <v>0</v>
      </c>
      <c r="N278" s="156">
        <v>0</v>
      </c>
      <c r="O278" s="156">
        <v>0</v>
      </c>
      <c r="P278" s="156">
        <v>0</v>
      </c>
      <c r="Q278" s="156">
        <v>0</v>
      </c>
      <c r="R278" s="157">
        <f t="shared" si="58"/>
        <v>0</v>
      </c>
      <c r="S278" s="158">
        <f t="shared" si="62"/>
        <v>0</v>
      </c>
      <c r="T278" s="158">
        <f t="shared" si="62"/>
        <v>0</v>
      </c>
      <c r="U278" s="158">
        <f t="shared" si="62"/>
        <v>0</v>
      </c>
      <c r="V278" s="158">
        <f t="shared" si="62"/>
        <v>0</v>
      </c>
      <c r="W278" s="158">
        <f t="shared" si="62"/>
        <v>0</v>
      </c>
      <c r="X278" s="158">
        <f t="shared" si="66"/>
        <v>0</v>
      </c>
      <c r="Y278" s="158">
        <f t="shared" si="66"/>
        <v>0</v>
      </c>
      <c r="Z278" s="158">
        <f t="shared" si="66"/>
        <v>0</v>
      </c>
      <c r="AA278" s="158">
        <f t="shared" si="65"/>
        <v>0</v>
      </c>
      <c r="AB278" s="158">
        <f t="shared" si="65"/>
        <v>0</v>
      </c>
      <c r="AC278" s="158">
        <f t="shared" si="65"/>
        <v>0</v>
      </c>
      <c r="AD278" s="158">
        <f t="shared" si="65"/>
        <v>0</v>
      </c>
      <c r="AE278" s="157">
        <f t="shared" si="64"/>
        <v>0</v>
      </c>
    </row>
    <row r="279" spans="1:31" outlineLevel="2">
      <c r="A279" s="135" t="str">
        <f t="shared" si="57"/>
        <v>AmericanRolloffRORHAULHR15</v>
      </c>
      <c r="B279" s="116" t="s">
        <v>698</v>
      </c>
      <c r="C279" s="116" t="s">
        <v>699</v>
      </c>
      <c r="D279" s="155">
        <v>0</v>
      </c>
      <c r="E279" s="155">
        <v>0</v>
      </c>
      <c r="F279" s="156">
        <v>0</v>
      </c>
      <c r="G279" s="156">
        <v>0</v>
      </c>
      <c r="H279" s="156">
        <v>0</v>
      </c>
      <c r="I279" s="156">
        <v>0</v>
      </c>
      <c r="J279" s="156">
        <v>0</v>
      </c>
      <c r="K279" s="156">
        <v>0</v>
      </c>
      <c r="L279" s="156">
        <v>0</v>
      </c>
      <c r="M279" s="156">
        <v>0</v>
      </c>
      <c r="N279" s="156">
        <v>0</v>
      </c>
      <c r="O279" s="156">
        <v>0</v>
      </c>
      <c r="P279" s="156">
        <v>0</v>
      </c>
      <c r="Q279" s="156">
        <v>0</v>
      </c>
      <c r="R279" s="157">
        <f t="shared" si="58"/>
        <v>0</v>
      </c>
      <c r="S279" s="158">
        <f t="shared" si="62"/>
        <v>0</v>
      </c>
      <c r="T279" s="158">
        <f t="shared" si="62"/>
        <v>0</v>
      </c>
      <c r="U279" s="158">
        <f t="shared" si="62"/>
        <v>0</v>
      </c>
      <c r="V279" s="158">
        <f t="shared" si="62"/>
        <v>0</v>
      </c>
      <c r="W279" s="158">
        <f t="shared" si="62"/>
        <v>0</v>
      </c>
      <c r="X279" s="158">
        <f t="shared" si="66"/>
        <v>0</v>
      </c>
      <c r="Y279" s="158">
        <f t="shared" si="66"/>
        <v>0</v>
      </c>
      <c r="Z279" s="158">
        <f t="shared" si="66"/>
        <v>0</v>
      </c>
      <c r="AA279" s="158">
        <f t="shared" si="65"/>
        <v>0</v>
      </c>
      <c r="AB279" s="158">
        <f t="shared" si="65"/>
        <v>0</v>
      </c>
      <c r="AC279" s="158">
        <f t="shared" si="65"/>
        <v>0</v>
      </c>
      <c r="AD279" s="158">
        <f t="shared" si="65"/>
        <v>0</v>
      </c>
      <c r="AE279" s="157">
        <f t="shared" si="64"/>
        <v>0</v>
      </c>
    </row>
    <row r="280" spans="1:31" outlineLevel="2">
      <c r="A280" s="135" t="str">
        <f t="shared" si="57"/>
        <v>AmericanRolloffRORHAULHR20</v>
      </c>
      <c r="B280" s="116" t="s">
        <v>700</v>
      </c>
      <c r="C280" s="116" t="s">
        <v>701</v>
      </c>
      <c r="D280" s="155">
        <v>0</v>
      </c>
      <c r="E280" s="155">
        <v>0</v>
      </c>
      <c r="F280" s="156">
        <v>0</v>
      </c>
      <c r="G280" s="156">
        <v>0</v>
      </c>
      <c r="H280" s="156">
        <v>0</v>
      </c>
      <c r="I280" s="156">
        <v>0</v>
      </c>
      <c r="J280" s="156">
        <v>0</v>
      </c>
      <c r="K280" s="156">
        <v>0</v>
      </c>
      <c r="L280" s="156">
        <v>0</v>
      </c>
      <c r="M280" s="156">
        <v>0</v>
      </c>
      <c r="N280" s="156">
        <v>0</v>
      </c>
      <c r="O280" s="156">
        <v>0</v>
      </c>
      <c r="P280" s="156">
        <v>0</v>
      </c>
      <c r="Q280" s="156">
        <v>0</v>
      </c>
      <c r="R280" s="157">
        <f t="shared" si="58"/>
        <v>0</v>
      </c>
      <c r="S280" s="158">
        <f t="shared" si="62"/>
        <v>0</v>
      </c>
      <c r="T280" s="158">
        <f t="shared" si="62"/>
        <v>0</v>
      </c>
      <c r="U280" s="158">
        <f t="shared" si="62"/>
        <v>0</v>
      </c>
      <c r="V280" s="158">
        <f t="shared" si="62"/>
        <v>0</v>
      </c>
      <c r="W280" s="158">
        <f t="shared" si="62"/>
        <v>0</v>
      </c>
      <c r="X280" s="158">
        <f t="shared" si="66"/>
        <v>0</v>
      </c>
      <c r="Y280" s="158">
        <f t="shared" si="66"/>
        <v>0</v>
      </c>
      <c r="Z280" s="158">
        <f t="shared" si="66"/>
        <v>0</v>
      </c>
      <c r="AA280" s="158">
        <f t="shared" si="65"/>
        <v>0</v>
      </c>
      <c r="AB280" s="158">
        <f t="shared" si="65"/>
        <v>0</v>
      </c>
      <c r="AC280" s="158">
        <f t="shared" si="65"/>
        <v>0</v>
      </c>
      <c r="AD280" s="158">
        <f t="shared" si="65"/>
        <v>0</v>
      </c>
      <c r="AE280" s="157">
        <f t="shared" si="64"/>
        <v>0</v>
      </c>
    </row>
    <row r="281" spans="1:31" outlineLevel="2">
      <c r="A281" s="135" t="str">
        <f t="shared" si="57"/>
        <v>AmericanRolloffRORHAULHR25</v>
      </c>
      <c r="B281" s="116" t="s">
        <v>702</v>
      </c>
      <c r="C281" s="116" t="s">
        <v>703</v>
      </c>
      <c r="D281" s="155">
        <v>0</v>
      </c>
      <c r="E281" s="155">
        <v>0</v>
      </c>
      <c r="F281" s="156">
        <v>0</v>
      </c>
      <c r="G281" s="156">
        <v>0</v>
      </c>
      <c r="H281" s="156">
        <v>0</v>
      </c>
      <c r="I281" s="156">
        <v>0</v>
      </c>
      <c r="J281" s="156">
        <v>0</v>
      </c>
      <c r="K281" s="156">
        <v>0</v>
      </c>
      <c r="L281" s="156">
        <v>0</v>
      </c>
      <c r="M281" s="156">
        <v>0</v>
      </c>
      <c r="N281" s="156">
        <v>0</v>
      </c>
      <c r="O281" s="156">
        <v>0</v>
      </c>
      <c r="P281" s="156">
        <v>0</v>
      </c>
      <c r="Q281" s="156">
        <v>0</v>
      </c>
      <c r="R281" s="157">
        <f t="shared" si="58"/>
        <v>0</v>
      </c>
      <c r="S281" s="158">
        <f t="shared" si="62"/>
        <v>0</v>
      </c>
      <c r="T281" s="158">
        <f t="shared" si="62"/>
        <v>0</v>
      </c>
      <c r="U281" s="158">
        <f t="shared" si="62"/>
        <v>0</v>
      </c>
      <c r="V281" s="158">
        <f t="shared" si="62"/>
        <v>0</v>
      </c>
      <c r="W281" s="158">
        <f t="shared" si="62"/>
        <v>0</v>
      </c>
      <c r="X281" s="158">
        <f t="shared" si="66"/>
        <v>0</v>
      </c>
      <c r="Y281" s="158">
        <f t="shared" si="66"/>
        <v>0</v>
      </c>
      <c r="Z281" s="158">
        <f t="shared" si="66"/>
        <v>0</v>
      </c>
      <c r="AA281" s="158">
        <f t="shared" si="65"/>
        <v>0</v>
      </c>
      <c r="AB281" s="158">
        <f t="shared" si="65"/>
        <v>0</v>
      </c>
      <c r="AC281" s="158">
        <f t="shared" si="65"/>
        <v>0</v>
      </c>
      <c r="AD281" s="158">
        <f t="shared" si="65"/>
        <v>0</v>
      </c>
      <c r="AE281" s="157">
        <f t="shared" si="64"/>
        <v>0</v>
      </c>
    </row>
    <row r="282" spans="1:31" outlineLevel="2">
      <c r="A282" s="135" t="str">
        <f t="shared" si="57"/>
        <v>AmericanRolloffRORHAULHR30</v>
      </c>
      <c r="B282" s="116" t="s">
        <v>704</v>
      </c>
      <c r="C282" s="116" t="s">
        <v>705</v>
      </c>
      <c r="D282" s="155">
        <v>0</v>
      </c>
      <c r="E282" s="155">
        <v>0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56">
        <v>0</v>
      </c>
      <c r="Q282" s="156">
        <v>0</v>
      </c>
      <c r="R282" s="157">
        <f t="shared" si="58"/>
        <v>0</v>
      </c>
      <c r="S282" s="158">
        <f t="shared" si="62"/>
        <v>0</v>
      </c>
      <c r="T282" s="158">
        <f t="shared" si="62"/>
        <v>0</v>
      </c>
      <c r="U282" s="158">
        <f t="shared" si="62"/>
        <v>0</v>
      </c>
      <c r="V282" s="158">
        <f t="shared" si="62"/>
        <v>0</v>
      </c>
      <c r="W282" s="158">
        <f t="shared" si="62"/>
        <v>0</v>
      </c>
      <c r="X282" s="158">
        <f t="shared" si="66"/>
        <v>0</v>
      </c>
      <c r="Y282" s="158">
        <f t="shared" si="66"/>
        <v>0</v>
      </c>
      <c r="Z282" s="158">
        <f t="shared" si="66"/>
        <v>0</v>
      </c>
      <c r="AA282" s="158">
        <f t="shared" si="65"/>
        <v>0</v>
      </c>
      <c r="AB282" s="158">
        <f t="shared" si="65"/>
        <v>0</v>
      </c>
      <c r="AC282" s="158">
        <f t="shared" si="65"/>
        <v>0</v>
      </c>
      <c r="AD282" s="158">
        <f t="shared" si="65"/>
        <v>0</v>
      </c>
      <c r="AE282" s="157">
        <f t="shared" si="64"/>
        <v>0</v>
      </c>
    </row>
    <row r="283" spans="1:31" outlineLevel="2">
      <c r="A283" s="135" t="str">
        <f t="shared" si="57"/>
        <v>AmericanRolloffRORHAULHR40</v>
      </c>
      <c r="B283" s="116" t="s">
        <v>706</v>
      </c>
      <c r="C283" s="116" t="s">
        <v>707</v>
      </c>
      <c r="D283" s="155">
        <v>0</v>
      </c>
      <c r="E283" s="155">
        <v>0</v>
      </c>
      <c r="F283" s="156">
        <v>0</v>
      </c>
      <c r="G283" s="156">
        <v>0</v>
      </c>
      <c r="H283" s="156">
        <v>0</v>
      </c>
      <c r="I283" s="156">
        <v>0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56">
        <v>0</v>
      </c>
      <c r="Q283" s="156">
        <v>0</v>
      </c>
      <c r="R283" s="157">
        <f t="shared" si="58"/>
        <v>0</v>
      </c>
      <c r="S283" s="158">
        <f t="shared" si="62"/>
        <v>0</v>
      </c>
      <c r="T283" s="158">
        <f t="shared" si="62"/>
        <v>0</v>
      </c>
      <c r="U283" s="158">
        <f t="shared" si="62"/>
        <v>0</v>
      </c>
      <c r="V283" s="158">
        <f t="shared" si="62"/>
        <v>0</v>
      </c>
      <c r="W283" s="158">
        <f t="shared" si="62"/>
        <v>0</v>
      </c>
      <c r="X283" s="158">
        <f t="shared" si="66"/>
        <v>0</v>
      </c>
      <c r="Y283" s="158">
        <f t="shared" si="66"/>
        <v>0</v>
      </c>
      <c r="Z283" s="158">
        <f t="shared" si="66"/>
        <v>0</v>
      </c>
      <c r="AA283" s="158">
        <f t="shared" si="65"/>
        <v>0</v>
      </c>
      <c r="AB283" s="158">
        <f t="shared" si="65"/>
        <v>0</v>
      </c>
      <c r="AC283" s="158">
        <f t="shared" si="65"/>
        <v>0</v>
      </c>
      <c r="AD283" s="158">
        <f t="shared" si="65"/>
        <v>0</v>
      </c>
      <c r="AE283" s="157">
        <f t="shared" si="64"/>
        <v>0</v>
      </c>
    </row>
    <row r="284" spans="1:31" outlineLevel="2">
      <c r="A284" s="135" t="str">
        <f t="shared" si="57"/>
        <v>AmericanRolloffRORHAULHR50</v>
      </c>
      <c r="B284" s="116" t="s">
        <v>708</v>
      </c>
      <c r="C284" s="116" t="s">
        <v>709</v>
      </c>
      <c r="D284" s="155">
        <v>0</v>
      </c>
      <c r="E284" s="155">
        <v>0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0</v>
      </c>
      <c r="M284" s="156">
        <v>0</v>
      </c>
      <c r="N284" s="156">
        <v>0</v>
      </c>
      <c r="O284" s="156">
        <v>0</v>
      </c>
      <c r="P284" s="156">
        <v>0</v>
      </c>
      <c r="Q284" s="156">
        <v>0</v>
      </c>
      <c r="R284" s="157">
        <f t="shared" si="58"/>
        <v>0</v>
      </c>
      <c r="S284" s="158">
        <f t="shared" si="62"/>
        <v>0</v>
      </c>
      <c r="T284" s="158">
        <f t="shared" si="62"/>
        <v>0</v>
      </c>
      <c r="U284" s="158">
        <f t="shared" si="62"/>
        <v>0</v>
      </c>
      <c r="V284" s="158">
        <f t="shared" si="62"/>
        <v>0</v>
      </c>
      <c r="W284" s="158">
        <f t="shared" si="62"/>
        <v>0</v>
      </c>
      <c r="X284" s="158">
        <f t="shared" si="66"/>
        <v>0</v>
      </c>
      <c r="Y284" s="158">
        <f t="shared" si="66"/>
        <v>0</v>
      </c>
      <c r="Z284" s="158">
        <f t="shared" si="66"/>
        <v>0</v>
      </c>
      <c r="AA284" s="158">
        <f t="shared" si="65"/>
        <v>0</v>
      </c>
      <c r="AB284" s="158">
        <f t="shared" si="65"/>
        <v>0</v>
      </c>
      <c r="AC284" s="158">
        <f t="shared" si="65"/>
        <v>0</v>
      </c>
      <c r="AD284" s="158">
        <f t="shared" si="65"/>
        <v>0</v>
      </c>
      <c r="AE284" s="157">
        <f t="shared" si="64"/>
        <v>0</v>
      </c>
    </row>
    <row r="285" spans="1:31" outlineLevel="2">
      <c r="A285" s="135" t="str">
        <f t="shared" ref="A285:A299" si="67">+$A$5&amp;$A$220&amp;B285</f>
        <v>AmericanRolloffRORHAULHRTL</v>
      </c>
      <c r="B285" s="116" t="s">
        <v>710</v>
      </c>
      <c r="C285" s="116" t="s">
        <v>711</v>
      </c>
      <c r="D285" s="155">
        <v>0</v>
      </c>
      <c r="E285" s="155">
        <v>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0</v>
      </c>
      <c r="M285" s="156">
        <v>0</v>
      </c>
      <c r="N285" s="156">
        <v>0</v>
      </c>
      <c r="O285" s="156">
        <v>0</v>
      </c>
      <c r="P285" s="156">
        <v>0</v>
      </c>
      <c r="Q285" s="156">
        <v>0</v>
      </c>
      <c r="R285" s="157">
        <f t="shared" ref="R285:R301" si="68">SUM(F285:Q285)</f>
        <v>0</v>
      </c>
      <c r="S285" s="158">
        <f t="shared" si="62"/>
        <v>0</v>
      </c>
      <c r="T285" s="158">
        <f t="shared" si="62"/>
        <v>0</v>
      </c>
      <c r="U285" s="158">
        <f t="shared" si="62"/>
        <v>0</v>
      </c>
      <c r="V285" s="158">
        <f t="shared" si="62"/>
        <v>0</v>
      </c>
      <c r="W285" s="158">
        <f t="shared" si="62"/>
        <v>0</v>
      </c>
      <c r="X285" s="158">
        <f t="shared" si="66"/>
        <v>0</v>
      </c>
      <c r="Y285" s="158">
        <f t="shared" si="66"/>
        <v>0</v>
      </c>
      <c r="Z285" s="158">
        <f t="shared" si="66"/>
        <v>0</v>
      </c>
      <c r="AA285" s="158">
        <f t="shared" si="65"/>
        <v>0</v>
      </c>
      <c r="AB285" s="158">
        <f t="shared" si="65"/>
        <v>0</v>
      </c>
      <c r="AC285" s="158">
        <f t="shared" si="65"/>
        <v>0</v>
      </c>
      <c r="AD285" s="158">
        <f t="shared" si="65"/>
        <v>0</v>
      </c>
      <c r="AE285" s="157">
        <f t="shared" si="64"/>
        <v>0</v>
      </c>
    </row>
    <row r="286" spans="1:31" outlineLevel="2">
      <c r="A286" s="135" t="str">
        <f t="shared" si="67"/>
        <v>AmericanRolloffROSPC</v>
      </c>
      <c r="B286" s="116" t="s">
        <v>712</v>
      </c>
      <c r="C286" s="116" t="s">
        <v>713</v>
      </c>
      <c r="D286" s="155">
        <v>0</v>
      </c>
      <c r="E286" s="155">
        <v>0</v>
      </c>
      <c r="F286" s="156">
        <v>47.89</v>
      </c>
      <c r="G286" s="156">
        <v>95.78</v>
      </c>
      <c r="H286" s="156">
        <v>95.78</v>
      </c>
      <c r="I286" s="156">
        <v>95.78</v>
      </c>
      <c r="J286" s="156">
        <v>47.89</v>
      </c>
      <c r="K286" s="156">
        <v>95.78</v>
      </c>
      <c r="L286" s="156">
        <v>47.89</v>
      </c>
      <c r="M286" s="156">
        <v>47.89</v>
      </c>
      <c r="N286" s="156">
        <v>47.89</v>
      </c>
      <c r="O286" s="156">
        <v>95.78</v>
      </c>
      <c r="P286" s="156">
        <v>47.89</v>
      </c>
      <c r="Q286" s="156">
        <v>47.89</v>
      </c>
      <c r="R286" s="157">
        <f t="shared" si="68"/>
        <v>814.12999999999988</v>
      </c>
      <c r="S286" s="158">
        <f t="shared" si="62"/>
        <v>0</v>
      </c>
      <c r="T286" s="158">
        <f t="shared" si="62"/>
        <v>0</v>
      </c>
      <c r="U286" s="158">
        <f t="shared" si="62"/>
        <v>0</v>
      </c>
      <c r="V286" s="158">
        <f t="shared" si="62"/>
        <v>0</v>
      </c>
      <c r="W286" s="158">
        <f t="shared" si="62"/>
        <v>0</v>
      </c>
      <c r="X286" s="158">
        <f t="shared" si="66"/>
        <v>0</v>
      </c>
      <c r="Y286" s="158">
        <f t="shared" si="66"/>
        <v>0</v>
      </c>
      <c r="Z286" s="158">
        <f t="shared" si="66"/>
        <v>0</v>
      </c>
      <c r="AA286" s="158">
        <f t="shared" si="65"/>
        <v>0</v>
      </c>
      <c r="AB286" s="158">
        <f t="shared" si="65"/>
        <v>0</v>
      </c>
      <c r="AC286" s="158">
        <f t="shared" si="65"/>
        <v>0</v>
      </c>
      <c r="AD286" s="158">
        <f t="shared" si="65"/>
        <v>0</v>
      </c>
      <c r="AE286" s="157">
        <f t="shared" si="64"/>
        <v>0</v>
      </c>
    </row>
    <row r="287" spans="1:31" outlineLevel="2">
      <c r="A287" s="135" t="str">
        <f t="shared" si="67"/>
        <v>AmericanRolloffROTA</v>
      </c>
      <c r="B287" s="116" t="s">
        <v>714</v>
      </c>
      <c r="C287" s="116" t="s">
        <v>715</v>
      </c>
      <c r="D287" s="155">
        <v>20.16</v>
      </c>
      <c r="E287" s="155">
        <v>20.16</v>
      </c>
      <c r="F287" s="156">
        <v>1068.48</v>
      </c>
      <c r="G287" s="156">
        <v>1068.48</v>
      </c>
      <c r="H287" s="156">
        <v>927.36</v>
      </c>
      <c r="I287" s="156">
        <v>1128.96</v>
      </c>
      <c r="J287" s="156">
        <v>967.68</v>
      </c>
      <c r="K287" s="156">
        <v>1152.79</v>
      </c>
      <c r="L287" s="156">
        <v>1149.1199999999999</v>
      </c>
      <c r="M287" s="156">
        <v>1189.44</v>
      </c>
      <c r="N287" s="156">
        <v>1048.32</v>
      </c>
      <c r="O287" s="156">
        <v>887.04</v>
      </c>
      <c r="P287" s="156">
        <v>1008</v>
      </c>
      <c r="Q287" s="156">
        <v>1028.1600000000001</v>
      </c>
      <c r="R287" s="157">
        <f t="shared" si="68"/>
        <v>12623.830000000002</v>
      </c>
      <c r="S287" s="158">
        <f t="shared" si="62"/>
        <v>53</v>
      </c>
      <c r="T287" s="158">
        <f t="shared" si="62"/>
        <v>53</v>
      </c>
      <c r="U287" s="158">
        <f t="shared" si="62"/>
        <v>46</v>
      </c>
      <c r="V287" s="158">
        <f t="shared" si="62"/>
        <v>56</v>
      </c>
      <c r="W287" s="158">
        <f t="shared" si="62"/>
        <v>48</v>
      </c>
      <c r="X287" s="158">
        <f t="shared" si="66"/>
        <v>57.182043650793652</v>
      </c>
      <c r="Y287" s="158">
        <f t="shared" si="66"/>
        <v>56.999999999999993</v>
      </c>
      <c r="Z287" s="158">
        <f t="shared" si="66"/>
        <v>59</v>
      </c>
      <c r="AA287" s="158">
        <f t="shared" si="65"/>
        <v>52</v>
      </c>
      <c r="AB287" s="158">
        <f t="shared" si="65"/>
        <v>44</v>
      </c>
      <c r="AC287" s="158">
        <f t="shared" si="65"/>
        <v>50</v>
      </c>
      <c r="AD287" s="158">
        <f t="shared" si="65"/>
        <v>51.000000000000007</v>
      </c>
      <c r="AE287" s="157">
        <f t="shared" si="64"/>
        <v>626.18204365079373</v>
      </c>
    </row>
    <row r="288" spans="1:31" outlineLevel="2">
      <c r="A288" s="135" t="str">
        <f t="shared" si="67"/>
        <v>AmericanRolloffROWAIT</v>
      </c>
      <c r="B288" s="116" t="s">
        <v>716</v>
      </c>
      <c r="C288" s="116" t="s">
        <v>717</v>
      </c>
      <c r="D288" s="155">
        <v>86.71</v>
      </c>
      <c r="E288" s="155">
        <v>86.71</v>
      </c>
      <c r="F288" s="156">
        <v>0</v>
      </c>
      <c r="G288" s="156">
        <v>43.36</v>
      </c>
      <c r="H288" s="156">
        <v>65.040000000000006</v>
      </c>
      <c r="I288" s="156">
        <v>65.040000000000006</v>
      </c>
      <c r="J288" s="156">
        <v>21.68</v>
      </c>
      <c r="K288" s="156">
        <v>86.72</v>
      </c>
      <c r="L288" s="156">
        <v>303.51</v>
      </c>
      <c r="M288" s="156">
        <v>108.39</v>
      </c>
      <c r="N288" s="156">
        <v>86.72</v>
      </c>
      <c r="O288" s="156">
        <v>108.4</v>
      </c>
      <c r="P288" s="156">
        <v>173.43</v>
      </c>
      <c r="Q288" s="156">
        <v>86.72</v>
      </c>
      <c r="R288" s="157">
        <f t="shared" si="68"/>
        <v>1149.01</v>
      </c>
      <c r="S288" s="158">
        <f t="shared" ref="S288:W299" si="69">+IFERROR(F288/$D288,0)</f>
        <v>0</v>
      </c>
      <c r="T288" s="158">
        <f t="shared" si="69"/>
        <v>0.50005766347595437</v>
      </c>
      <c r="U288" s="158">
        <f t="shared" si="69"/>
        <v>0.75008649521393167</v>
      </c>
      <c r="V288" s="158">
        <f t="shared" si="69"/>
        <v>0.75008649521393167</v>
      </c>
      <c r="W288" s="158">
        <f t="shared" si="69"/>
        <v>0.25002883173797719</v>
      </c>
      <c r="X288" s="158">
        <f t="shared" si="66"/>
        <v>1.0001153269519087</v>
      </c>
      <c r="Y288" s="158">
        <f t="shared" si="66"/>
        <v>3.5002883173797716</v>
      </c>
      <c r="Z288" s="158">
        <f t="shared" si="66"/>
        <v>1.2500288317379773</v>
      </c>
      <c r="AA288" s="158">
        <f t="shared" si="65"/>
        <v>1.0001153269519087</v>
      </c>
      <c r="AB288" s="158">
        <f t="shared" si="65"/>
        <v>1.250144158689886</v>
      </c>
      <c r="AC288" s="158">
        <f t="shared" si="65"/>
        <v>2.0001153269519087</v>
      </c>
      <c r="AD288" s="158">
        <f t="shared" si="65"/>
        <v>1.0001153269519087</v>
      </c>
      <c r="AE288" s="157">
        <f t="shared" si="64"/>
        <v>13.251182101257063</v>
      </c>
    </row>
    <row r="289" spans="1:31" outlineLevel="2">
      <c r="A289" s="135" t="str">
        <f t="shared" si="67"/>
        <v>AmericanRolloffRTRIP-RO</v>
      </c>
      <c r="B289" s="116" t="s">
        <v>718</v>
      </c>
      <c r="C289" s="116" t="s">
        <v>719</v>
      </c>
      <c r="D289" s="155">
        <v>89.73</v>
      </c>
      <c r="E289" s="155">
        <v>89.73</v>
      </c>
      <c r="F289" s="156">
        <v>0</v>
      </c>
      <c r="G289" s="156">
        <v>0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0</v>
      </c>
      <c r="O289" s="156">
        <v>0</v>
      </c>
      <c r="P289" s="156">
        <v>0</v>
      </c>
      <c r="Q289" s="156">
        <v>0</v>
      </c>
      <c r="R289" s="157">
        <f t="shared" si="68"/>
        <v>0</v>
      </c>
      <c r="S289" s="158">
        <f t="shared" si="69"/>
        <v>0</v>
      </c>
      <c r="T289" s="158">
        <f t="shared" si="69"/>
        <v>0</v>
      </c>
      <c r="U289" s="158">
        <f t="shared" si="69"/>
        <v>0</v>
      </c>
      <c r="V289" s="158">
        <f t="shared" si="69"/>
        <v>0</v>
      </c>
      <c r="W289" s="158">
        <f t="shared" si="69"/>
        <v>0</v>
      </c>
      <c r="X289" s="158">
        <f t="shared" si="66"/>
        <v>0</v>
      </c>
      <c r="Y289" s="158">
        <f t="shared" si="66"/>
        <v>0</v>
      </c>
      <c r="Z289" s="158">
        <f t="shared" si="66"/>
        <v>0</v>
      </c>
      <c r="AA289" s="158">
        <f t="shared" si="65"/>
        <v>0</v>
      </c>
      <c r="AB289" s="158">
        <f t="shared" si="65"/>
        <v>0</v>
      </c>
      <c r="AC289" s="158">
        <f t="shared" si="65"/>
        <v>0</v>
      </c>
      <c r="AD289" s="158">
        <f t="shared" si="65"/>
        <v>0</v>
      </c>
      <c r="AE289" s="157">
        <f t="shared" si="64"/>
        <v>0</v>
      </c>
    </row>
    <row r="290" spans="1:31" outlineLevel="2">
      <c r="A290" s="135" t="str">
        <f t="shared" si="67"/>
        <v>AmericanRolloffTHOUR</v>
      </c>
      <c r="B290" s="116" t="s">
        <v>720</v>
      </c>
      <c r="C290" s="116" t="s">
        <v>721</v>
      </c>
      <c r="D290" s="155">
        <v>0</v>
      </c>
      <c r="E290" s="155">
        <v>0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56">
        <v>0</v>
      </c>
      <c r="Q290" s="156">
        <v>0</v>
      </c>
      <c r="R290" s="157">
        <f t="shared" si="68"/>
        <v>0</v>
      </c>
      <c r="S290" s="158">
        <f t="shared" si="69"/>
        <v>0</v>
      </c>
      <c r="T290" s="158">
        <f t="shared" si="69"/>
        <v>0</v>
      </c>
      <c r="U290" s="158">
        <f t="shared" si="69"/>
        <v>0</v>
      </c>
      <c r="V290" s="158">
        <f t="shared" si="69"/>
        <v>0</v>
      </c>
      <c r="W290" s="158">
        <f t="shared" si="69"/>
        <v>0</v>
      </c>
      <c r="X290" s="158">
        <f t="shared" si="66"/>
        <v>0</v>
      </c>
      <c r="Y290" s="158">
        <f t="shared" si="66"/>
        <v>0</v>
      </c>
      <c r="Z290" s="158">
        <f t="shared" si="66"/>
        <v>0</v>
      </c>
      <c r="AA290" s="158">
        <f t="shared" si="65"/>
        <v>0</v>
      </c>
      <c r="AB290" s="158">
        <f t="shared" si="65"/>
        <v>0</v>
      </c>
      <c r="AC290" s="158">
        <f t="shared" si="65"/>
        <v>0</v>
      </c>
      <c r="AD290" s="158">
        <f t="shared" si="65"/>
        <v>0</v>
      </c>
      <c r="AE290" s="157">
        <f t="shared" si="64"/>
        <v>0</v>
      </c>
    </row>
    <row r="291" spans="1:31" outlineLevel="2">
      <c r="A291" s="135" t="str">
        <f t="shared" si="67"/>
        <v>AmericanRolloffADJRO</v>
      </c>
      <c r="B291" s="116" t="s">
        <v>722</v>
      </c>
      <c r="C291" s="116" t="s">
        <v>723</v>
      </c>
      <c r="D291" s="155">
        <v>0</v>
      </c>
      <c r="E291" s="155">
        <v>0</v>
      </c>
      <c r="F291" s="156">
        <v>0</v>
      </c>
      <c r="G291" s="156">
        <v>-10.23</v>
      </c>
      <c r="H291" s="156">
        <v>0</v>
      </c>
      <c r="I291" s="156">
        <v>0</v>
      </c>
      <c r="J291" s="156">
        <v>-14.41</v>
      </c>
      <c r="K291" s="156">
        <v>-30.69</v>
      </c>
      <c r="L291" s="156">
        <v>0</v>
      </c>
      <c r="M291" s="156">
        <v>0</v>
      </c>
      <c r="N291" s="156">
        <v>0</v>
      </c>
      <c r="O291" s="156">
        <v>0</v>
      </c>
      <c r="P291" s="156">
        <v>0</v>
      </c>
      <c r="Q291" s="156">
        <v>0</v>
      </c>
      <c r="R291" s="157">
        <f t="shared" si="68"/>
        <v>-55.33</v>
      </c>
      <c r="S291" s="158">
        <f t="shared" si="69"/>
        <v>0</v>
      </c>
      <c r="T291" s="158">
        <f t="shared" si="69"/>
        <v>0</v>
      </c>
      <c r="U291" s="158">
        <f t="shared" si="69"/>
        <v>0</v>
      </c>
      <c r="V291" s="158">
        <f t="shared" si="69"/>
        <v>0</v>
      </c>
      <c r="W291" s="158">
        <f t="shared" si="69"/>
        <v>0</v>
      </c>
      <c r="X291" s="158">
        <f t="shared" si="66"/>
        <v>0</v>
      </c>
      <c r="Y291" s="158">
        <f t="shared" si="66"/>
        <v>0</v>
      </c>
      <c r="Z291" s="158">
        <f t="shared" si="66"/>
        <v>0</v>
      </c>
      <c r="AA291" s="158">
        <f t="shared" si="65"/>
        <v>0</v>
      </c>
      <c r="AB291" s="158">
        <f t="shared" si="65"/>
        <v>0</v>
      </c>
      <c r="AC291" s="158">
        <f t="shared" si="65"/>
        <v>0</v>
      </c>
      <c r="AD291" s="158">
        <f t="shared" si="65"/>
        <v>0</v>
      </c>
      <c r="AE291" s="157">
        <f t="shared" si="64"/>
        <v>0</v>
      </c>
    </row>
    <row r="292" spans="1:31" outlineLevel="2">
      <c r="A292" s="135" t="str">
        <f t="shared" si="67"/>
        <v>AmericanRolloffCPCONNECT</v>
      </c>
      <c r="B292" s="116" t="s">
        <v>724</v>
      </c>
      <c r="C292" s="116" t="s">
        <v>725</v>
      </c>
      <c r="D292" s="155">
        <v>6.6</v>
      </c>
      <c r="E292" s="155">
        <v>6.6</v>
      </c>
      <c r="F292" s="156">
        <v>336.6</v>
      </c>
      <c r="G292" s="156">
        <v>336.6</v>
      </c>
      <c r="H292" s="156">
        <v>316.8</v>
      </c>
      <c r="I292" s="156">
        <v>389.4</v>
      </c>
      <c r="J292" s="156">
        <v>323.39999999999998</v>
      </c>
      <c r="K292" s="156">
        <v>343.2</v>
      </c>
      <c r="L292" s="156">
        <v>382.8</v>
      </c>
      <c r="M292" s="156">
        <v>376.2</v>
      </c>
      <c r="N292" s="156">
        <v>349.8</v>
      </c>
      <c r="O292" s="156">
        <v>376.2</v>
      </c>
      <c r="P292" s="156">
        <v>363</v>
      </c>
      <c r="Q292" s="156">
        <v>349.8</v>
      </c>
      <c r="R292" s="157">
        <f t="shared" si="68"/>
        <v>4243.8</v>
      </c>
      <c r="S292" s="158">
        <f t="shared" si="69"/>
        <v>51.000000000000007</v>
      </c>
      <c r="T292" s="158">
        <f t="shared" si="69"/>
        <v>51.000000000000007</v>
      </c>
      <c r="U292" s="158">
        <f t="shared" si="69"/>
        <v>48.000000000000007</v>
      </c>
      <c r="V292" s="158">
        <f t="shared" si="69"/>
        <v>59</v>
      </c>
      <c r="W292" s="158">
        <f t="shared" si="69"/>
        <v>49</v>
      </c>
      <c r="X292" s="158">
        <f t="shared" si="66"/>
        <v>52</v>
      </c>
      <c r="Y292" s="158">
        <f t="shared" si="66"/>
        <v>58.000000000000007</v>
      </c>
      <c r="Z292" s="158">
        <f t="shared" si="66"/>
        <v>57</v>
      </c>
      <c r="AA292" s="158">
        <f t="shared" si="65"/>
        <v>53.000000000000007</v>
      </c>
      <c r="AB292" s="158">
        <f t="shared" si="65"/>
        <v>57</v>
      </c>
      <c r="AC292" s="158">
        <f t="shared" si="65"/>
        <v>55</v>
      </c>
      <c r="AD292" s="158">
        <f t="shared" si="65"/>
        <v>53.000000000000007</v>
      </c>
      <c r="AE292" s="157">
        <f t="shared" si="64"/>
        <v>643</v>
      </c>
    </row>
    <row r="293" spans="1:31" outlineLevel="2">
      <c r="A293" s="135" t="str">
        <f t="shared" si="67"/>
        <v>AmericanRolloffDELREC-RO</v>
      </c>
      <c r="B293" s="116" t="s">
        <v>726</v>
      </c>
      <c r="C293" s="116" t="s">
        <v>727</v>
      </c>
      <c r="D293" s="155">
        <v>0</v>
      </c>
      <c r="E293" s="155">
        <v>0</v>
      </c>
      <c r="F293" s="156">
        <v>0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0</v>
      </c>
      <c r="O293" s="156">
        <v>0</v>
      </c>
      <c r="P293" s="156">
        <v>0</v>
      </c>
      <c r="Q293" s="156">
        <v>0</v>
      </c>
      <c r="R293" s="157">
        <f t="shared" si="68"/>
        <v>0</v>
      </c>
      <c r="S293" s="158">
        <f t="shared" si="69"/>
        <v>0</v>
      </c>
      <c r="T293" s="158">
        <f t="shared" si="69"/>
        <v>0</v>
      </c>
      <c r="U293" s="158">
        <f t="shared" si="69"/>
        <v>0</v>
      </c>
      <c r="V293" s="158">
        <f t="shared" si="69"/>
        <v>0</v>
      </c>
      <c r="W293" s="158">
        <f t="shared" si="69"/>
        <v>0</v>
      </c>
      <c r="X293" s="158">
        <f t="shared" si="66"/>
        <v>0</v>
      </c>
      <c r="Y293" s="158">
        <f t="shared" si="66"/>
        <v>0</v>
      </c>
      <c r="Z293" s="158">
        <f t="shared" si="66"/>
        <v>0</v>
      </c>
      <c r="AA293" s="158">
        <f t="shared" si="65"/>
        <v>0</v>
      </c>
      <c r="AB293" s="158">
        <f t="shared" si="65"/>
        <v>0</v>
      </c>
      <c r="AC293" s="158">
        <f t="shared" si="65"/>
        <v>0</v>
      </c>
      <c r="AD293" s="158">
        <f t="shared" si="65"/>
        <v>0</v>
      </c>
      <c r="AE293" s="157">
        <f t="shared" si="64"/>
        <v>0</v>
      </c>
    </row>
    <row r="294" spans="1:31" s="137" customFormat="1" outlineLevel="2">
      <c r="A294" s="135" t="str">
        <f t="shared" si="67"/>
        <v>AmericanRolloffFERRY</v>
      </c>
      <c r="B294" s="116" t="s">
        <v>728</v>
      </c>
      <c r="C294" s="116" t="s">
        <v>729</v>
      </c>
      <c r="D294" s="155">
        <v>0</v>
      </c>
      <c r="E294" s="155">
        <v>0</v>
      </c>
      <c r="F294" s="156">
        <v>0</v>
      </c>
      <c r="G294" s="156">
        <v>0</v>
      </c>
      <c r="H294" s="156">
        <v>0</v>
      </c>
      <c r="I294" s="156">
        <v>0</v>
      </c>
      <c r="J294" s="156">
        <v>0</v>
      </c>
      <c r="K294" s="156">
        <v>0</v>
      </c>
      <c r="L294" s="156">
        <v>0</v>
      </c>
      <c r="M294" s="156">
        <v>0</v>
      </c>
      <c r="N294" s="156">
        <v>0</v>
      </c>
      <c r="O294" s="156">
        <v>0</v>
      </c>
      <c r="P294" s="156">
        <v>0</v>
      </c>
      <c r="Q294" s="156">
        <v>0</v>
      </c>
      <c r="R294" s="157">
        <f t="shared" si="68"/>
        <v>0</v>
      </c>
      <c r="S294" s="158">
        <f t="shared" si="69"/>
        <v>0</v>
      </c>
      <c r="T294" s="158">
        <f t="shared" si="69"/>
        <v>0</v>
      </c>
      <c r="U294" s="158">
        <f t="shared" si="69"/>
        <v>0</v>
      </c>
      <c r="V294" s="158">
        <f t="shared" si="69"/>
        <v>0</v>
      </c>
      <c r="W294" s="158">
        <f t="shared" si="69"/>
        <v>0</v>
      </c>
      <c r="X294" s="158">
        <f t="shared" si="66"/>
        <v>0</v>
      </c>
      <c r="Y294" s="158">
        <f t="shared" si="66"/>
        <v>0</v>
      </c>
      <c r="Z294" s="158">
        <f t="shared" si="66"/>
        <v>0</v>
      </c>
      <c r="AA294" s="158">
        <f t="shared" si="65"/>
        <v>0</v>
      </c>
      <c r="AB294" s="158">
        <f t="shared" si="65"/>
        <v>0</v>
      </c>
      <c r="AC294" s="158">
        <f t="shared" si="65"/>
        <v>0</v>
      </c>
      <c r="AD294" s="158">
        <f t="shared" si="65"/>
        <v>0</v>
      </c>
      <c r="AE294" s="157">
        <f t="shared" si="64"/>
        <v>0</v>
      </c>
    </row>
    <row r="295" spans="1:31" outlineLevel="2">
      <c r="A295" s="135" t="str">
        <f t="shared" si="67"/>
        <v>AmericanRolloffRECYWPROCTRL</v>
      </c>
      <c r="B295" s="116" t="s">
        <v>730</v>
      </c>
      <c r="C295" s="116" t="s">
        <v>731</v>
      </c>
      <c r="D295" s="155">
        <v>0</v>
      </c>
      <c r="E295" s="155">
        <v>0</v>
      </c>
      <c r="F295" s="156">
        <v>0</v>
      </c>
      <c r="G295" s="156">
        <v>0</v>
      </c>
      <c r="H295" s="156">
        <v>0</v>
      </c>
      <c r="I295" s="156">
        <v>0</v>
      </c>
      <c r="J295" s="156">
        <v>0</v>
      </c>
      <c r="K295" s="156">
        <v>0</v>
      </c>
      <c r="L295" s="156">
        <v>0</v>
      </c>
      <c r="M295" s="156">
        <v>0</v>
      </c>
      <c r="N295" s="156">
        <v>0</v>
      </c>
      <c r="O295" s="156">
        <v>0</v>
      </c>
      <c r="P295" s="156">
        <v>0</v>
      </c>
      <c r="Q295" s="156">
        <v>0</v>
      </c>
      <c r="R295" s="157">
        <f t="shared" si="68"/>
        <v>0</v>
      </c>
      <c r="S295" s="158">
        <f t="shared" si="69"/>
        <v>0</v>
      </c>
      <c r="T295" s="158">
        <f t="shared" si="69"/>
        <v>0</v>
      </c>
      <c r="U295" s="158">
        <f t="shared" si="69"/>
        <v>0</v>
      </c>
      <c r="V295" s="158">
        <f t="shared" si="69"/>
        <v>0</v>
      </c>
      <c r="W295" s="158">
        <f t="shared" si="69"/>
        <v>0</v>
      </c>
      <c r="X295" s="158">
        <f t="shared" si="66"/>
        <v>0</v>
      </c>
      <c r="Y295" s="158">
        <f t="shared" si="66"/>
        <v>0</v>
      </c>
      <c r="Z295" s="158">
        <f t="shared" si="66"/>
        <v>0</v>
      </c>
      <c r="AA295" s="158">
        <f t="shared" si="65"/>
        <v>0</v>
      </c>
      <c r="AB295" s="158">
        <f t="shared" si="65"/>
        <v>0</v>
      </c>
      <c r="AC295" s="158">
        <f t="shared" si="65"/>
        <v>0</v>
      </c>
      <c r="AD295" s="158">
        <f t="shared" si="65"/>
        <v>0</v>
      </c>
      <c r="AE295" s="157">
        <f t="shared" si="64"/>
        <v>0</v>
      </c>
    </row>
    <row r="296" spans="1:31" outlineLevel="2">
      <c r="A296" s="135" t="str">
        <f t="shared" si="67"/>
        <v>AmericanRolloffROCLEAN</v>
      </c>
      <c r="B296" s="116" t="s">
        <v>732</v>
      </c>
      <c r="C296" s="116" t="s">
        <v>733</v>
      </c>
      <c r="D296" s="155">
        <v>0</v>
      </c>
      <c r="E296" s="155">
        <v>0</v>
      </c>
      <c r="F296" s="156">
        <v>0</v>
      </c>
      <c r="G296" s="156">
        <v>0</v>
      </c>
      <c r="H296" s="156">
        <v>0</v>
      </c>
      <c r="I296" s="156">
        <v>0</v>
      </c>
      <c r="J296" s="156">
        <v>0</v>
      </c>
      <c r="K296" s="156">
        <v>0</v>
      </c>
      <c r="L296" s="156">
        <v>0</v>
      </c>
      <c r="M296" s="156">
        <v>0</v>
      </c>
      <c r="N296" s="156">
        <v>0</v>
      </c>
      <c r="O296" s="156">
        <v>0</v>
      </c>
      <c r="P296" s="156">
        <v>0</v>
      </c>
      <c r="Q296" s="156">
        <v>0</v>
      </c>
      <c r="R296" s="157">
        <f t="shared" si="68"/>
        <v>0</v>
      </c>
      <c r="S296" s="158">
        <f t="shared" si="69"/>
        <v>0</v>
      </c>
      <c r="T296" s="158">
        <f t="shared" si="69"/>
        <v>0</v>
      </c>
      <c r="U296" s="158">
        <f t="shared" si="69"/>
        <v>0</v>
      </c>
      <c r="V296" s="158">
        <f t="shared" si="69"/>
        <v>0</v>
      </c>
      <c r="W296" s="158">
        <f t="shared" si="69"/>
        <v>0</v>
      </c>
      <c r="X296" s="158">
        <f t="shared" si="66"/>
        <v>0</v>
      </c>
      <c r="Y296" s="158">
        <f t="shared" si="66"/>
        <v>0</v>
      </c>
      <c r="Z296" s="158">
        <f t="shared" si="66"/>
        <v>0</v>
      </c>
      <c r="AA296" s="158">
        <f t="shared" si="65"/>
        <v>0</v>
      </c>
      <c r="AB296" s="158">
        <f t="shared" si="65"/>
        <v>0</v>
      </c>
      <c r="AC296" s="158">
        <f t="shared" si="65"/>
        <v>0</v>
      </c>
      <c r="AD296" s="158">
        <f t="shared" si="65"/>
        <v>0</v>
      </c>
      <c r="AE296" s="157">
        <f t="shared" si="64"/>
        <v>0</v>
      </c>
    </row>
    <row r="297" spans="1:31" outlineLevel="2">
      <c r="A297" s="135" t="str">
        <f t="shared" si="67"/>
        <v>AmericanRolloffRODEL</v>
      </c>
      <c r="B297" s="116" t="s">
        <v>734</v>
      </c>
      <c r="C297" s="116" t="s">
        <v>735</v>
      </c>
      <c r="D297" s="155">
        <v>89.73</v>
      </c>
      <c r="E297" s="155">
        <v>89.73</v>
      </c>
      <c r="F297" s="156">
        <v>1884.33</v>
      </c>
      <c r="G297" s="156">
        <v>717.84</v>
      </c>
      <c r="H297" s="156">
        <v>628.11</v>
      </c>
      <c r="I297" s="156">
        <v>1076.76</v>
      </c>
      <c r="J297" s="156">
        <v>987.03</v>
      </c>
      <c r="K297" s="156">
        <v>2153.52</v>
      </c>
      <c r="L297" s="156">
        <v>1794.6</v>
      </c>
      <c r="M297" s="156">
        <v>1794.6</v>
      </c>
      <c r="N297" s="156">
        <v>2153.52</v>
      </c>
      <c r="O297" s="156">
        <v>2063.79</v>
      </c>
      <c r="P297" s="156">
        <v>2063.79</v>
      </c>
      <c r="Q297" s="156">
        <v>1704.87</v>
      </c>
      <c r="R297" s="157">
        <f t="shared" si="68"/>
        <v>19022.760000000002</v>
      </c>
      <c r="S297" s="158">
        <f t="shared" si="69"/>
        <v>21</v>
      </c>
      <c r="T297" s="158">
        <f t="shared" si="69"/>
        <v>8</v>
      </c>
      <c r="U297" s="158">
        <f t="shared" si="69"/>
        <v>7</v>
      </c>
      <c r="V297" s="158">
        <f t="shared" si="69"/>
        <v>12</v>
      </c>
      <c r="W297" s="158">
        <f t="shared" si="69"/>
        <v>11</v>
      </c>
      <c r="X297" s="158">
        <f t="shared" si="66"/>
        <v>24</v>
      </c>
      <c r="Y297" s="158">
        <f t="shared" si="66"/>
        <v>19.999999999999996</v>
      </c>
      <c r="Z297" s="158">
        <f t="shared" si="66"/>
        <v>19.999999999999996</v>
      </c>
      <c r="AA297" s="158">
        <f t="shared" si="65"/>
        <v>24</v>
      </c>
      <c r="AB297" s="158">
        <f t="shared" si="65"/>
        <v>23</v>
      </c>
      <c r="AC297" s="158">
        <f t="shared" si="65"/>
        <v>23</v>
      </c>
      <c r="AD297" s="158">
        <f t="shared" si="65"/>
        <v>18.999999999999996</v>
      </c>
      <c r="AE297" s="157">
        <f t="shared" si="64"/>
        <v>212</v>
      </c>
    </row>
    <row r="298" spans="1:31" outlineLevel="2">
      <c r="A298" s="135" t="str">
        <f t="shared" si="67"/>
        <v>AmericanRolloffROMILE</v>
      </c>
      <c r="B298" s="116" t="s">
        <v>736</v>
      </c>
      <c r="C298" s="116" t="s">
        <v>737</v>
      </c>
      <c r="D298" s="155">
        <v>3.53</v>
      </c>
      <c r="E298" s="155">
        <v>3.53</v>
      </c>
      <c r="F298" s="156">
        <v>900.15</v>
      </c>
      <c r="G298" s="156">
        <v>571.86</v>
      </c>
      <c r="H298" s="156">
        <v>441.25</v>
      </c>
      <c r="I298" s="156">
        <v>684.82</v>
      </c>
      <c r="J298" s="156">
        <v>557.74</v>
      </c>
      <c r="K298" s="156">
        <v>1231.97</v>
      </c>
      <c r="L298" s="156">
        <v>896.62</v>
      </c>
      <c r="M298" s="156">
        <v>1193.1400000000001</v>
      </c>
      <c r="N298" s="156">
        <v>822.49</v>
      </c>
      <c r="O298" s="156">
        <v>998.99</v>
      </c>
      <c r="P298" s="156">
        <v>1116.8900000000001</v>
      </c>
      <c r="Q298" s="156">
        <v>792.13</v>
      </c>
      <c r="R298" s="157">
        <f t="shared" si="68"/>
        <v>10208.049999999999</v>
      </c>
      <c r="S298" s="158">
        <f t="shared" si="69"/>
        <v>255</v>
      </c>
      <c r="T298" s="158">
        <f t="shared" si="69"/>
        <v>162</v>
      </c>
      <c r="U298" s="158">
        <f t="shared" si="69"/>
        <v>125</v>
      </c>
      <c r="V298" s="158">
        <f t="shared" si="69"/>
        <v>194.00000000000003</v>
      </c>
      <c r="W298" s="158">
        <f t="shared" si="69"/>
        <v>158</v>
      </c>
      <c r="X298" s="158">
        <f t="shared" si="66"/>
        <v>349</v>
      </c>
      <c r="Y298" s="158">
        <f t="shared" si="66"/>
        <v>254.00000000000003</v>
      </c>
      <c r="Z298" s="158">
        <f t="shared" si="66"/>
        <v>338.00000000000006</v>
      </c>
      <c r="AA298" s="158">
        <f t="shared" si="65"/>
        <v>233.00000000000003</v>
      </c>
      <c r="AB298" s="158">
        <f t="shared" si="65"/>
        <v>283</v>
      </c>
      <c r="AC298" s="158">
        <f t="shared" si="65"/>
        <v>316.39943342776206</v>
      </c>
      <c r="AD298" s="158">
        <f t="shared" si="65"/>
        <v>224.39943342776206</v>
      </c>
      <c r="AE298" s="157">
        <f t="shared" si="64"/>
        <v>2891.7988668555245</v>
      </c>
    </row>
    <row r="299" spans="1:31" outlineLevel="2">
      <c r="A299" s="135" t="str">
        <f t="shared" si="67"/>
        <v>AmericanRolloffRORELOCATE</v>
      </c>
      <c r="B299" s="116" t="s">
        <v>738</v>
      </c>
      <c r="C299" s="116" t="s">
        <v>739</v>
      </c>
      <c r="D299" s="155">
        <v>0</v>
      </c>
      <c r="E299" s="155">
        <v>0</v>
      </c>
      <c r="F299" s="156">
        <v>0</v>
      </c>
      <c r="G299" s="156">
        <v>0</v>
      </c>
      <c r="H299" s="156">
        <v>0</v>
      </c>
      <c r="I299" s="156">
        <v>0</v>
      </c>
      <c r="J299" s="156">
        <v>0</v>
      </c>
      <c r="K299" s="156">
        <v>0</v>
      </c>
      <c r="L299" s="156">
        <v>0</v>
      </c>
      <c r="M299" s="156">
        <v>0</v>
      </c>
      <c r="N299" s="156">
        <v>0</v>
      </c>
      <c r="O299" s="156">
        <v>0</v>
      </c>
      <c r="P299" s="156">
        <v>0</v>
      </c>
      <c r="Q299" s="156">
        <v>0</v>
      </c>
      <c r="R299" s="157">
        <f t="shared" si="68"/>
        <v>0</v>
      </c>
      <c r="S299" s="158">
        <f t="shared" si="69"/>
        <v>0</v>
      </c>
      <c r="T299" s="158">
        <f t="shared" si="69"/>
        <v>0</v>
      </c>
      <c r="U299" s="158">
        <f t="shared" si="69"/>
        <v>0</v>
      </c>
      <c r="V299" s="158">
        <f t="shared" si="69"/>
        <v>0</v>
      </c>
      <c r="W299" s="158">
        <f t="shared" si="69"/>
        <v>0</v>
      </c>
      <c r="X299" s="158">
        <f t="shared" si="66"/>
        <v>0</v>
      </c>
      <c r="Y299" s="158">
        <f t="shared" si="66"/>
        <v>0</v>
      </c>
      <c r="Z299" s="158">
        <f t="shared" si="66"/>
        <v>0</v>
      </c>
      <c r="AA299" s="158">
        <f t="shared" si="65"/>
        <v>0</v>
      </c>
      <c r="AB299" s="158">
        <f t="shared" si="65"/>
        <v>0</v>
      </c>
      <c r="AC299" s="158">
        <f t="shared" si="65"/>
        <v>0</v>
      </c>
      <c r="AD299" s="158">
        <f t="shared" si="65"/>
        <v>0</v>
      </c>
      <c r="AE299" s="157">
        <f t="shared" si="64"/>
        <v>0</v>
      </c>
    </row>
    <row r="300" spans="1:31" outlineLevel="2">
      <c r="B300" s="116"/>
      <c r="C300" s="116"/>
      <c r="D300" s="155"/>
      <c r="E300" s="155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7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7"/>
    </row>
    <row r="301" spans="1:31" outlineLevel="1">
      <c r="B301" s="116"/>
      <c r="C301" s="159" t="s">
        <v>740</v>
      </c>
      <c r="D301" s="155"/>
      <c r="E301" s="155"/>
      <c r="F301" s="162">
        <f>SUM(F221:F300)</f>
        <v>23488.28</v>
      </c>
      <c r="G301" s="162">
        <f t="shared" ref="G301:Q301" si="70">SUM(G221:G300)</f>
        <v>18917.3</v>
      </c>
      <c r="H301" s="162">
        <f t="shared" si="70"/>
        <v>17188.54</v>
      </c>
      <c r="I301" s="162">
        <f t="shared" si="70"/>
        <v>19011.509999999998</v>
      </c>
      <c r="J301" s="162">
        <f t="shared" si="70"/>
        <v>16159.310000000001</v>
      </c>
      <c r="K301" s="162">
        <f t="shared" si="70"/>
        <v>22891.720000000005</v>
      </c>
      <c r="L301" s="162">
        <f t="shared" si="70"/>
        <v>22261.279999999995</v>
      </c>
      <c r="M301" s="162">
        <f t="shared" si="70"/>
        <v>22936.67</v>
      </c>
      <c r="N301" s="162">
        <f t="shared" si="70"/>
        <v>21484.36</v>
      </c>
      <c r="O301" s="162">
        <f t="shared" si="70"/>
        <v>23118.710000000006</v>
      </c>
      <c r="P301" s="162">
        <f t="shared" si="70"/>
        <v>24735.72</v>
      </c>
      <c r="Q301" s="162">
        <f t="shared" si="70"/>
        <v>20697.88</v>
      </c>
      <c r="R301" s="163">
        <f t="shared" si="68"/>
        <v>252891.28</v>
      </c>
      <c r="S301" s="162">
        <f>SUM(S261:S267,S241:S251)</f>
        <v>31.700031867431484</v>
      </c>
      <c r="T301" s="162">
        <f t="shared" ref="T301:AE301" si="71">SUM(T261:T267,T241:T251)</f>
        <v>29.833333333333332</v>
      </c>
      <c r="U301" s="162">
        <f t="shared" si="71"/>
        <v>27.494635967222855</v>
      </c>
      <c r="V301" s="162">
        <f t="shared" si="71"/>
        <v>26.736547827179773</v>
      </c>
      <c r="W301" s="162">
        <f t="shared" si="71"/>
        <v>25.161952539822721</v>
      </c>
      <c r="X301" s="162">
        <f t="shared" si="71"/>
        <v>30.988217189945093</v>
      </c>
      <c r="Y301" s="162">
        <f t="shared" si="71"/>
        <v>29.6</v>
      </c>
      <c r="Z301" s="162">
        <f t="shared" si="71"/>
        <v>32.487307902056543</v>
      </c>
      <c r="AA301" s="162">
        <f t="shared" si="71"/>
        <v>33.766659638726701</v>
      </c>
      <c r="AB301" s="162">
        <f t="shared" si="71"/>
        <v>36.534435182755566</v>
      </c>
      <c r="AC301" s="162">
        <f t="shared" si="71"/>
        <v>34.386081626466677</v>
      </c>
      <c r="AD301" s="162">
        <f t="shared" si="71"/>
        <v>36.700000000000003</v>
      </c>
      <c r="AE301" s="163">
        <f t="shared" si="71"/>
        <v>375.38920307494078</v>
      </c>
    </row>
    <row r="302" spans="1:31" outlineLevel="1">
      <c r="B302" s="116"/>
      <c r="C302" s="116"/>
      <c r="D302" s="155"/>
      <c r="E302" s="155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7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7"/>
    </row>
    <row r="303" spans="1:31" outlineLevel="2">
      <c r="B303" s="164" t="s">
        <v>741</v>
      </c>
      <c r="C303" s="116"/>
      <c r="D303" s="155"/>
      <c r="E303" s="155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7">
        <f t="shared" ref="R303:R308" si="72">SUM(F303:Q303)</f>
        <v>0</v>
      </c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7"/>
    </row>
    <row r="304" spans="1:31" outlineLevel="2">
      <c r="A304" s="135" t="str">
        <f>+$A$5&amp;$A$220&amp;B304</f>
        <v>AmericanRolloffDISP</v>
      </c>
      <c r="B304" s="116" t="s">
        <v>742</v>
      </c>
      <c r="C304" s="116" t="s">
        <v>743</v>
      </c>
      <c r="D304" s="155">
        <v>153.47999999999999</v>
      </c>
      <c r="E304" s="155">
        <v>157.38</v>
      </c>
      <c r="F304" s="156">
        <v>61761.96</v>
      </c>
      <c r="G304" s="156">
        <v>58804.37</v>
      </c>
      <c r="H304" s="156">
        <v>52368.92</v>
      </c>
      <c r="I304" s="156">
        <v>59261.72</v>
      </c>
      <c r="J304" s="156">
        <v>43516.22</v>
      </c>
      <c r="K304" s="156">
        <v>64550.38</v>
      </c>
      <c r="L304" s="156">
        <v>60013.8</v>
      </c>
      <c r="M304" s="156">
        <v>63657.17</v>
      </c>
      <c r="N304" s="156">
        <v>58899.519999999997</v>
      </c>
      <c r="O304" s="156">
        <v>54203.34</v>
      </c>
      <c r="P304" s="156">
        <v>66052.45</v>
      </c>
      <c r="Q304" s="156">
        <v>56929.13</v>
      </c>
      <c r="R304" s="157">
        <f t="shared" si="72"/>
        <v>700018.98</v>
      </c>
      <c r="S304" s="158">
        <f t="shared" ref="S304:W308" si="73">+IFERROR(F304/$D304,0)</f>
        <v>402.41047693510558</v>
      </c>
      <c r="T304" s="158">
        <f t="shared" si="73"/>
        <v>383.14027886369564</v>
      </c>
      <c r="U304" s="158">
        <f t="shared" si="73"/>
        <v>341.21005994266358</v>
      </c>
      <c r="V304" s="158">
        <f t="shared" si="73"/>
        <v>386.12014594735473</v>
      </c>
      <c r="W304" s="158">
        <f t="shared" si="73"/>
        <v>283.53023195204588</v>
      </c>
      <c r="X304" s="158">
        <f t="shared" ref="X304:AD308" si="74">+IFERROR(K304/$E304,0)</f>
        <v>410.15618248824501</v>
      </c>
      <c r="Y304" s="158">
        <f t="shared" si="74"/>
        <v>381.33053755242094</v>
      </c>
      <c r="Z304" s="158">
        <f t="shared" si="74"/>
        <v>404.48068369551402</v>
      </c>
      <c r="AA304" s="158">
        <f t="shared" si="74"/>
        <v>374.25034947261406</v>
      </c>
      <c r="AB304" s="158">
        <f t="shared" si="74"/>
        <v>344.41059855127713</v>
      </c>
      <c r="AC304" s="158">
        <f t="shared" si="74"/>
        <v>419.70040665904179</v>
      </c>
      <c r="AD304" s="158">
        <f t="shared" si="74"/>
        <v>361.73039776337527</v>
      </c>
      <c r="AE304" s="157">
        <f>+SUM(S304:AD304)/$AB$3</f>
        <v>4492.4703498233539</v>
      </c>
    </row>
    <row r="305" spans="1:31" outlineLevel="2">
      <c r="A305" s="135" t="str">
        <f>+$A$5&amp;$A$220&amp;B305</f>
        <v>AmericanRolloffDISP-ASB</v>
      </c>
      <c r="B305" s="116" t="s">
        <v>744</v>
      </c>
      <c r="C305" s="116" t="s">
        <v>745</v>
      </c>
      <c r="D305" s="155">
        <v>0</v>
      </c>
      <c r="E305" s="155">
        <v>0</v>
      </c>
      <c r="F305" s="156">
        <v>0</v>
      </c>
      <c r="G305" s="156">
        <v>0</v>
      </c>
      <c r="H305" s="156">
        <v>0</v>
      </c>
      <c r="I305" s="156">
        <v>0</v>
      </c>
      <c r="J305" s="156">
        <v>0</v>
      </c>
      <c r="K305" s="156">
        <v>0</v>
      </c>
      <c r="L305" s="156">
        <v>0</v>
      </c>
      <c r="M305" s="156">
        <v>0</v>
      </c>
      <c r="N305" s="156">
        <v>0</v>
      </c>
      <c r="O305" s="156">
        <v>0</v>
      </c>
      <c r="P305" s="156">
        <v>0</v>
      </c>
      <c r="Q305" s="156">
        <v>0</v>
      </c>
      <c r="R305" s="157">
        <f t="shared" si="72"/>
        <v>0</v>
      </c>
      <c r="S305" s="158">
        <f t="shared" si="73"/>
        <v>0</v>
      </c>
      <c r="T305" s="158">
        <f t="shared" si="73"/>
        <v>0</v>
      </c>
      <c r="U305" s="158">
        <f t="shared" si="73"/>
        <v>0</v>
      </c>
      <c r="V305" s="158">
        <f t="shared" si="73"/>
        <v>0</v>
      </c>
      <c r="W305" s="158">
        <f t="shared" si="73"/>
        <v>0</v>
      </c>
      <c r="X305" s="158">
        <f t="shared" si="74"/>
        <v>0</v>
      </c>
      <c r="Y305" s="158">
        <f t="shared" si="74"/>
        <v>0</v>
      </c>
      <c r="Z305" s="158">
        <f t="shared" si="74"/>
        <v>0</v>
      </c>
      <c r="AA305" s="158">
        <f t="shared" si="74"/>
        <v>0</v>
      </c>
      <c r="AB305" s="158">
        <f t="shared" si="74"/>
        <v>0</v>
      </c>
      <c r="AC305" s="158">
        <f t="shared" si="74"/>
        <v>0</v>
      </c>
      <c r="AD305" s="158">
        <f t="shared" si="74"/>
        <v>0</v>
      </c>
      <c r="AE305" s="157">
        <f>+SUM(S305:AD305)/$AB$3</f>
        <v>0</v>
      </c>
    </row>
    <row r="306" spans="1:31" outlineLevel="2">
      <c r="A306" s="135" t="str">
        <f>+$A$5&amp;$A$220&amp;B306</f>
        <v>AmericanRolloffDISP-MAN</v>
      </c>
      <c r="B306" s="116" t="s">
        <v>746</v>
      </c>
      <c r="C306" s="116" t="s">
        <v>747</v>
      </c>
      <c r="D306" s="155">
        <v>0</v>
      </c>
      <c r="E306" s="155">
        <v>0</v>
      </c>
      <c r="F306" s="156">
        <v>0</v>
      </c>
      <c r="G306" s="156">
        <v>0</v>
      </c>
      <c r="H306" s="156">
        <v>0</v>
      </c>
      <c r="I306" s="156">
        <v>0</v>
      </c>
      <c r="J306" s="156">
        <v>0</v>
      </c>
      <c r="K306" s="156">
        <v>0</v>
      </c>
      <c r="L306" s="156">
        <v>0</v>
      </c>
      <c r="M306" s="156">
        <v>0</v>
      </c>
      <c r="N306" s="156">
        <v>0</v>
      </c>
      <c r="O306" s="156">
        <v>0</v>
      </c>
      <c r="P306" s="156">
        <v>0</v>
      </c>
      <c r="Q306" s="156">
        <v>0</v>
      </c>
      <c r="R306" s="157">
        <f t="shared" si="72"/>
        <v>0</v>
      </c>
      <c r="S306" s="158">
        <f t="shared" si="73"/>
        <v>0</v>
      </c>
      <c r="T306" s="158">
        <f t="shared" si="73"/>
        <v>0</v>
      </c>
      <c r="U306" s="158">
        <f t="shared" si="73"/>
        <v>0</v>
      </c>
      <c r="V306" s="158">
        <f t="shared" si="73"/>
        <v>0</v>
      </c>
      <c r="W306" s="158">
        <f t="shared" si="73"/>
        <v>0</v>
      </c>
      <c r="X306" s="158">
        <f t="shared" si="74"/>
        <v>0</v>
      </c>
      <c r="Y306" s="158">
        <f t="shared" si="74"/>
        <v>0</v>
      </c>
      <c r="Z306" s="158">
        <f t="shared" si="74"/>
        <v>0</v>
      </c>
      <c r="AA306" s="158">
        <f t="shared" si="74"/>
        <v>0</v>
      </c>
      <c r="AB306" s="158">
        <f t="shared" si="74"/>
        <v>0</v>
      </c>
      <c r="AC306" s="158">
        <f t="shared" si="74"/>
        <v>0</v>
      </c>
      <c r="AD306" s="158">
        <f t="shared" si="74"/>
        <v>0</v>
      </c>
      <c r="AE306" s="157">
        <f>+SUM(S306:AD306)/$AB$3</f>
        <v>0</v>
      </c>
    </row>
    <row r="307" spans="1:31" outlineLevel="2">
      <c r="A307" s="135" t="str">
        <f>+$A$5&amp;$A$220&amp;B307</f>
        <v>AmericanRolloffDISP-RECY</v>
      </c>
      <c r="B307" s="116" t="s">
        <v>748</v>
      </c>
      <c r="C307" s="116" t="s">
        <v>749</v>
      </c>
      <c r="D307" s="155">
        <v>0</v>
      </c>
      <c r="E307" s="155">
        <v>0</v>
      </c>
      <c r="F307" s="156">
        <v>0</v>
      </c>
      <c r="G307" s="156">
        <v>0</v>
      </c>
      <c r="H307" s="156">
        <v>0</v>
      </c>
      <c r="I307" s="156">
        <v>0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56">
        <v>0</v>
      </c>
      <c r="Q307" s="156">
        <v>0</v>
      </c>
      <c r="R307" s="157">
        <f t="shared" si="72"/>
        <v>0</v>
      </c>
      <c r="S307" s="158">
        <f t="shared" si="73"/>
        <v>0</v>
      </c>
      <c r="T307" s="158">
        <f t="shared" si="73"/>
        <v>0</v>
      </c>
      <c r="U307" s="158">
        <f t="shared" si="73"/>
        <v>0</v>
      </c>
      <c r="V307" s="158">
        <f t="shared" si="73"/>
        <v>0</v>
      </c>
      <c r="W307" s="158">
        <f t="shared" si="73"/>
        <v>0</v>
      </c>
      <c r="X307" s="158">
        <f t="shared" si="74"/>
        <v>0</v>
      </c>
      <c r="Y307" s="158">
        <f t="shared" si="74"/>
        <v>0</v>
      </c>
      <c r="Z307" s="158">
        <f t="shared" si="74"/>
        <v>0</v>
      </c>
      <c r="AA307" s="158">
        <f t="shared" si="74"/>
        <v>0</v>
      </c>
      <c r="AB307" s="158">
        <f t="shared" si="74"/>
        <v>0</v>
      </c>
      <c r="AC307" s="158">
        <f t="shared" si="74"/>
        <v>0</v>
      </c>
      <c r="AD307" s="158">
        <f t="shared" si="74"/>
        <v>0</v>
      </c>
      <c r="AE307" s="157">
        <f>+SUM(S307:AD307)/$AB$3</f>
        <v>0</v>
      </c>
    </row>
    <row r="308" spans="1:31" outlineLevel="2">
      <c r="A308" s="135" t="str">
        <f>+$A$5&amp;$A$220&amp;B308</f>
        <v>AmericanRolloffDISP-WD</v>
      </c>
      <c r="B308" s="116" t="s">
        <v>750</v>
      </c>
      <c r="C308" s="116" t="s">
        <v>751</v>
      </c>
      <c r="D308" s="155">
        <v>19</v>
      </c>
      <c r="E308" s="155">
        <v>19</v>
      </c>
      <c r="F308" s="156">
        <v>0</v>
      </c>
      <c r="G308" s="156">
        <v>0</v>
      </c>
      <c r="H308" s="156">
        <v>0</v>
      </c>
      <c r="I308" s="156">
        <v>0</v>
      </c>
      <c r="J308" s="156">
        <v>-153.47999999999999</v>
      </c>
      <c r="K308" s="156">
        <v>0</v>
      </c>
      <c r="L308" s="156">
        <v>0</v>
      </c>
      <c r="M308" s="156">
        <v>0</v>
      </c>
      <c r="N308" s="156">
        <v>0</v>
      </c>
      <c r="O308" s="156">
        <v>115.8</v>
      </c>
      <c r="P308" s="156">
        <v>-115.8</v>
      </c>
      <c r="Q308" s="156">
        <v>0</v>
      </c>
      <c r="R308" s="157">
        <f t="shared" si="72"/>
        <v>-153.47999999999999</v>
      </c>
      <c r="S308" s="158">
        <f t="shared" si="73"/>
        <v>0</v>
      </c>
      <c r="T308" s="158">
        <f t="shared" si="73"/>
        <v>0</v>
      </c>
      <c r="U308" s="158">
        <f t="shared" si="73"/>
        <v>0</v>
      </c>
      <c r="V308" s="158">
        <f t="shared" si="73"/>
        <v>0</v>
      </c>
      <c r="W308" s="158">
        <f t="shared" si="73"/>
        <v>-8.0778947368421044</v>
      </c>
      <c r="X308" s="158">
        <f t="shared" si="74"/>
        <v>0</v>
      </c>
      <c r="Y308" s="158">
        <f t="shared" si="74"/>
        <v>0</v>
      </c>
      <c r="Z308" s="158">
        <f t="shared" si="74"/>
        <v>0</v>
      </c>
      <c r="AA308" s="158">
        <f t="shared" si="74"/>
        <v>0</v>
      </c>
      <c r="AB308" s="158">
        <f t="shared" si="74"/>
        <v>6.094736842105263</v>
      </c>
      <c r="AC308" s="158">
        <f t="shared" si="74"/>
        <v>-6.094736842105263</v>
      </c>
      <c r="AD308" s="158">
        <f t="shared" si="74"/>
        <v>0</v>
      </c>
      <c r="AE308" s="157">
        <f>+SUM(S308:AD308)/$AB$3</f>
        <v>-8.0778947368421044</v>
      </c>
    </row>
    <row r="309" spans="1:31" outlineLevel="2">
      <c r="B309" s="116"/>
      <c r="C309" s="116"/>
      <c r="D309" s="155"/>
      <c r="E309" s="155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7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7"/>
    </row>
    <row r="310" spans="1:31" outlineLevel="1">
      <c r="B310" s="116"/>
      <c r="C310" s="159" t="s">
        <v>752</v>
      </c>
      <c r="D310" s="155"/>
      <c r="E310" s="155"/>
      <c r="F310" s="162">
        <f t="shared" ref="F310:K310" si="75">SUM(F304:F309)</f>
        <v>61761.96</v>
      </c>
      <c r="G310" s="162">
        <f t="shared" si="75"/>
        <v>58804.37</v>
      </c>
      <c r="H310" s="162">
        <f t="shared" si="75"/>
        <v>52368.92</v>
      </c>
      <c r="I310" s="162">
        <f t="shared" si="75"/>
        <v>59261.72</v>
      </c>
      <c r="J310" s="162">
        <f t="shared" si="75"/>
        <v>43362.74</v>
      </c>
      <c r="K310" s="162">
        <f t="shared" si="75"/>
        <v>64550.38</v>
      </c>
      <c r="L310" s="162">
        <f t="shared" ref="L310:Q310" si="76">SUM(L304:L309)</f>
        <v>60013.8</v>
      </c>
      <c r="M310" s="162">
        <f t="shared" si="76"/>
        <v>63657.17</v>
      </c>
      <c r="N310" s="162">
        <f t="shared" si="76"/>
        <v>58899.519999999997</v>
      </c>
      <c r="O310" s="162">
        <f t="shared" si="76"/>
        <v>54319.14</v>
      </c>
      <c r="P310" s="162">
        <f t="shared" si="76"/>
        <v>65936.649999999994</v>
      </c>
      <c r="Q310" s="162">
        <f t="shared" si="76"/>
        <v>56929.13</v>
      </c>
      <c r="R310" s="163">
        <f>SUM(F310:Q310)</f>
        <v>699865.5</v>
      </c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3"/>
    </row>
    <row r="311" spans="1:31" outlineLevel="1">
      <c r="B311" s="116"/>
      <c r="D311" s="155"/>
      <c r="E311" s="155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7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7"/>
    </row>
    <row r="312" spans="1:31" outlineLevel="1">
      <c r="D312" s="155"/>
      <c r="E312" s="155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7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7"/>
    </row>
    <row r="313" spans="1:31" s="172" customFormat="1">
      <c r="B313" s="136" t="s">
        <v>753</v>
      </c>
      <c r="C313" s="136"/>
      <c r="D313" s="155"/>
      <c r="E313" s="155"/>
      <c r="F313" s="167">
        <f t="shared" ref="F313:AE313" si="77">+F301+F310</f>
        <v>85250.239999999991</v>
      </c>
      <c r="G313" s="167">
        <f t="shared" si="77"/>
        <v>77721.67</v>
      </c>
      <c r="H313" s="167">
        <f t="shared" si="77"/>
        <v>69557.459999999992</v>
      </c>
      <c r="I313" s="167">
        <f t="shared" si="77"/>
        <v>78273.23</v>
      </c>
      <c r="J313" s="167">
        <f t="shared" si="77"/>
        <v>59522.05</v>
      </c>
      <c r="K313" s="167">
        <f t="shared" si="77"/>
        <v>87442.1</v>
      </c>
      <c r="L313" s="167">
        <f t="shared" si="77"/>
        <v>82275.08</v>
      </c>
      <c r="M313" s="167">
        <f t="shared" si="77"/>
        <v>86593.84</v>
      </c>
      <c r="N313" s="167">
        <f t="shared" si="77"/>
        <v>80383.88</v>
      </c>
      <c r="O313" s="167">
        <f t="shared" si="77"/>
        <v>77437.850000000006</v>
      </c>
      <c r="P313" s="167">
        <f t="shared" si="77"/>
        <v>90672.37</v>
      </c>
      <c r="Q313" s="167">
        <f t="shared" si="77"/>
        <v>77627.009999999995</v>
      </c>
      <c r="R313" s="168">
        <f>SUM(F313:Q313)</f>
        <v>952756.77999999991</v>
      </c>
      <c r="S313" s="167">
        <f t="shared" si="77"/>
        <v>31.700031867431484</v>
      </c>
      <c r="T313" s="167">
        <f t="shared" si="77"/>
        <v>29.833333333333332</v>
      </c>
      <c r="U313" s="167">
        <f t="shared" si="77"/>
        <v>27.494635967222855</v>
      </c>
      <c r="V313" s="167">
        <f t="shared" si="77"/>
        <v>26.736547827179773</v>
      </c>
      <c r="W313" s="167">
        <f t="shared" si="77"/>
        <v>25.161952539822721</v>
      </c>
      <c r="X313" s="167">
        <f t="shared" si="77"/>
        <v>30.988217189945093</v>
      </c>
      <c r="Y313" s="167">
        <f t="shared" si="77"/>
        <v>29.6</v>
      </c>
      <c r="Z313" s="167">
        <f t="shared" si="77"/>
        <v>32.487307902056543</v>
      </c>
      <c r="AA313" s="167">
        <f t="shared" si="77"/>
        <v>33.766659638726701</v>
      </c>
      <c r="AB313" s="167">
        <f t="shared" si="77"/>
        <v>36.534435182755566</v>
      </c>
      <c r="AC313" s="167">
        <f t="shared" si="77"/>
        <v>34.386081626466677</v>
      </c>
      <c r="AD313" s="167">
        <f t="shared" si="77"/>
        <v>36.700000000000003</v>
      </c>
      <c r="AE313" s="168">
        <f t="shared" si="77"/>
        <v>375.38920307494078</v>
      </c>
    </row>
    <row r="314" spans="1:31" s="172" customFormat="1">
      <c r="B314" s="136"/>
      <c r="C314" s="136"/>
      <c r="D314" s="155"/>
      <c r="E314" s="155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7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68"/>
    </row>
    <row r="315" spans="1:31" s="172" customFormat="1">
      <c r="B315" s="136"/>
      <c r="C315" s="136"/>
      <c r="D315" s="155"/>
      <c r="E315" s="155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7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68"/>
    </row>
    <row r="316" spans="1:31" outlineLevel="1">
      <c r="B316" s="150" t="s">
        <v>754</v>
      </c>
      <c r="D316" s="155"/>
      <c r="E316" s="155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7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7"/>
    </row>
    <row r="317" spans="1:31" outlineLevel="1">
      <c r="B317" s="116" t="s">
        <v>755</v>
      </c>
      <c r="C317" s="116" t="s">
        <v>756</v>
      </c>
      <c r="D317" s="155">
        <v>0</v>
      </c>
      <c r="E317" s="155">
        <v>0</v>
      </c>
      <c r="F317" s="156">
        <v>0</v>
      </c>
      <c r="G317" s="156">
        <v>0</v>
      </c>
      <c r="H317" s="156">
        <v>0</v>
      </c>
      <c r="I317" s="156">
        <v>0</v>
      </c>
      <c r="J317" s="156">
        <v>0</v>
      </c>
      <c r="K317" s="156">
        <v>0</v>
      </c>
      <c r="L317" s="156">
        <v>0</v>
      </c>
      <c r="M317" s="156">
        <v>0</v>
      </c>
      <c r="N317" s="156">
        <v>0</v>
      </c>
      <c r="O317" s="156">
        <v>0</v>
      </c>
      <c r="P317" s="156">
        <v>0</v>
      </c>
      <c r="Q317" s="156">
        <v>0</v>
      </c>
      <c r="R317" s="157">
        <f>SUM(F317:Q317)</f>
        <v>0</v>
      </c>
      <c r="S317" s="158">
        <f t="shared" ref="S317:W319" si="78">+IFERROR(F317/$D317,0)</f>
        <v>0</v>
      </c>
      <c r="T317" s="158">
        <f t="shared" si="78"/>
        <v>0</v>
      </c>
      <c r="U317" s="158">
        <f t="shared" si="78"/>
        <v>0</v>
      </c>
      <c r="V317" s="158">
        <f t="shared" si="78"/>
        <v>0</v>
      </c>
      <c r="W317" s="158">
        <f t="shared" si="78"/>
        <v>0</v>
      </c>
      <c r="X317" s="158">
        <f t="shared" ref="X317:AD319" si="79">+IFERROR(K317/$E317,0)</f>
        <v>0</v>
      </c>
      <c r="Y317" s="158">
        <f t="shared" si="79"/>
        <v>0</v>
      </c>
      <c r="Z317" s="158">
        <f t="shared" si="79"/>
        <v>0</v>
      </c>
      <c r="AA317" s="158">
        <f t="shared" si="79"/>
        <v>0</v>
      </c>
      <c r="AB317" s="158">
        <f t="shared" si="79"/>
        <v>0</v>
      </c>
      <c r="AC317" s="158">
        <f t="shared" si="79"/>
        <v>0</v>
      </c>
      <c r="AD317" s="158">
        <f t="shared" si="79"/>
        <v>0</v>
      </c>
      <c r="AE317" s="157">
        <f>+SUM(S317:AD317)/$AB$3</f>
        <v>0</v>
      </c>
    </row>
    <row r="318" spans="1:31" outlineLevel="1">
      <c r="B318" s="116" t="s">
        <v>757</v>
      </c>
      <c r="C318" s="116" t="s">
        <v>758</v>
      </c>
      <c r="D318" s="155">
        <v>0</v>
      </c>
      <c r="E318" s="155">
        <v>0</v>
      </c>
      <c r="F318" s="156">
        <v>0</v>
      </c>
      <c r="G318" s="156">
        <v>0</v>
      </c>
      <c r="H318" s="156">
        <v>0</v>
      </c>
      <c r="I318" s="156">
        <v>0</v>
      </c>
      <c r="J318" s="156">
        <v>0</v>
      </c>
      <c r="K318" s="156">
        <v>0</v>
      </c>
      <c r="L318" s="156">
        <v>0</v>
      </c>
      <c r="M318" s="156">
        <v>0</v>
      </c>
      <c r="N318" s="156">
        <v>0</v>
      </c>
      <c r="O318" s="156">
        <v>0</v>
      </c>
      <c r="P318" s="156">
        <v>0</v>
      </c>
      <c r="Q318" s="156">
        <v>0</v>
      </c>
      <c r="R318" s="157">
        <f>SUM(F318:Q318)</f>
        <v>0</v>
      </c>
      <c r="S318" s="158">
        <f t="shared" si="78"/>
        <v>0</v>
      </c>
      <c r="T318" s="158">
        <f t="shared" si="78"/>
        <v>0</v>
      </c>
      <c r="U318" s="158">
        <f t="shared" si="78"/>
        <v>0</v>
      </c>
      <c r="V318" s="158">
        <f t="shared" si="78"/>
        <v>0</v>
      </c>
      <c r="W318" s="158">
        <f t="shared" si="78"/>
        <v>0</v>
      </c>
      <c r="X318" s="158">
        <f t="shared" si="79"/>
        <v>0</v>
      </c>
      <c r="Y318" s="158">
        <f t="shared" si="79"/>
        <v>0</v>
      </c>
      <c r="Z318" s="158">
        <f t="shared" si="79"/>
        <v>0</v>
      </c>
      <c r="AA318" s="158">
        <f t="shared" si="79"/>
        <v>0</v>
      </c>
      <c r="AB318" s="158">
        <f t="shared" si="79"/>
        <v>0</v>
      </c>
      <c r="AC318" s="158">
        <f t="shared" si="79"/>
        <v>0</v>
      </c>
      <c r="AD318" s="158">
        <f t="shared" si="79"/>
        <v>0</v>
      </c>
      <c r="AE318" s="157">
        <f>+SUM(S318:AD318)/$AB$3</f>
        <v>0</v>
      </c>
    </row>
    <row r="319" spans="1:31" outlineLevel="1">
      <c r="B319" s="116" t="s">
        <v>759</v>
      </c>
      <c r="C319" s="116" t="s">
        <v>760</v>
      </c>
      <c r="D319" s="155">
        <v>0</v>
      </c>
      <c r="E319" s="155">
        <v>0</v>
      </c>
      <c r="F319" s="156">
        <v>0</v>
      </c>
      <c r="G319" s="156">
        <v>0</v>
      </c>
      <c r="H319" s="156">
        <v>0</v>
      </c>
      <c r="I319" s="156">
        <v>0</v>
      </c>
      <c r="J319" s="156">
        <v>0</v>
      </c>
      <c r="K319" s="156">
        <v>0</v>
      </c>
      <c r="L319" s="156">
        <v>0</v>
      </c>
      <c r="M319" s="156">
        <v>0</v>
      </c>
      <c r="N319" s="156">
        <v>0</v>
      </c>
      <c r="O319" s="156">
        <v>0</v>
      </c>
      <c r="P319" s="156">
        <v>0</v>
      </c>
      <c r="Q319" s="156">
        <v>0</v>
      </c>
      <c r="R319" s="157">
        <f>SUM(F319:Q319)</f>
        <v>0</v>
      </c>
      <c r="S319" s="158">
        <f t="shared" si="78"/>
        <v>0</v>
      </c>
      <c r="T319" s="158">
        <f t="shared" si="78"/>
        <v>0</v>
      </c>
      <c r="U319" s="158">
        <f t="shared" si="78"/>
        <v>0</v>
      </c>
      <c r="V319" s="158">
        <f t="shared" si="78"/>
        <v>0</v>
      </c>
      <c r="W319" s="158">
        <f t="shared" si="78"/>
        <v>0</v>
      </c>
      <c r="X319" s="158">
        <f t="shared" si="79"/>
        <v>0</v>
      </c>
      <c r="Y319" s="158">
        <f t="shared" si="79"/>
        <v>0</v>
      </c>
      <c r="Z319" s="158">
        <f t="shared" si="79"/>
        <v>0</v>
      </c>
      <c r="AA319" s="158">
        <f t="shared" si="79"/>
        <v>0</v>
      </c>
      <c r="AB319" s="158">
        <f t="shared" si="79"/>
        <v>0</v>
      </c>
      <c r="AC319" s="158">
        <f t="shared" si="79"/>
        <v>0</v>
      </c>
      <c r="AD319" s="158">
        <f t="shared" si="79"/>
        <v>0</v>
      </c>
      <c r="AE319" s="157">
        <f>+SUM(S319:AD319)/$AB$3</f>
        <v>0</v>
      </c>
    </row>
    <row r="320" spans="1:31" outlineLevel="1">
      <c r="B320" s="116"/>
      <c r="C320" s="116"/>
      <c r="D320" s="155"/>
      <c r="E320" s="155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7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7"/>
    </row>
    <row r="321" spans="1:31" outlineLevel="1" collapsed="1">
      <c r="B321" s="116"/>
      <c r="C321" s="159" t="s">
        <v>761</v>
      </c>
      <c r="D321" s="155"/>
      <c r="E321" s="155"/>
      <c r="F321" s="162">
        <f t="shared" ref="F321:K321" si="80">+SUM(F317:F320)</f>
        <v>0</v>
      </c>
      <c r="G321" s="162">
        <f t="shared" si="80"/>
        <v>0</v>
      </c>
      <c r="H321" s="162">
        <f t="shared" si="80"/>
        <v>0</v>
      </c>
      <c r="I321" s="162">
        <f t="shared" si="80"/>
        <v>0</v>
      </c>
      <c r="J321" s="162">
        <f t="shared" si="80"/>
        <v>0</v>
      </c>
      <c r="K321" s="162">
        <f t="shared" si="80"/>
        <v>0</v>
      </c>
      <c r="L321" s="162">
        <f t="shared" ref="L321:Q321" si="81">+SUM(L317:L320)</f>
        <v>0</v>
      </c>
      <c r="M321" s="162">
        <f t="shared" si="81"/>
        <v>0</v>
      </c>
      <c r="N321" s="162">
        <f t="shared" si="81"/>
        <v>0</v>
      </c>
      <c r="O321" s="162">
        <f t="shared" si="81"/>
        <v>0</v>
      </c>
      <c r="P321" s="162">
        <f t="shared" si="81"/>
        <v>0</v>
      </c>
      <c r="Q321" s="162">
        <f t="shared" si="81"/>
        <v>0</v>
      </c>
      <c r="R321" s="163">
        <f>SUM(F321:Q321)</f>
        <v>0</v>
      </c>
      <c r="S321" s="162">
        <f t="shared" ref="S321:AE321" si="82">+SUM(S317:S320)</f>
        <v>0</v>
      </c>
      <c r="T321" s="162">
        <f t="shared" si="82"/>
        <v>0</v>
      </c>
      <c r="U321" s="162">
        <f t="shared" si="82"/>
        <v>0</v>
      </c>
      <c r="V321" s="162">
        <f t="shared" si="82"/>
        <v>0</v>
      </c>
      <c r="W321" s="162">
        <f t="shared" si="82"/>
        <v>0</v>
      </c>
      <c r="X321" s="162">
        <f t="shared" si="82"/>
        <v>0</v>
      </c>
      <c r="Y321" s="162">
        <f t="shared" si="82"/>
        <v>0</v>
      </c>
      <c r="Z321" s="162">
        <f t="shared" si="82"/>
        <v>0</v>
      </c>
      <c r="AA321" s="162">
        <f t="shared" si="82"/>
        <v>0</v>
      </c>
      <c r="AB321" s="162">
        <f t="shared" si="82"/>
        <v>0</v>
      </c>
      <c r="AC321" s="162">
        <f t="shared" si="82"/>
        <v>0</v>
      </c>
      <c r="AD321" s="162">
        <f t="shared" si="82"/>
        <v>0</v>
      </c>
      <c r="AE321" s="163">
        <f t="shared" si="82"/>
        <v>0</v>
      </c>
    </row>
    <row r="322" spans="1:31" outlineLevel="1">
      <c r="B322" s="116"/>
      <c r="C322" s="159"/>
      <c r="D322" s="155"/>
      <c r="E322" s="15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6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6"/>
    </row>
    <row r="323" spans="1:31" outlineLevel="1">
      <c r="B323" s="116"/>
      <c r="D323" s="155"/>
      <c r="E323" s="155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71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71"/>
    </row>
    <row r="324" spans="1:31" s="172" customFormat="1">
      <c r="B324" s="136" t="s">
        <v>762</v>
      </c>
      <c r="C324" s="136"/>
      <c r="D324" s="155"/>
      <c r="E324" s="155"/>
      <c r="F324" s="167">
        <f>+F321</f>
        <v>0</v>
      </c>
      <c r="G324" s="167">
        <f t="shared" ref="G324:Q324" si="83">+G321</f>
        <v>0</v>
      </c>
      <c r="H324" s="167">
        <f t="shared" si="83"/>
        <v>0</v>
      </c>
      <c r="I324" s="167">
        <f t="shared" si="83"/>
        <v>0</v>
      </c>
      <c r="J324" s="167">
        <f t="shared" si="83"/>
        <v>0</v>
      </c>
      <c r="K324" s="167">
        <f t="shared" si="83"/>
        <v>0</v>
      </c>
      <c r="L324" s="167">
        <f t="shared" si="83"/>
        <v>0</v>
      </c>
      <c r="M324" s="167">
        <f t="shared" si="83"/>
        <v>0</v>
      </c>
      <c r="N324" s="167">
        <f t="shared" si="83"/>
        <v>0</v>
      </c>
      <c r="O324" s="167">
        <f t="shared" si="83"/>
        <v>0</v>
      </c>
      <c r="P324" s="167">
        <f t="shared" si="83"/>
        <v>0</v>
      </c>
      <c r="Q324" s="167">
        <f t="shared" si="83"/>
        <v>0</v>
      </c>
      <c r="R324" s="168">
        <f>SUM(F324:Q324)</f>
        <v>0</v>
      </c>
      <c r="S324" s="167">
        <f t="shared" ref="S324:AE324" si="84">+S321</f>
        <v>0</v>
      </c>
      <c r="T324" s="167">
        <f t="shared" si="84"/>
        <v>0</v>
      </c>
      <c r="U324" s="167">
        <f t="shared" si="84"/>
        <v>0</v>
      </c>
      <c r="V324" s="167">
        <f t="shared" si="84"/>
        <v>0</v>
      </c>
      <c r="W324" s="167">
        <f t="shared" si="84"/>
        <v>0</v>
      </c>
      <c r="X324" s="167">
        <f t="shared" si="84"/>
        <v>0</v>
      </c>
      <c r="Y324" s="167">
        <f t="shared" si="84"/>
        <v>0</v>
      </c>
      <c r="Z324" s="167">
        <f t="shared" si="84"/>
        <v>0</v>
      </c>
      <c r="AA324" s="167">
        <f t="shared" si="84"/>
        <v>0</v>
      </c>
      <c r="AB324" s="167">
        <f t="shared" si="84"/>
        <v>0</v>
      </c>
      <c r="AC324" s="167">
        <f t="shared" si="84"/>
        <v>0</v>
      </c>
      <c r="AD324" s="167">
        <f t="shared" si="84"/>
        <v>0</v>
      </c>
      <c r="AE324" s="168">
        <f t="shared" si="84"/>
        <v>0</v>
      </c>
    </row>
    <row r="325" spans="1:31" s="172" customFormat="1">
      <c r="B325" s="136"/>
      <c r="C325" s="136"/>
      <c r="D325" s="155"/>
      <c r="E325" s="155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8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68"/>
    </row>
    <row r="326" spans="1:31" s="172" customFormat="1">
      <c r="B326" s="136"/>
      <c r="C326" s="136"/>
      <c r="D326" s="155"/>
      <c r="E326" s="155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8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68"/>
    </row>
    <row r="327" spans="1:31" outlineLevel="1">
      <c r="A327" s="135" t="s">
        <v>795</v>
      </c>
      <c r="B327" s="150" t="s">
        <v>764</v>
      </c>
      <c r="D327" s="155"/>
      <c r="E327" s="155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7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7"/>
    </row>
    <row r="328" spans="1:31" outlineLevel="1">
      <c r="A328" s="135" t="str">
        <f t="shared" ref="A328:A335" si="85">+$A$5&amp;$A$327&amp;B328</f>
        <v>AmericanAccountingADJ-SB</v>
      </c>
      <c r="B328" s="116" t="s">
        <v>765</v>
      </c>
      <c r="C328" s="116" t="s">
        <v>766</v>
      </c>
      <c r="D328" s="155">
        <v>0</v>
      </c>
      <c r="E328" s="155">
        <v>0</v>
      </c>
      <c r="F328" s="156">
        <v>2.12</v>
      </c>
      <c r="G328" s="156">
        <v>0.96</v>
      </c>
      <c r="H328" s="156">
        <v>0.45</v>
      </c>
      <c r="I328" s="156">
        <v>-0.10000000000000002</v>
      </c>
      <c r="J328" s="156">
        <v>-0.42</v>
      </c>
      <c r="K328" s="156">
        <v>0.3</v>
      </c>
      <c r="L328" s="156">
        <v>0.34</v>
      </c>
      <c r="M328" s="156">
        <v>0.44</v>
      </c>
      <c r="N328" s="156">
        <v>0.57000000000000006</v>
      </c>
      <c r="O328" s="156">
        <v>0</v>
      </c>
      <c r="P328" s="156">
        <v>-1.25</v>
      </c>
      <c r="Q328" s="156">
        <v>0</v>
      </c>
      <c r="R328" s="157">
        <f t="shared" ref="R328:R337" si="86">SUM(F328:Q328)</f>
        <v>3.41</v>
      </c>
      <c r="S328" s="158">
        <f t="shared" ref="S328:W335" si="87">+IFERROR(F328/$D328,0)</f>
        <v>0</v>
      </c>
      <c r="T328" s="158">
        <f t="shared" si="87"/>
        <v>0</v>
      </c>
      <c r="U328" s="158">
        <f t="shared" si="87"/>
        <v>0</v>
      </c>
      <c r="V328" s="158">
        <f t="shared" si="87"/>
        <v>0</v>
      </c>
      <c r="W328" s="158">
        <f t="shared" si="87"/>
        <v>0</v>
      </c>
      <c r="X328" s="158">
        <f t="shared" ref="X328:AD335" si="88">+IFERROR(K328/$E328,0)</f>
        <v>0</v>
      </c>
      <c r="Y328" s="158">
        <f t="shared" si="88"/>
        <v>0</v>
      </c>
      <c r="Z328" s="158">
        <f t="shared" si="88"/>
        <v>0</v>
      </c>
      <c r="AA328" s="158">
        <f t="shared" si="88"/>
        <v>0</v>
      </c>
      <c r="AB328" s="158">
        <f t="shared" si="88"/>
        <v>0</v>
      </c>
      <c r="AC328" s="158">
        <f t="shared" si="88"/>
        <v>0</v>
      </c>
      <c r="AD328" s="158">
        <f t="shared" si="88"/>
        <v>0</v>
      </c>
      <c r="AE328" s="157">
        <f t="shared" ref="AE328:AE335" si="89">+SUM(S328:AD328)/$AB$3</f>
        <v>0</v>
      </c>
    </row>
    <row r="329" spans="1:31" outlineLevel="1">
      <c r="A329" s="135" t="str">
        <f t="shared" si="85"/>
        <v>AmericanAccountingADJTAX</v>
      </c>
      <c r="B329" s="116" t="s">
        <v>767</v>
      </c>
      <c r="C329" s="116" t="s">
        <v>768</v>
      </c>
      <c r="D329" s="155">
        <v>0</v>
      </c>
      <c r="E329" s="155">
        <v>0</v>
      </c>
      <c r="F329" s="156">
        <v>0</v>
      </c>
      <c r="G329" s="156">
        <v>0</v>
      </c>
      <c r="H329" s="156">
        <v>0</v>
      </c>
      <c r="I329" s="156">
        <v>0</v>
      </c>
      <c r="J329" s="156">
        <v>0</v>
      </c>
      <c r="K329" s="156">
        <v>-1.39</v>
      </c>
      <c r="L329" s="156">
        <v>0</v>
      </c>
      <c r="M329" s="156">
        <v>0</v>
      </c>
      <c r="N329" s="156">
        <v>0</v>
      </c>
      <c r="O329" s="156">
        <v>0</v>
      </c>
      <c r="P329" s="156">
        <v>0</v>
      </c>
      <c r="Q329" s="156">
        <v>0</v>
      </c>
      <c r="R329" s="157">
        <f t="shared" si="86"/>
        <v>-1.39</v>
      </c>
      <c r="S329" s="158">
        <f t="shared" si="87"/>
        <v>0</v>
      </c>
      <c r="T329" s="158">
        <f t="shared" si="87"/>
        <v>0</v>
      </c>
      <c r="U329" s="158">
        <f t="shared" si="87"/>
        <v>0</v>
      </c>
      <c r="V329" s="158">
        <f t="shared" si="87"/>
        <v>0</v>
      </c>
      <c r="W329" s="158">
        <f t="shared" si="87"/>
        <v>0</v>
      </c>
      <c r="X329" s="158">
        <f t="shared" si="88"/>
        <v>0</v>
      </c>
      <c r="Y329" s="158">
        <f t="shared" si="88"/>
        <v>0</v>
      </c>
      <c r="Z329" s="158">
        <f t="shared" si="88"/>
        <v>0</v>
      </c>
      <c r="AA329" s="158">
        <f t="shared" si="88"/>
        <v>0</v>
      </c>
      <c r="AB329" s="158">
        <f t="shared" si="88"/>
        <v>0</v>
      </c>
      <c r="AC329" s="158">
        <f t="shared" si="88"/>
        <v>0</v>
      </c>
      <c r="AD329" s="158">
        <f t="shared" si="88"/>
        <v>0</v>
      </c>
      <c r="AE329" s="157">
        <f t="shared" si="89"/>
        <v>0</v>
      </c>
    </row>
    <row r="330" spans="1:31" outlineLevel="1">
      <c r="A330" s="135" t="str">
        <f t="shared" si="85"/>
        <v>AmericanAccountingEMPLOYEE</v>
      </c>
      <c r="B330" s="116" t="s">
        <v>769</v>
      </c>
      <c r="C330" s="116" t="s">
        <v>770</v>
      </c>
      <c r="D330" s="155">
        <v>0</v>
      </c>
      <c r="E330" s="155">
        <v>0</v>
      </c>
      <c r="F330" s="156">
        <v>0</v>
      </c>
      <c r="G330" s="156">
        <v>0</v>
      </c>
      <c r="H330" s="156">
        <v>0</v>
      </c>
      <c r="I330" s="156">
        <v>0</v>
      </c>
      <c r="J330" s="156">
        <v>0</v>
      </c>
      <c r="K330" s="156">
        <v>0</v>
      </c>
      <c r="L330" s="156">
        <v>0</v>
      </c>
      <c r="M330" s="156">
        <v>0</v>
      </c>
      <c r="N330" s="156">
        <v>0</v>
      </c>
      <c r="O330" s="156">
        <v>0</v>
      </c>
      <c r="P330" s="156">
        <v>0</v>
      </c>
      <c r="Q330" s="156">
        <v>0</v>
      </c>
      <c r="R330" s="157">
        <f t="shared" si="86"/>
        <v>0</v>
      </c>
      <c r="S330" s="158">
        <f t="shared" si="87"/>
        <v>0</v>
      </c>
      <c r="T330" s="158">
        <f t="shared" si="87"/>
        <v>0</v>
      </c>
      <c r="U330" s="158">
        <f t="shared" si="87"/>
        <v>0</v>
      </c>
      <c r="V330" s="158">
        <f t="shared" si="87"/>
        <v>0</v>
      </c>
      <c r="W330" s="158">
        <f t="shared" si="87"/>
        <v>0</v>
      </c>
      <c r="X330" s="158">
        <f t="shared" si="88"/>
        <v>0</v>
      </c>
      <c r="Y330" s="158">
        <f t="shared" si="88"/>
        <v>0</v>
      </c>
      <c r="Z330" s="158">
        <f t="shared" si="88"/>
        <v>0</v>
      </c>
      <c r="AA330" s="158">
        <f t="shared" si="88"/>
        <v>0</v>
      </c>
      <c r="AB330" s="158">
        <f t="shared" si="88"/>
        <v>0</v>
      </c>
      <c r="AC330" s="158">
        <f t="shared" si="88"/>
        <v>0</v>
      </c>
      <c r="AD330" s="158">
        <f t="shared" si="88"/>
        <v>0</v>
      </c>
      <c r="AE330" s="157">
        <f t="shared" si="89"/>
        <v>0</v>
      </c>
    </row>
    <row r="331" spans="1:31" outlineLevel="1">
      <c r="A331" s="135" t="str">
        <f t="shared" si="85"/>
        <v>AmericanAccountingFINCHG</v>
      </c>
      <c r="B331" s="116" t="s">
        <v>771</v>
      </c>
      <c r="C331" s="116" t="s">
        <v>772</v>
      </c>
      <c r="D331" s="155">
        <v>0</v>
      </c>
      <c r="E331" s="155">
        <v>0</v>
      </c>
      <c r="F331" s="156">
        <v>616.71</v>
      </c>
      <c r="G331" s="156">
        <v>801.6099999999999</v>
      </c>
      <c r="H331" s="156">
        <v>809.84999999999991</v>
      </c>
      <c r="I331" s="156">
        <v>587.7399999999999</v>
      </c>
      <c r="J331" s="156">
        <v>832.08</v>
      </c>
      <c r="K331" s="156">
        <v>578.71</v>
      </c>
      <c r="L331" s="156">
        <v>490.68999999999994</v>
      </c>
      <c r="M331" s="156">
        <v>591.76</v>
      </c>
      <c r="N331" s="156">
        <v>551.24</v>
      </c>
      <c r="O331" s="156">
        <v>563.41000000000008</v>
      </c>
      <c r="P331" s="156">
        <v>494.46999999999997</v>
      </c>
      <c r="Q331" s="156">
        <v>705.99</v>
      </c>
      <c r="R331" s="157">
        <f t="shared" si="86"/>
        <v>7624.2599999999993</v>
      </c>
      <c r="S331" s="158">
        <f t="shared" si="87"/>
        <v>0</v>
      </c>
      <c r="T331" s="158">
        <f t="shared" si="87"/>
        <v>0</v>
      </c>
      <c r="U331" s="158">
        <f t="shared" si="87"/>
        <v>0</v>
      </c>
      <c r="V331" s="158">
        <f t="shared" si="87"/>
        <v>0</v>
      </c>
      <c r="W331" s="158">
        <f t="shared" si="87"/>
        <v>0</v>
      </c>
      <c r="X331" s="158">
        <f t="shared" si="88"/>
        <v>0</v>
      </c>
      <c r="Y331" s="158">
        <f t="shared" si="88"/>
        <v>0</v>
      </c>
      <c r="Z331" s="158">
        <f t="shared" si="88"/>
        <v>0</v>
      </c>
      <c r="AA331" s="158">
        <f t="shared" si="88"/>
        <v>0</v>
      </c>
      <c r="AB331" s="158">
        <f t="shared" si="88"/>
        <v>0</v>
      </c>
      <c r="AC331" s="158">
        <f t="shared" si="88"/>
        <v>0</v>
      </c>
      <c r="AD331" s="158">
        <f t="shared" si="88"/>
        <v>0</v>
      </c>
      <c r="AE331" s="157">
        <f t="shared" si="89"/>
        <v>0</v>
      </c>
    </row>
    <row r="332" spans="1:31" outlineLevel="1">
      <c r="A332" s="135" t="str">
        <f t="shared" si="85"/>
        <v>AmericanAccountingLEGAL-COM</v>
      </c>
      <c r="B332" s="116" t="s">
        <v>773</v>
      </c>
      <c r="C332" s="116" t="s">
        <v>774</v>
      </c>
      <c r="D332" s="155">
        <v>0</v>
      </c>
      <c r="E332" s="155">
        <v>0</v>
      </c>
      <c r="F332" s="156">
        <v>0</v>
      </c>
      <c r="G332" s="156">
        <v>0</v>
      </c>
      <c r="H332" s="156">
        <v>0</v>
      </c>
      <c r="I332" s="156">
        <v>0</v>
      </c>
      <c r="J332" s="156">
        <v>0</v>
      </c>
      <c r="K332" s="156">
        <v>0</v>
      </c>
      <c r="L332" s="156">
        <v>0</v>
      </c>
      <c r="M332" s="156">
        <v>0</v>
      </c>
      <c r="N332" s="156">
        <v>0</v>
      </c>
      <c r="O332" s="156">
        <v>0</v>
      </c>
      <c r="P332" s="156">
        <v>0</v>
      </c>
      <c r="Q332" s="156">
        <v>0</v>
      </c>
      <c r="R332" s="157">
        <f t="shared" si="86"/>
        <v>0</v>
      </c>
      <c r="S332" s="158">
        <f t="shared" si="87"/>
        <v>0</v>
      </c>
      <c r="T332" s="158">
        <f t="shared" si="87"/>
        <v>0</v>
      </c>
      <c r="U332" s="158">
        <f t="shared" si="87"/>
        <v>0</v>
      </c>
      <c r="V332" s="158">
        <f t="shared" si="87"/>
        <v>0</v>
      </c>
      <c r="W332" s="158">
        <f t="shared" si="87"/>
        <v>0</v>
      </c>
      <c r="X332" s="158">
        <f t="shared" si="88"/>
        <v>0</v>
      </c>
      <c r="Y332" s="158">
        <f t="shared" si="88"/>
        <v>0</v>
      </c>
      <c r="Z332" s="158">
        <f t="shared" si="88"/>
        <v>0</v>
      </c>
      <c r="AA332" s="158">
        <f t="shared" si="88"/>
        <v>0</v>
      </c>
      <c r="AB332" s="158">
        <f t="shared" si="88"/>
        <v>0</v>
      </c>
      <c r="AC332" s="158">
        <f t="shared" si="88"/>
        <v>0</v>
      </c>
      <c r="AD332" s="158">
        <f t="shared" si="88"/>
        <v>0</v>
      </c>
      <c r="AE332" s="157">
        <f t="shared" si="89"/>
        <v>0</v>
      </c>
    </row>
    <row r="333" spans="1:31" outlineLevel="1">
      <c r="A333" s="135" t="str">
        <f t="shared" si="85"/>
        <v>AmericanAccountingNSF FEES</v>
      </c>
      <c r="B333" s="116" t="s">
        <v>775</v>
      </c>
      <c r="C333" s="116" t="s">
        <v>776</v>
      </c>
      <c r="D333" s="155">
        <v>20.16</v>
      </c>
      <c r="E333" s="155">
        <v>20.16</v>
      </c>
      <c r="F333" s="156">
        <v>20.32</v>
      </c>
      <c r="G333" s="156">
        <v>0</v>
      </c>
      <c r="H333" s="156">
        <v>60.480000000000004</v>
      </c>
      <c r="I333" s="156">
        <v>0</v>
      </c>
      <c r="J333" s="156">
        <v>100.8</v>
      </c>
      <c r="K333" s="156">
        <v>-20.159999999999997</v>
      </c>
      <c r="L333" s="156">
        <v>40.32</v>
      </c>
      <c r="M333" s="156">
        <v>40.319999999999993</v>
      </c>
      <c r="N333" s="156">
        <v>60.480000000000004</v>
      </c>
      <c r="O333" s="156">
        <v>20.16</v>
      </c>
      <c r="P333" s="156">
        <v>0</v>
      </c>
      <c r="Q333" s="156">
        <v>0</v>
      </c>
      <c r="R333" s="157">
        <f t="shared" si="86"/>
        <v>322.72000000000003</v>
      </c>
      <c r="S333" s="158">
        <f t="shared" si="87"/>
        <v>1.0079365079365079</v>
      </c>
      <c r="T333" s="158">
        <f t="shared" si="87"/>
        <v>0</v>
      </c>
      <c r="U333" s="158">
        <f t="shared" si="87"/>
        <v>3</v>
      </c>
      <c r="V333" s="158">
        <f t="shared" si="87"/>
        <v>0</v>
      </c>
      <c r="W333" s="158">
        <f t="shared" si="87"/>
        <v>5</v>
      </c>
      <c r="X333" s="158">
        <f t="shared" si="88"/>
        <v>-0.99999999999999978</v>
      </c>
      <c r="Y333" s="158">
        <f t="shared" si="88"/>
        <v>2</v>
      </c>
      <c r="Z333" s="158">
        <f t="shared" si="88"/>
        <v>1.9999999999999996</v>
      </c>
      <c r="AA333" s="158">
        <f t="shared" si="88"/>
        <v>3</v>
      </c>
      <c r="AB333" s="158">
        <f t="shared" si="88"/>
        <v>1</v>
      </c>
      <c r="AC333" s="158">
        <f t="shared" si="88"/>
        <v>0</v>
      </c>
      <c r="AD333" s="158">
        <f t="shared" si="88"/>
        <v>0</v>
      </c>
      <c r="AE333" s="157">
        <f t="shared" si="89"/>
        <v>16.007936507936506</v>
      </c>
    </row>
    <row r="334" spans="1:31" outlineLevel="1">
      <c r="A334" s="135" t="str">
        <f t="shared" si="85"/>
        <v>AmericanAccountingPO</v>
      </c>
      <c r="B334" s="116" t="s">
        <v>777</v>
      </c>
      <c r="C334" s="116" t="s">
        <v>778</v>
      </c>
      <c r="D334" s="155">
        <v>0</v>
      </c>
      <c r="E334" s="155">
        <v>0</v>
      </c>
      <c r="F334" s="156">
        <v>0</v>
      </c>
      <c r="G334" s="156">
        <v>0</v>
      </c>
      <c r="H334" s="156">
        <v>0</v>
      </c>
      <c r="I334" s="156">
        <v>0</v>
      </c>
      <c r="J334" s="156">
        <v>0</v>
      </c>
      <c r="K334" s="156">
        <v>0</v>
      </c>
      <c r="L334" s="156">
        <v>0</v>
      </c>
      <c r="M334" s="156">
        <v>0</v>
      </c>
      <c r="N334" s="156">
        <v>0</v>
      </c>
      <c r="O334" s="156">
        <v>0</v>
      </c>
      <c r="P334" s="156">
        <v>0</v>
      </c>
      <c r="Q334" s="156">
        <v>0</v>
      </c>
      <c r="R334" s="157">
        <f t="shared" si="86"/>
        <v>0</v>
      </c>
      <c r="S334" s="158">
        <f t="shared" si="87"/>
        <v>0</v>
      </c>
      <c r="T334" s="158">
        <f t="shared" si="87"/>
        <v>0</v>
      </c>
      <c r="U334" s="158">
        <f t="shared" si="87"/>
        <v>0</v>
      </c>
      <c r="V334" s="158">
        <f t="shared" si="87"/>
        <v>0</v>
      </c>
      <c r="W334" s="158">
        <f t="shared" si="87"/>
        <v>0</v>
      </c>
      <c r="X334" s="158">
        <f t="shared" si="88"/>
        <v>0</v>
      </c>
      <c r="Y334" s="158">
        <f t="shared" si="88"/>
        <v>0</v>
      </c>
      <c r="Z334" s="158">
        <f t="shared" si="88"/>
        <v>0</v>
      </c>
      <c r="AA334" s="158">
        <f t="shared" si="88"/>
        <v>0</v>
      </c>
      <c r="AB334" s="158">
        <f t="shared" si="88"/>
        <v>0</v>
      </c>
      <c r="AC334" s="158">
        <f t="shared" si="88"/>
        <v>0</v>
      </c>
      <c r="AD334" s="158">
        <f t="shared" si="88"/>
        <v>0</v>
      </c>
      <c r="AE334" s="157">
        <f t="shared" si="89"/>
        <v>0</v>
      </c>
    </row>
    <row r="335" spans="1:31" outlineLevel="1">
      <c r="A335" s="135" t="str">
        <f t="shared" si="85"/>
        <v>AmericanAccountingSHOPSERVICE</v>
      </c>
      <c r="B335" s="116" t="s">
        <v>779</v>
      </c>
      <c r="C335" s="116" t="s">
        <v>780</v>
      </c>
      <c r="D335" s="155">
        <v>0</v>
      </c>
      <c r="E335" s="155">
        <v>0</v>
      </c>
      <c r="F335" s="156">
        <v>0</v>
      </c>
      <c r="G335" s="156">
        <v>0</v>
      </c>
      <c r="H335" s="156">
        <v>0</v>
      </c>
      <c r="I335" s="156">
        <v>0</v>
      </c>
      <c r="J335" s="156">
        <v>0</v>
      </c>
      <c r="K335" s="156">
        <v>0</v>
      </c>
      <c r="L335" s="156">
        <v>0</v>
      </c>
      <c r="M335" s="156">
        <v>0</v>
      </c>
      <c r="N335" s="156">
        <v>0</v>
      </c>
      <c r="O335" s="156">
        <v>0</v>
      </c>
      <c r="P335" s="156">
        <v>0</v>
      </c>
      <c r="Q335" s="156">
        <v>0</v>
      </c>
      <c r="R335" s="157">
        <f t="shared" si="86"/>
        <v>0</v>
      </c>
      <c r="S335" s="158">
        <f t="shared" si="87"/>
        <v>0</v>
      </c>
      <c r="T335" s="158">
        <f t="shared" si="87"/>
        <v>0</v>
      </c>
      <c r="U335" s="158">
        <f t="shared" si="87"/>
        <v>0</v>
      </c>
      <c r="V335" s="158">
        <f t="shared" si="87"/>
        <v>0</v>
      </c>
      <c r="W335" s="158">
        <f t="shared" si="87"/>
        <v>0</v>
      </c>
      <c r="X335" s="158">
        <f t="shared" si="88"/>
        <v>0</v>
      </c>
      <c r="Y335" s="158">
        <f t="shared" si="88"/>
        <v>0</v>
      </c>
      <c r="Z335" s="158">
        <f t="shared" si="88"/>
        <v>0</v>
      </c>
      <c r="AA335" s="158">
        <f t="shared" si="88"/>
        <v>0</v>
      </c>
      <c r="AB335" s="158">
        <f t="shared" si="88"/>
        <v>0</v>
      </c>
      <c r="AC335" s="158">
        <f t="shared" si="88"/>
        <v>0</v>
      </c>
      <c r="AD335" s="158">
        <f t="shared" si="88"/>
        <v>0</v>
      </c>
      <c r="AE335" s="157">
        <f t="shared" si="89"/>
        <v>0</v>
      </c>
    </row>
    <row r="336" spans="1:31" outlineLevel="1">
      <c r="B336" s="116"/>
      <c r="C336" s="116"/>
      <c r="D336" s="155"/>
      <c r="E336" s="155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7">
        <f t="shared" si="86"/>
        <v>0</v>
      </c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7"/>
    </row>
    <row r="337" spans="2:31" outlineLevel="1" collapsed="1">
      <c r="B337" s="116"/>
      <c r="C337" s="159" t="s">
        <v>781</v>
      </c>
      <c r="D337" s="155"/>
      <c r="E337" s="155"/>
      <c r="F337" s="162">
        <f t="shared" ref="F337:Q337" si="90">+SUM(F328:F336)</f>
        <v>639.15000000000009</v>
      </c>
      <c r="G337" s="162">
        <f t="shared" si="90"/>
        <v>802.56999999999994</v>
      </c>
      <c r="H337" s="162">
        <f t="shared" si="90"/>
        <v>870.78</v>
      </c>
      <c r="I337" s="162">
        <f t="shared" si="90"/>
        <v>587.63999999999987</v>
      </c>
      <c r="J337" s="162">
        <f t="shared" si="90"/>
        <v>932.46</v>
      </c>
      <c r="K337" s="162">
        <f t="shared" si="90"/>
        <v>557.46</v>
      </c>
      <c r="L337" s="162">
        <f t="shared" si="90"/>
        <v>531.34999999999991</v>
      </c>
      <c r="M337" s="162">
        <f t="shared" si="90"/>
        <v>632.52</v>
      </c>
      <c r="N337" s="162">
        <f t="shared" si="90"/>
        <v>612.29000000000008</v>
      </c>
      <c r="O337" s="162">
        <f t="shared" si="90"/>
        <v>583.57000000000005</v>
      </c>
      <c r="P337" s="162">
        <f t="shared" si="90"/>
        <v>493.21999999999997</v>
      </c>
      <c r="Q337" s="162">
        <f t="shared" si="90"/>
        <v>705.99</v>
      </c>
      <c r="R337" s="163">
        <f t="shared" si="86"/>
        <v>7949</v>
      </c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3"/>
    </row>
    <row r="338" spans="2:31" outlineLevel="1">
      <c r="B338" s="116"/>
      <c r="C338" s="159"/>
      <c r="D338" s="155"/>
      <c r="E338" s="15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6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6"/>
    </row>
    <row r="339" spans="2:31" outlineLevel="1">
      <c r="B339" s="116"/>
      <c r="D339" s="155"/>
      <c r="E339" s="155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71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71"/>
    </row>
    <row r="340" spans="2:31" s="172" customFormat="1">
      <c r="B340" s="136" t="s">
        <v>782</v>
      </c>
      <c r="C340" s="136"/>
      <c r="D340" s="155"/>
      <c r="E340" s="155"/>
      <c r="F340" s="167">
        <f>+F337</f>
        <v>639.15000000000009</v>
      </c>
      <c r="G340" s="167">
        <f t="shared" ref="G340:Q340" si="91">+G337</f>
        <v>802.56999999999994</v>
      </c>
      <c r="H340" s="167">
        <f t="shared" si="91"/>
        <v>870.78</v>
      </c>
      <c r="I340" s="167">
        <f t="shared" si="91"/>
        <v>587.63999999999987</v>
      </c>
      <c r="J340" s="167">
        <f t="shared" si="91"/>
        <v>932.46</v>
      </c>
      <c r="K340" s="167">
        <f t="shared" si="91"/>
        <v>557.46</v>
      </c>
      <c r="L340" s="167">
        <f t="shared" si="91"/>
        <v>531.34999999999991</v>
      </c>
      <c r="M340" s="167">
        <f t="shared" si="91"/>
        <v>632.52</v>
      </c>
      <c r="N340" s="167">
        <f t="shared" si="91"/>
        <v>612.29000000000008</v>
      </c>
      <c r="O340" s="167">
        <f t="shared" si="91"/>
        <v>583.57000000000005</v>
      </c>
      <c r="P340" s="167">
        <f t="shared" si="91"/>
        <v>493.21999999999997</v>
      </c>
      <c r="Q340" s="167">
        <f t="shared" si="91"/>
        <v>705.99</v>
      </c>
      <c r="R340" s="168">
        <f>SUM(F340:Q340)</f>
        <v>7949</v>
      </c>
      <c r="S340" s="167">
        <f>+S337</f>
        <v>0</v>
      </c>
      <c r="T340" s="167">
        <f t="shared" ref="T340:AE340" si="92">+T337</f>
        <v>0</v>
      </c>
      <c r="U340" s="167">
        <f t="shared" si="92"/>
        <v>0</v>
      </c>
      <c r="V340" s="167">
        <f t="shared" si="92"/>
        <v>0</v>
      </c>
      <c r="W340" s="167">
        <f t="shared" si="92"/>
        <v>0</v>
      </c>
      <c r="X340" s="167">
        <f t="shared" si="92"/>
        <v>0</v>
      </c>
      <c r="Y340" s="167">
        <f t="shared" si="92"/>
        <v>0</v>
      </c>
      <c r="Z340" s="167">
        <f t="shared" si="92"/>
        <v>0</v>
      </c>
      <c r="AA340" s="167">
        <f t="shared" si="92"/>
        <v>0</v>
      </c>
      <c r="AB340" s="167">
        <f t="shared" si="92"/>
        <v>0</v>
      </c>
      <c r="AC340" s="167">
        <f t="shared" si="92"/>
        <v>0</v>
      </c>
      <c r="AD340" s="167">
        <f t="shared" si="92"/>
        <v>0</v>
      </c>
      <c r="AE340" s="168">
        <f t="shared" si="92"/>
        <v>0</v>
      </c>
    </row>
    <row r="341" spans="2:31" s="172" customFormat="1">
      <c r="B341" s="136"/>
      <c r="C341" s="136"/>
      <c r="D341" s="155"/>
      <c r="E341" s="155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6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6"/>
    </row>
    <row r="342" spans="2:31">
      <c r="D342" s="155"/>
      <c r="E342" s="155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57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7"/>
    </row>
    <row r="343" spans="2:31" s="172" customFormat="1" ht="15.75" thickBot="1">
      <c r="B343" s="136" t="s">
        <v>783</v>
      </c>
      <c r="C343" s="136"/>
      <c r="D343" s="155"/>
      <c r="E343" s="155"/>
      <c r="F343" s="178">
        <f t="shared" ref="F343:Q343" si="93">+F81+F215+F313+F324+F340</f>
        <v>873256.21000000008</v>
      </c>
      <c r="G343" s="178">
        <f t="shared" si="93"/>
        <v>866593.35</v>
      </c>
      <c r="H343" s="178">
        <f t="shared" si="93"/>
        <v>866590.85</v>
      </c>
      <c r="I343" s="178">
        <f t="shared" si="93"/>
        <v>873909.45000000007</v>
      </c>
      <c r="J343" s="178">
        <f t="shared" si="93"/>
        <v>851846.39</v>
      </c>
      <c r="K343" s="178">
        <f t="shared" si="93"/>
        <v>875714.32000000018</v>
      </c>
      <c r="L343" s="178">
        <f t="shared" si="93"/>
        <v>879288.59</v>
      </c>
      <c r="M343" s="178">
        <f t="shared" si="93"/>
        <v>899681.77</v>
      </c>
      <c r="N343" s="178">
        <f t="shared" si="93"/>
        <v>895155.71000000008</v>
      </c>
      <c r="O343" s="178">
        <f t="shared" si="93"/>
        <v>901535.14000000013</v>
      </c>
      <c r="P343" s="178">
        <f t="shared" si="93"/>
        <v>916593.84000000008</v>
      </c>
      <c r="Q343" s="178">
        <f t="shared" si="93"/>
        <v>901809.35</v>
      </c>
      <c r="R343" s="179">
        <f>SUM(F343:Q343)</f>
        <v>10601974.969999999</v>
      </c>
      <c r="S343" s="178">
        <f t="shared" ref="S343:AE343" si="94">+S81+S215+S313+S324+S340</f>
        <v>49529.404386952818</v>
      </c>
      <c r="T343" s="178">
        <f t="shared" si="94"/>
        <v>49382.650661026419</v>
      </c>
      <c r="U343" s="178">
        <f t="shared" si="94"/>
        <v>49511.97634375278</v>
      </c>
      <c r="V343" s="178">
        <f t="shared" si="94"/>
        <v>49631.234042497272</v>
      </c>
      <c r="W343" s="178">
        <f t="shared" si="94"/>
        <v>49009.932539265261</v>
      </c>
      <c r="X343" s="178">
        <f t="shared" si="94"/>
        <v>50439.022626087492</v>
      </c>
      <c r="Y343" s="178">
        <f t="shared" si="94"/>
        <v>50217.508946173773</v>
      </c>
      <c r="Z343" s="178">
        <f t="shared" si="94"/>
        <v>50882.025162042642</v>
      </c>
      <c r="AA343" s="178">
        <f t="shared" si="94"/>
        <v>51055.095874857208</v>
      </c>
      <c r="AB343" s="178">
        <f t="shared" si="94"/>
        <v>51465.727020330894</v>
      </c>
      <c r="AC343" s="178">
        <f t="shared" si="94"/>
        <v>51491.683724423041</v>
      </c>
      <c r="AD343" s="178">
        <f t="shared" si="94"/>
        <v>51540.021218886766</v>
      </c>
      <c r="AE343" s="179">
        <f t="shared" si="94"/>
        <v>604156.28254629637</v>
      </c>
    </row>
    <row r="344" spans="2:31" s="172" customFormat="1" ht="15.75" thickTop="1">
      <c r="B344" s="136"/>
      <c r="C344" s="136"/>
      <c r="D344" s="155"/>
      <c r="E344" s="155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6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68"/>
    </row>
    <row r="345" spans="2:31" s="172" customFormat="1" outlineLevel="1">
      <c r="B345" s="136"/>
      <c r="C345" s="136"/>
      <c r="D345" s="180"/>
      <c r="E345" s="180">
        <v>31000</v>
      </c>
      <c r="F345" s="181">
        <v>19250.830000000002</v>
      </c>
      <c r="G345" s="181">
        <v>16083.38</v>
      </c>
      <c r="H345" s="181">
        <v>14714.199999999997</v>
      </c>
      <c r="I345" s="181">
        <v>15570.749999999998</v>
      </c>
      <c r="J345" s="181">
        <v>13253.889999999998</v>
      </c>
      <c r="K345" s="181">
        <v>17827.739999999998</v>
      </c>
      <c r="L345" s="181">
        <v>17686.740000000002</v>
      </c>
      <c r="M345" s="181">
        <v>18227.010000000002</v>
      </c>
      <c r="N345" s="181">
        <v>16975.62</v>
      </c>
      <c r="O345" s="181">
        <v>18588.509999999998</v>
      </c>
      <c r="P345" s="181">
        <v>19962.72</v>
      </c>
      <c r="Q345" s="181">
        <v>16688.309999999998</v>
      </c>
      <c r="R345" s="182">
        <f>SUM(F345:Q345)</f>
        <v>204829.69999999998</v>
      </c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68"/>
    </row>
    <row r="346" spans="2:31" outlineLevel="1">
      <c r="D346" s="183"/>
      <c r="E346" s="183">
        <v>31002</v>
      </c>
      <c r="F346" s="181">
        <v>0</v>
      </c>
      <c r="G346" s="181">
        <v>0</v>
      </c>
      <c r="H346" s="181">
        <v>0</v>
      </c>
      <c r="I346" s="181">
        <v>0</v>
      </c>
      <c r="J346" s="181">
        <v>0</v>
      </c>
      <c r="K346" s="181">
        <v>0</v>
      </c>
      <c r="L346" s="181">
        <v>0</v>
      </c>
      <c r="M346" s="181">
        <v>0</v>
      </c>
      <c r="N346" s="181">
        <v>0</v>
      </c>
      <c r="O346" s="181">
        <v>0</v>
      </c>
      <c r="P346" s="181">
        <v>0</v>
      </c>
      <c r="Q346" s="181">
        <v>0</v>
      </c>
      <c r="R346" s="182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7"/>
    </row>
    <row r="347" spans="2:31" outlineLevel="1">
      <c r="D347" s="183"/>
      <c r="E347" s="183">
        <v>31005</v>
      </c>
      <c r="F347" s="181">
        <v>61761.96</v>
      </c>
      <c r="G347" s="181">
        <v>58804.37</v>
      </c>
      <c r="H347" s="181">
        <v>52368.92</v>
      </c>
      <c r="I347" s="181">
        <v>59261.72</v>
      </c>
      <c r="J347" s="181">
        <v>43362.74</v>
      </c>
      <c r="K347" s="181">
        <v>64550.38</v>
      </c>
      <c r="L347" s="181">
        <v>60013.8</v>
      </c>
      <c r="M347" s="181">
        <v>63657.17</v>
      </c>
      <c r="N347" s="181">
        <v>58899.519999999997</v>
      </c>
      <c r="O347" s="181">
        <v>54319.14</v>
      </c>
      <c r="P347" s="181">
        <v>65936.649999999994</v>
      </c>
      <c r="Q347" s="181">
        <v>56929.13</v>
      </c>
      <c r="R347" s="182">
        <f t="shared" ref="R347:R358" si="95">SUM(F347:Q347)</f>
        <v>699865.5</v>
      </c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7"/>
    </row>
    <row r="348" spans="2:31" outlineLevel="1">
      <c r="D348" s="183"/>
      <c r="E348" s="183">
        <v>31010</v>
      </c>
      <c r="F348" s="181">
        <v>4237.45</v>
      </c>
      <c r="G348" s="181">
        <v>2833.9200000000005</v>
      </c>
      <c r="H348" s="181">
        <v>2474.34</v>
      </c>
      <c r="I348" s="181">
        <v>3440.76</v>
      </c>
      <c r="J348" s="181">
        <v>2905.4199999999996</v>
      </c>
      <c r="K348" s="181">
        <v>5063.9800000000005</v>
      </c>
      <c r="L348" s="181">
        <v>4574.54</v>
      </c>
      <c r="M348" s="181">
        <v>4709.66</v>
      </c>
      <c r="N348" s="181">
        <v>4508.7400000000007</v>
      </c>
      <c r="O348" s="181">
        <v>4530.1999999999989</v>
      </c>
      <c r="P348" s="181">
        <v>4773</v>
      </c>
      <c r="Q348" s="181">
        <v>4009.57</v>
      </c>
      <c r="R348" s="182">
        <f t="shared" si="95"/>
        <v>48061.58</v>
      </c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7"/>
    </row>
    <row r="349" spans="2:31" outlineLevel="1">
      <c r="D349" s="183"/>
      <c r="E349" s="183">
        <v>32000</v>
      </c>
      <c r="F349" s="181">
        <v>596965.17999999993</v>
      </c>
      <c r="G349" s="181">
        <v>598873.26999999955</v>
      </c>
      <c r="H349" s="181">
        <v>603605.94000000018</v>
      </c>
      <c r="I349" s="181">
        <v>604447.39999999979</v>
      </c>
      <c r="J349" s="181">
        <v>602585.77</v>
      </c>
      <c r="K349" s="181">
        <v>598859.13999999955</v>
      </c>
      <c r="L349" s="181">
        <v>601540.26000000013</v>
      </c>
      <c r="M349" s="181">
        <v>607186.97000000009</v>
      </c>
      <c r="N349" s="181">
        <v>610854.2899999998</v>
      </c>
      <c r="O349" s="181">
        <v>614573.83000000042</v>
      </c>
      <c r="P349" s="181">
        <v>618091.02000000025</v>
      </c>
      <c r="Q349" s="181">
        <v>619142.68999999994</v>
      </c>
      <c r="R349" s="182">
        <f t="shared" si="95"/>
        <v>7276725.7599999998</v>
      </c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7"/>
    </row>
    <row r="350" spans="2:31" outlineLevel="1">
      <c r="D350" s="183"/>
      <c r="E350" s="183">
        <v>32001</v>
      </c>
      <c r="F350" s="181">
        <v>4296.68</v>
      </c>
      <c r="G350" s="181">
        <v>4807.7700000000013</v>
      </c>
      <c r="H350" s="181">
        <v>7709.61</v>
      </c>
      <c r="I350" s="181">
        <v>7510.8</v>
      </c>
      <c r="J350" s="181">
        <v>5983.39</v>
      </c>
      <c r="K350" s="181">
        <v>6827.7800000000007</v>
      </c>
      <c r="L350" s="181">
        <v>5968.44</v>
      </c>
      <c r="M350" s="181">
        <v>8863.7500000000018</v>
      </c>
      <c r="N350" s="181">
        <v>7247.51</v>
      </c>
      <c r="O350" s="181">
        <v>8553.3799999999992</v>
      </c>
      <c r="P350" s="181">
        <v>7508.25</v>
      </c>
      <c r="Q350" s="181">
        <v>5429.37</v>
      </c>
      <c r="R350" s="182">
        <f t="shared" si="95"/>
        <v>80706.73</v>
      </c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7"/>
    </row>
    <row r="351" spans="2:31" outlineLevel="1">
      <c r="D351" s="183"/>
      <c r="E351" s="183">
        <v>33000</v>
      </c>
      <c r="F351" s="181">
        <v>185333.66999999998</v>
      </c>
      <c r="G351" s="181">
        <v>182569.91999999995</v>
      </c>
      <c r="H351" s="181">
        <v>182396.68999999997</v>
      </c>
      <c r="I351" s="181">
        <v>181411.75999999998</v>
      </c>
      <c r="J351" s="181">
        <v>181777.8</v>
      </c>
      <c r="K351" s="181">
        <v>181498.11</v>
      </c>
      <c r="L351" s="181">
        <v>186435.45999999996</v>
      </c>
      <c r="M351" s="181">
        <v>193337.87</v>
      </c>
      <c r="N351" s="181">
        <v>193262.74000000002</v>
      </c>
      <c r="O351" s="181">
        <v>196429.61000000002</v>
      </c>
      <c r="P351" s="181">
        <v>195473.83000000005</v>
      </c>
      <c r="Q351" s="181">
        <v>196270.41</v>
      </c>
      <c r="R351" s="182">
        <f t="shared" si="95"/>
        <v>2256197.87</v>
      </c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7"/>
    </row>
    <row r="352" spans="2:31" outlineLevel="1">
      <c r="D352" s="183"/>
      <c r="E352" s="183">
        <v>33001</v>
      </c>
      <c r="F352" s="181">
        <v>0</v>
      </c>
      <c r="G352" s="181">
        <v>0</v>
      </c>
      <c r="H352" s="181">
        <v>0</v>
      </c>
      <c r="I352" s="181">
        <v>0</v>
      </c>
      <c r="J352" s="181">
        <v>0</v>
      </c>
      <c r="K352" s="181">
        <v>0</v>
      </c>
      <c r="L352" s="181">
        <v>0</v>
      </c>
      <c r="M352" s="181">
        <v>0</v>
      </c>
      <c r="N352" s="181">
        <v>0</v>
      </c>
      <c r="O352" s="181">
        <v>0</v>
      </c>
      <c r="P352" s="181">
        <v>0</v>
      </c>
      <c r="Q352" s="181">
        <v>0</v>
      </c>
      <c r="R352" s="182">
        <f t="shared" si="95"/>
        <v>0</v>
      </c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7"/>
    </row>
    <row r="353" spans="1:31" outlineLevel="1">
      <c r="D353" s="183"/>
      <c r="E353" s="183">
        <v>33011</v>
      </c>
      <c r="F353" s="181">
        <v>1442.46</v>
      </c>
      <c r="G353" s="181">
        <v>1986.2600000000002</v>
      </c>
      <c r="H353" s="181">
        <v>2675.63</v>
      </c>
      <c r="I353" s="181">
        <v>2012.66</v>
      </c>
      <c r="J353" s="181">
        <v>1427.31</v>
      </c>
      <c r="K353" s="181">
        <v>1891.5900000000001</v>
      </c>
      <c r="L353" s="181">
        <v>2608.77</v>
      </c>
      <c r="M353" s="181">
        <v>3612.53</v>
      </c>
      <c r="N353" s="181">
        <v>3214.66</v>
      </c>
      <c r="O353" s="181">
        <v>4164.58</v>
      </c>
      <c r="P353" s="181">
        <v>5221.43</v>
      </c>
      <c r="Q353" s="181">
        <v>3015.26</v>
      </c>
      <c r="R353" s="182">
        <f t="shared" si="95"/>
        <v>33273.14</v>
      </c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7"/>
    </row>
    <row r="354" spans="1:31" outlineLevel="1">
      <c r="D354" s="183"/>
      <c r="E354" s="183">
        <v>38000</v>
      </c>
      <c r="F354" s="181">
        <v>639.15000000000009</v>
      </c>
      <c r="G354" s="181">
        <v>802.56999999999994</v>
      </c>
      <c r="H354" s="181">
        <v>870.77999999999986</v>
      </c>
      <c r="I354" s="181">
        <v>587.64</v>
      </c>
      <c r="J354" s="181">
        <v>932.45999999999992</v>
      </c>
      <c r="K354" s="181">
        <v>557.46</v>
      </c>
      <c r="L354" s="181">
        <v>531.34999999999991</v>
      </c>
      <c r="M354" s="181">
        <v>632.52</v>
      </c>
      <c r="N354" s="181">
        <v>612.29</v>
      </c>
      <c r="O354" s="181">
        <v>583.57000000000016</v>
      </c>
      <c r="P354" s="181">
        <v>493.21999999999997</v>
      </c>
      <c r="Q354" s="181">
        <v>705.99</v>
      </c>
      <c r="R354" s="182">
        <f t="shared" si="95"/>
        <v>7949.0000000000009</v>
      </c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7"/>
    </row>
    <row r="355" spans="1:31" outlineLevel="1">
      <c r="D355" s="183"/>
      <c r="E355" s="183" t="s">
        <v>784</v>
      </c>
      <c r="F355" s="181">
        <v>0</v>
      </c>
      <c r="G355" s="181">
        <v>0</v>
      </c>
      <c r="H355" s="181">
        <v>0</v>
      </c>
      <c r="I355" s="181">
        <v>0</v>
      </c>
      <c r="J355" s="181">
        <v>0</v>
      </c>
      <c r="K355" s="181">
        <v>0</v>
      </c>
      <c r="L355" s="181">
        <v>0</v>
      </c>
      <c r="M355" s="181">
        <v>0</v>
      </c>
      <c r="N355" s="181">
        <v>0</v>
      </c>
      <c r="O355" s="181">
        <v>0</v>
      </c>
      <c r="P355" s="181">
        <v>0</v>
      </c>
      <c r="Q355" s="181">
        <v>0</v>
      </c>
      <c r="R355" s="182">
        <f t="shared" si="95"/>
        <v>0</v>
      </c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7"/>
    </row>
    <row r="356" spans="1:31" outlineLevel="1">
      <c r="D356" s="183"/>
      <c r="E356" s="183" t="s">
        <v>785</v>
      </c>
      <c r="F356" s="181">
        <v>0</v>
      </c>
      <c r="G356" s="181">
        <v>0</v>
      </c>
      <c r="H356" s="181">
        <v>0</v>
      </c>
      <c r="I356" s="181">
        <v>0</v>
      </c>
      <c r="J356" s="181">
        <v>0</v>
      </c>
      <c r="K356" s="181">
        <v>0</v>
      </c>
      <c r="L356" s="181">
        <v>0</v>
      </c>
      <c r="M356" s="181">
        <v>0</v>
      </c>
      <c r="N356" s="181">
        <v>0</v>
      </c>
      <c r="O356" s="181">
        <v>0</v>
      </c>
      <c r="P356" s="181">
        <v>0</v>
      </c>
      <c r="Q356" s="181">
        <v>0</v>
      </c>
      <c r="R356" s="185">
        <f t="shared" si="95"/>
        <v>0</v>
      </c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7"/>
    </row>
    <row r="357" spans="1:31" outlineLevel="1">
      <c r="D357" s="183"/>
      <c r="E357" s="183"/>
      <c r="F357" s="186">
        <f>SUM(F345:F356)</f>
        <v>873927.38</v>
      </c>
      <c r="G357" s="186">
        <f t="shared" ref="G357:Q357" si="96">SUM(G345:G356)</f>
        <v>866761.4599999995</v>
      </c>
      <c r="H357" s="186">
        <f t="shared" si="96"/>
        <v>866816.1100000001</v>
      </c>
      <c r="I357" s="186">
        <f>SUM(I345:I356)</f>
        <v>874243.48999999987</v>
      </c>
      <c r="J357" s="186">
        <f t="shared" si="96"/>
        <v>852228.78</v>
      </c>
      <c r="K357" s="186">
        <f t="shared" si="96"/>
        <v>877076.17999999947</v>
      </c>
      <c r="L357" s="186">
        <f t="shared" si="96"/>
        <v>879359.36</v>
      </c>
      <c r="M357" s="186">
        <f t="shared" si="96"/>
        <v>900227.4800000001</v>
      </c>
      <c r="N357" s="186">
        <f t="shared" si="96"/>
        <v>895575.36999999988</v>
      </c>
      <c r="O357" s="186">
        <f t="shared" si="96"/>
        <v>901742.8200000003</v>
      </c>
      <c r="P357" s="186">
        <f t="shared" si="96"/>
        <v>917460.12000000034</v>
      </c>
      <c r="Q357" s="186">
        <f t="shared" si="96"/>
        <v>902190.73</v>
      </c>
      <c r="R357" s="187">
        <f t="shared" si="95"/>
        <v>10607609.280000001</v>
      </c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7"/>
    </row>
    <row r="358" spans="1:31" outlineLevel="1">
      <c r="D358" s="183"/>
      <c r="E358" s="183" t="s">
        <v>786</v>
      </c>
      <c r="F358" s="160">
        <f>+F343-F357</f>
        <v>-671.16999999992549</v>
      </c>
      <c r="G358" s="160">
        <f t="shared" ref="G358:Q358" si="97">+G343-G357</f>
        <v>-168.10999999952037</v>
      </c>
      <c r="H358" s="160">
        <f t="shared" si="97"/>
        <v>-225.26000000012573</v>
      </c>
      <c r="I358" s="160">
        <f>+I343-I357</f>
        <v>-334.03999999980442</v>
      </c>
      <c r="J358" s="160">
        <f t="shared" si="97"/>
        <v>-382.39000000001397</v>
      </c>
      <c r="K358" s="160">
        <f t="shared" si="97"/>
        <v>-1361.8599999992875</v>
      </c>
      <c r="L358" s="160">
        <f t="shared" si="97"/>
        <v>-70.770000000018626</v>
      </c>
      <c r="M358" s="160">
        <f t="shared" si="97"/>
        <v>-545.71000000007916</v>
      </c>
      <c r="N358" s="160">
        <f t="shared" si="97"/>
        <v>-419.65999999979977</v>
      </c>
      <c r="O358" s="160">
        <f t="shared" si="97"/>
        <v>-207.68000000016764</v>
      </c>
      <c r="P358" s="160">
        <f t="shared" si="97"/>
        <v>-866.28000000026077</v>
      </c>
      <c r="Q358" s="160">
        <f t="shared" si="97"/>
        <v>-381.38000000000466</v>
      </c>
      <c r="R358" s="171">
        <f t="shared" si="95"/>
        <v>-5634.3099999990081</v>
      </c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7"/>
    </row>
    <row r="359" spans="1:31" outlineLevel="1">
      <c r="D359" s="183"/>
      <c r="E359" s="183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57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7"/>
    </row>
    <row r="360" spans="1:31">
      <c r="P360" s="137"/>
      <c r="Q360" s="137"/>
      <c r="R360" s="157"/>
      <c r="S360" s="135"/>
      <c r="AE360" s="149"/>
    </row>
    <row r="361" spans="1:31" outlineLevel="1">
      <c r="B361" s="150" t="s">
        <v>787</v>
      </c>
      <c r="P361" s="137"/>
      <c r="Q361" s="137"/>
      <c r="R361" s="157"/>
      <c r="S361" s="135"/>
      <c r="AE361" s="149"/>
    </row>
    <row r="362" spans="1:31" outlineLevel="1">
      <c r="A362" s="135" t="str">
        <f>+$A$5&amp;$A$10&amp;B362</f>
        <v>AmericanResidentialRECYCLECR</v>
      </c>
      <c r="B362" s="116" t="s">
        <v>788</v>
      </c>
      <c r="C362" s="116" t="s">
        <v>789</v>
      </c>
      <c r="D362" s="155">
        <v>-0.88</v>
      </c>
      <c r="E362" s="155">
        <v>-0.63</v>
      </c>
      <c r="F362" s="156">
        <v>-16948.14</v>
      </c>
      <c r="G362" s="156">
        <v>-16872.91</v>
      </c>
      <c r="H362" s="156">
        <v>-16898.28</v>
      </c>
      <c r="I362" s="156">
        <v>-16912.809999999998</v>
      </c>
      <c r="J362" s="156">
        <v>-15765.02</v>
      </c>
      <c r="K362" s="156">
        <v>-13400.61</v>
      </c>
      <c r="L362" s="156">
        <v>-12284.119999999999</v>
      </c>
      <c r="M362" s="156">
        <v>-12424.189999999999</v>
      </c>
      <c r="N362" s="156">
        <v>-12472.72</v>
      </c>
      <c r="O362" s="156">
        <v>-12519.639999999998</v>
      </c>
      <c r="P362" s="156">
        <v>-12557.42</v>
      </c>
      <c r="Q362" s="156">
        <v>7778.9500000000007</v>
      </c>
      <c r="R362" s="157">
        <f>SUM(F362:Q362)</f>
        <v>-151276.90999999997</v>
      </c>
      <c r="S362" s="158">
        <f>+IFERROR(F362/$D362,0)</f>
        <v>19259.25</v>
      </c>
      <c r="T362" s="158">
        <f>+IFERROR(G362/$D362,0)</f>
        <v>19173.761363636364</v>
      </c>
      <c r="U362" s="158">
        <f>+IFERROR(H362/$D362,0)</f>
        <v>19202.590909090908</v>
      </c>
      <c r="V362" s="158">
        <f>+IFERROR(I362/$D362,0)</f>
        <v>19219.102272727268</v>
      </c>
      <c r="W362" s="158">
        <f>+IFERROR(J362/$D362,0)</f>
        <v>17914.795454545456</v>
      </c>
      <c r="X362" s="158">
        <f t="shared" ref="X362:AD364" si="98">+IFERROR(K362/$E362,0)</f>
        <v>21270.809523809523</v>
      </c>
      <c r="Y362" s="158">
        <f t="shared" si="98"/>
        <v>19498.603174603173</v>
      </c>
      <c r="Z362" s="158">
        <f t="shared" si="98"/>
        <v>19720.936507936505</v>
      </c>
      <c r="AA362" s="158">
        <f t="shared" si="98"/>
        <v>19797.968253968254</v>
      </c>
      <c r="AB362" s="158">
        <f t="shared" si="98"/>
        <v>19872.444444444442</v>
      </c>
      <c r="AC362" s="158">
        <f t="shared" si="98"/>
        <v>19932.4126984127</v>
      </c>
      <c r="AD362" s="158">
        <f t="shared" si="98"/>
        <v>-12347.539682539684</v>
      </c>
      <c r="AE362" s="157"/>
    </row>
    <row r="363" spans="1:31" outlineLevel="1">
      <c r="A363" s="135" t="str">
        <f>+$A$5&amp;$A$161&amp;B363</f>
        <v>AmericanMulti-FamilyMRECYCRCANS</v>
      </c>
      <c r="B363" s="116" t="s">
        <v>790</v>
      </c>
      <c r="C363" s="116" t="s">
        <v>789</v>
      </c>
      <c r="D363" s="155">
        <v>-0.88</v>
      </c>
      <c r="E363" s="155">
        <v>-0.63</v>
      </c>
      <c r="F363" s="156">
        <v>-217.36</v>
      </c>
      <c r="G363" s="156">
        <v>-216.48</v>
      </c>
      <c r="H363" s="156">
        <v>-218.24</v>
      </c>
      <c r="I363" s="156">
        <v>-220.22</v>
      </c>
      <c r="J363" s="156">
        <v>-220.88</v>
      </c>
      <c r="K363" s="156">
        <v>-158.01000000000002</v>
      </c>
      <c r="L363" s="156">
        <v>-159.87</v>
      </c>
      <c r="M363" s="156">
        <v>-161.6</v>
      </c>
      <c r="N363" s="156">
        <v>-161.91</v>
      </c>
      <c r="O363" s="156">
        <v>-164.44</v>
      </c>
      <c r="P363" s="156">
        <v>-166.48</v>
      </c>
      <c r="Q363" s="156">
        <v>-166.95</v>
      </c>
      <c r="R363" s="157">
        <f>SUM(F363:Q363)</f>
        <v>-2232.4399999999996</v>
      </c>
      <c r="S363" s="158">
        <f t="shared" ref="S363:W364" si="99">+IFERROR(F363/$D363,0)</f>
        <v>247.00000000000003</v>
      </c>
      <c r="T363" s="158">
        <f t="shared" si="99"/>
        <v>246</v>
      </c>
      <c r="U363" s="158">
        <f t="shared" si="99"/>
        <v>248</v>
      </c>
      <c r="V363" s="158">
        <f t="shared" si="99"/>
        <v>250.25</v>
      </c>
      <c r="W363" s="158">
        <f t="shared" si="99"/>
        <v>251</v>
      </c>
      <c r="X363" s="158">
        <f t="shared" si="98"/>
        <v>250.80952380952382</v>
      </c>
      <c r="Y363" s="158">
        <f t="shared" si="98"/>
        <v>253.76190476190476</v>
      </c>
      <c r="Z363" s="158">
        <f t="shared" si="98"/>
        <v>256.50793650793651</v>
      </c>
      <c r="AA363" s="158">
        <f t="shared" si="98"/>
        <v>257</v>
      </c>
      <c r="AB363" s="158">
        <f t="shared" si="98"/>
        <v>261.01587301587301</v>
      </c>
      <c r="AC363" s="158">
        <f t="shared" si="98"/>
        <v>264.25396825396825</v>
      </c>
      <c r="AD363" s="158">
        <f t="shared" si="98"/>
        <v>265</v>
      </c>
      <c r="AE363" s="157"/>
    </row>
    <row r="364" spans="1:31" outlineLevel="1">
      <c r="A364" s="135" t="str">
        <f>+$A$5&amp;$A$161&amp;B364</f>
        <v>AmericanMulti-FamilyMRECYCRCONT</v>
      </c>
      <c r="B364" s="116" t="s">
        <v>791</v>
      </c>
      <c r="C364" s="116" t="s">
        <v>789</v>
      </c>
      <c r="D364" s="155">
        <v>-1.65</v>
      </c>
      <c r="E364" s="155">
        <v>-1.34</v>
      </c>
      <c r="F364" s="156">
        <v>-757.25</v>
      </c>
      <c r="G364" s="156">
        <v>-757.25</v>
      </c>
      <c r="H364" s="156">
        <v>-756.83</v>
      </c>
      <c r="I364" s="156">
        <v>-763.45</v>
      </c>
      <c r="J364" s="156">
        <v>-758.9</v>
      </c>
      <c r="K364" s="156">
        <v>-647.38</v>
      </c>
      <c r="L364" s="156">
        <v>-597.27</v>
      </c>
      <c r="M364" s="156">
        <v>-599.62</v>
      </c>
      <c r="N364" s="156">
        <v>-584.53</v>
      </c>
      <c r="O364" s="156">
        <v>-592.74</v>
      </c>
      <c r="P364" s="156">
        <v>-597.25</v>
      </c>
      <c r="Q364" s="156">
        <v>-589.53000000000009</v>
      </c>
      <c r="R364" s="157">
        <f>SUM(F364:Q364)</f>
        <v>-8001.9999999999991</v>
      </c>
      <c r="S364" s="158">
        <f t="shared" si="99"/>
        <v>458.93939393939394</v>
      </c>
      <c r="T364" s="158">
        <f t="shared" si="99"/>
        <v>458.93939393939394</v>
      </c>
      <c r="U364" s="158">
        <f t="shared" si="99"/>
        <v>458.68484848484854</v>
      </c>
      <c r="V364" s="158">
        <f t="shared" si="99"/>
        <v>462.69696969696975</v>
      </c>
      <c r="W364" s="158">
        <f t="shared" si="99"/>
        <v>459.93939393939394</v>
      </c>
      <c r="X364" s="158">
        <f t="shared" si="98"/>
        <v>483.1194029850746</v>
      </c>
      <c r="Y364" s="158">
        <f t="shared" si="98"/>
        <v>445.7238805970149</v>
      </c>
      <c r="Z364" s="158">
        <f t="shared" si="98"/>
        <v>447.47761194029846</v>
      </c>
      <c r="AA364" s="158">
        <f t="shared" si="98"/>
        <v>436.21641791044772</v>
      </c>
      <c r="AB364" s="158">
        <f t="shared" si="98"/>
        <v>442.34328358208955</v>
      </c>
      <c r="AC364" s="158">
        <f t="shared" si="98"/>
        <v>445.70895522388059</v>
      </c>
      <c r="AD364" s="158">
        <f t="shared" si="98"/>
        <v>439.94776119402991</v>
      </c>
      <c r="AE364" s="157"/>
    </row>
    <row r="365" spans="1:31" outlineLevel="1">
      <c r="P365" s="137"/>
      <c r="Q365" s="137"/>
      <c r="R365" s="157"/>
      <c r="S365" s="135"/>
      <c r="AE365" s="149"/>
    </row>
    <row r="366" spans="1:31">
      <c r="C366" s="159" t="s">
        <v>792</v>
      </c>
      <c r="F366" s="162">
        <f t="shared" ref="F366:K366" si="100">+SUM(F362:F365)</f>
        <v>-17922.75</v>
      </c>
      <c r="G366" s="162">
        <f t="shared" si="100"/>
        <v>-17846.64</v>
      </c>
      <c r="H366" s="162">
        <f t="shared" si="100"/>
        <v>-17873.350000000002</v>
      </c>
      <c r="I366" s="162">
        <f t="shared" si="100"/>
        <v>-17896.48</v>
      </c>
      <c r="J366" s="162">
        <f t="shared" si="100"/>
        <v>-16744.8</v>
      </c>
      <c r="K366" s="162">
        <f t="shared" si="100"/>
        <v>-14206</v>
      </c>
      <c r="L366" s="162">
        <f t="shared" ref="L366:AD366" si="101">+SUM(L362:L365)</f>
        <v>-13041.26</v>
      </c>
      <c r="M366" s="162">
        <f t="shared" si="101"/>
        <v>-13185.41</v>
      </c>
      <c r="N366" s="162">
        <f t="shared" si="101"/>
        <v>-13219.16</v>
      </c>
      <c r="O366" s="162">
        <f t="shared" si="101"/>
        <v>-13276.819999999998</v>
      </c>
      <c r="P366" s="162">
        <f t="shared" si="101"/>
        <v>-13321.15</v>
      </c>
      <c r="Q366" s="162">
        <f t="shared" si="101"/>
        <v>7022.4700000000012</v>
      </c>
      <c r="R366" s="163">
        <f>SUM(F366:Q366)</f>
        <v>-161511.35</v>
      </c>
      <c r="S366" s="162">
        <f t="shared" si="101"/>
        <v>19965.189393939392</v>
      </c>
      <c r="T366" s="162">
        <f t="shared" si="101"/>
        <v>19878.700757575756</v>
      </c>
      <c r="U366" s="162">
        <f t="shared" si="101"/>
        <v>19909.275757575757</v>
      </c>
      <c r="V366" s="162">
        <f t="shared" si="101"/>
        <v>19932.049242424237</v>
      </c>
      <c r="W366" s="162">
        <f t="shared" si="101"/>
        <v>18625.734848484848</v>
      </c>
      <c r="X366" s="162">
        <f t="shared" si="101"/>
        <v>22004.73845060412</v>
      </c>
      <c r="Y366" s="162">
        <f t="shared" si="101"/>
        <v>20198.088959962093</v>
      </c>
      <c r="Z366" s="162">
        <f t="shared" si="101"/>
        <v>20424.922056384741</v>
      </c>
      <c r="AA366" s="162">
        <f t="shared" si="101"/>
        <v>20491.184671878702</v>
      </c>
      <c r="AB366" s="162">
        <f t="shared" si="101"/>
        <v>20575.803601042404</v>
      </c>
      <c r="AC366" s="162">
        <f t="shared" si="101"/>
        <v>20642.375621890547</v>
      </c>
      <c r="AD366" s="162">
        <f t="shared" si="101"/>
        <v>-11642.591921345655</v>
      </c>
      <c r="AE366" s="166"/>
    </row>
    <row r="367" spans="1:31">
      <c r="P367" s="158"/>
      <c r="Q367" s="158"/>
      <c r="R367" s="158"/>
      <c r="S367" s="135"/>
    </row>
    <row r="368" spans="1:31">
      <c r="P368" s="158"/>
      <c r="Q368" s="158"/>
      <c r="R368" s="158"/>
      <c r="S368" s="135"/>
    </row>
    <row r="369" spans="16:19">
      <c r="P369" s="158"/>
      <c r="Q369" s="158"/>
      <c r="R369" s="158"/>
      <c r="S369" s="135"/>
    </row>
    <row r="370" spans="16:19">
      <c r="P370" s="158"/>
      <c r="Q370" s="158"/>
      <c r="R370" s="158"/>
      <c r="S370" s="135"/>
    </row>
    <row r="371" spans="16:19">
      <c r="P371" s="158"/>
      <c r="Q371" s="158"/>
      <c r="R371" s="158"/>
      <c r="S371" s="135"/>
    </row>
    <row r="372" spans="16:19">
      <c r="P372" s="158"/>
      <c r="Q372" s="158"/>
      <c r="R372" s="158"/>
      <c r="S372" s="135"/>
    </row>
    <row r="373" spans="16:19">
      <c r="P373" s="158"/>
      <c r="Q373" s="158"/>
      <c r="R373" s="158"/>
      <c r="S373" s="135"/>
    </row>
    <row r="374" spans="16:19">
      <c r="P374" s="158"/>
      <c r="Q374" s="158"/>
      <c r="R374" s="158"/>
      <c r="S374" s="135"/>
    </row>
    <row r="375" spans="16:19">
      <c r="P375" s="158"/>
      <c r="Q375" s="158"/>
      <c r="R375" s="158"/>
      <c r="S375" s="135"/>
    </row>
    <row r="376" spans="16:19">
      <c r="P376" s="158"/>
      <c r="Q376" s="158"/>
      <c r="R376" s="158"/>
      <c r="S376" s="135"/>
    </row>
    <row r="377" spans="16:19">
      <c r="P377" s="158"/>
      <c r="Q377" s="158"/>
      <c r="R377" s="158"/>
      <c r="S377" s="135"/>
    </row>
    <row r="378" spans="16:19">
      <c r="P378" s="158"/>
      <c r="Q378" s="158"/>
      <c r="R378" s="158"/>
      <c r="S378" s="135"/>
    </row>
    <row r="379" spans="16:19">
      <c r="P379" s="158"/>
      <c r="Q379" s="158"/>
      <c r="R379" s="158"/>
      <c r="S379" s="135"/>
    </row>
    <row r="380" spans="16:19">
      <c r="S380" s="135"/>
    </row>
    <row r="381" spans="16:19">
      <c r="S381" s="135"/>
    </row>
    <row r="382" spans="16:19">
      <c r="S382" s="135"/>
    </row>
    <row r="383" spans="16:19">
      <c r="S383" s="135"/>
    </row>
    <row r="384" spans="16:19">
      <c r="S384" s="135"/>
    </row>
    <row r="385" spans="19:19">
      <c r="S385" s="135"/>
    </row>
    <row r="386" spans="19:19">
      <c r="S386" s="135"/>
    </row>
    <row r="387" spans="19:19">
      <c r="S387" s="135"/>
    </row>
    <row r="388" spans="19:19">
      <c r="S388" s="135"/>
    </row>
    <row r="389" spans="19:19">
      <c r="S389" s="135"/>
    </row>
    <row r="390" spans="19:19">
      <c r="S390" s="135"/>
    </row>
    <row r="391" spans="19:19">
      <c r="S391" s="135"/>
    </row>
    <row r="392" spans="19:19">
      <c r="S392" s="135"/>
    </row>
    <row r="393" spans="19:19">
      <c r="S393" s="135"/>
    </row>
    <row r="394" spans="19:19">
      <c r="S394" s="135"/>
    </row>
    <row r="395" spans="19:19">
      <c r="S395" s="135"/>
    </row>
    <row r="396" spans="19:19">
      <c r="S396" s="135"/>
    </row>
    <row r="397" spans="19:19">
      <c r="S397" s="135"/>
    </row>
    <row r="398" spans="19:19">
      <c r="S398" s="135"/>
    </row>
    <row r="399" spans="19:19">
      <c r="S399" s="135"/>
    </row>
    <row r="400" spans="19:19">
      <c r="S400" s="135"/>
    </row>
    <row r="401" spans="19:19">
      <c r="S401" s="135"/>
    </row>
    <row r="402" spans="19:19">
      <c r="S402" s="135"/>
    </row>
    <row r="403" spans="19:19">
      <c r="S403" s="135"/>
    </row>
    <row r="404" spans="19:19">
      <c r="S404" s="135"/>
    </row>
  </sheetData>
  <mergeCells count="2">
    <mergeCell ref="F5:Q5"/>
    <mergeCell ref="S5:AE5"/>
  </mergeCells>
  <pageMargins left="0.7" right="0.7" top="0.75" bottom="0.75" header="0.3" footer="0.3"/>
  <pageSetup scale="78" fitToHeight="7" orientation="portrait" errors="blank" r:id="rId1"/>
  <headerFooter>
    <oddHeader>&amp;R&amp;F
&amp;A</oddHeader>
    <oddFooter>&amp;L&amp;D&amp;C&amp;P&amp;R&amp;T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2022-02-15T08:00:00+00:00</OpenedDate>
    <Date1 xmlns="dc463f71-b30c-4ab2-9473-d307f9d35888">2022-02-15T08:00:00+00:00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DocketNumber xmlns="dc463f71-b30c-4ab2-9473-d307f9d35888">220104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8423B55BD0F564FAE262A5A597B1DF3" ma:contentTypeVersion="20" ma:contentTypeDescription="" ma:contentTypeScope="" ma:versionID="33dcbe7e3559548370fce757fcb947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11DB4-3EBC-4224-B614-8F3A5117EE75}">
  <ds:schemaRefs>
    <ds:schemaRef ds:uri="http://www.w3.org/XML/1998/namespace"/>
    <ds:schemaRef ds:uri="dc463f71-b30c-4ab2-9473-d307f9d3588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E9956C-F51E-4C78-B797-D8AD4F066E04}"/>
</file>

<file path=customXml/itemProps3.xml><?xml version="1.0" encoding="utf-8"?>
<ds:datastoreItem xmlns:ds="http://schemas.openxmlformats.org/officeDocument/2006/customXml" ds:itemID="{93A1A840-C50B-43CB-99A6-8322DF6219CE}"/>
</file>

<file path=customXml/itemProps4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References</vt:lpstr>
      <vt:lpstr>DF Calculation</vt:lpstr>
      <vt:lpstr>To Populate Tariff</vt:lpstr>
      <vt:lpstr>Mapping</vt:lpstr>
      <vt:lpstr>Murrey's Price Out</vt:lpstr>
      <vt:lpstr>American Price Out</vt:lpstr>
      <vt:lpstr>'American Price Out'!Print_Area</vt:lpstr>
      <vt:lpstr>'DF Calculation'!Print_Area</vt:lpstr>
      <vt:lpstr>Mapping!Print_Area</vt:lpstr>
      <vt:lpstr>'To Populate Tariff'!Print_Area</vt:lpstr>
      <vt:lpstr>'American Price Out'!Print_Titles</vt:lpstr>
      <vt:lpstr>'DF Calculation'!Print_Titles</vt:lpstr>
      <vt:lpstr>Mapping!Print_Titles</vt:lpstr>
      <vt:lpstr>'Murrey''s Price Out'!Print_Titles</vt:lpstr>
      <vt:lpstr>'To Populate Tariff'!Print_Titles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2022-02-15T18:52:07Z</cp:lastPrinted>
  <dcterms:created xsi:type="dcterms:W3CDTF">2013-10-29T22:33:54Z</dcterms:created>
  <dcterms:modified xsi:type="dcterms:W3CDTF">2022-02-15T18:52:43Z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0x0101006E56B4D1795A2E4DB2F0B01679ED314A0098423B55BD0F564FAE262A5A597B1DF3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