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Tariffs\1. Open Advices\2021-44 Schedule 137 - Temporary Customer Charge or Credit (UX-21xxxx) (Eff. 01-01-22)\Workpapers\"/>
    </mc:Choice>
  </mc:AlternateContent>
  <bookViews>
    <workbookView xWindow="-15" yWindow="45" windowWidth="14520" windowHeight="13545" tabRatio="762"/>
  </bookViews>
  <sheets>
    <sheet name="Revenue Requirement" sheetId="1" r:id="rId1"/>
    <sheet name="Tracking Accounts" sheetId="2" r:id="rId2"/>
    <sheet name="Intrst Rev &amp; Tfr Bal Jan 21" sheetId="14" r:id="rId3"/>
    <sheet name="Conv F and COC UE-190529" sheetId="12" r:id="rId4"/>
  </sheets>
  <externalReferences>
    <externalReference r:id="rId5"/>
    <externalReference r:id="rId6"/>
    <externalReference r:id="rId7"/>
  </externalReferences>
  <definedNames>
    <definedName name="_Testyear">'[1]KJB-6,13 Cmn Adj'!$B$7</definedName>
    <definedName name="CASE_E">'[2]Named Ranges E'!$C$4</definedName>
    <definedName name="FIT_E">'[2]Named Ranges E'!$C$3</definedName>
    <definedName name="k_FITrate" localSheetId="2">'[3]Conv Factor'!$L$20</definedName>
    <definedName name="k_FITrate">#REF!</definedName>
    <definedName name="_xlnm.Print_Area" localSheetId="0">'Revenue Requirement'!$A$1:$D$16</definedName>
    <definedName name="TESTYEAR_E">'[2]Named Ranges E'!$C$5</definedName>
  </definedNames>
  <calcPr calcId="162913"/>
</workbook>
</file>

<file path=xl/calcChain.xml><?xml version="1.0" encoding="utf-8"?>
<calcChain xmlns="http://schemas.openxmlformats.org/spreadsheetml/2006/main">
  <c r="Q16" i="14" l="1"/>
  <c r="H16" i="14"/>
  <c r="F36" i="2"/>
  <c r="R44" i="14" l="1"/>
  <c r="P18" i="14"/>
  <c r="O18" i="14"/>
  <c r="N18" i="14"/>
  <c r="Q18" i="14" s="1"/>
  <c r="S18" i="14" s="1"/>
  <c r="M18" i="14"/>
  <c r="K18" i="14"/>
  <c r="I18" i="14"/>
  <c r="D18" i="14"/>
  <c r="C18" i="14"/>
  <c r="P17" i="14"/>
  <c r="M17" i="14"/>
  <c r="N17" i="14" s="1"/>
  <c r="K17" i="14"/>
  <c r="I17" i="14"/>
  <c r="C17" i="14"/>
  <c r="D17" i="14" s="1"/>
  <c r="S16" i="14"/>
  <c r="P16" i="14"/>
  <c r="M16" i="14"/>
  <c r="N16" i="14" s="1"/>
  <c r="K16" i="14"/>
  <c r="D16" i="14"/>
  <c r="G16" i="14" s="1"/>
  <c r="I16" i="14" s="1"/>
  <c r="C16" i="14"/>
  <c r="P15" i="14"/>
  <c r="M15" i="14"/>
  <c r="N15" i="14" s="1"/>
  <c r="Q15" i="14" s="1"/>
  <c r="S15" i="14" s="1"/>
  <c r="K15" i="14"/>
  <c r="D15" i="14"/>
  <c r="G15" i="14" s="1"/>
  <c r="I15" i="14" s="1"/>
  <c r="C15" i="14"/>
  <c r="P14" i="14"/>
  <c r="M14" i="14"/>
  <c r="N14" i="14" s="1"/>
  <c r="K14" i="14"/>
  <c r="C14" i="14"/>
  <c r="D14" i="14" s="1"/>
  <c r="G14" i="14" s="1"/>
  <c r="I14" i="14" s="1"/>
  <c r="P13" i="14"/>
  <c r="M13" i="14"/>
  <c r="N13" i="14" s="1"/>
  <c r="Q13" i="14" s="1"/>
  <c r="S13" i="14" s="1"/>
  <c r="K13" i="14"/>
  <c r="D13" i="14"/>
  <c r="G13" i="14" s="1"/>
  <c r="I13" i="14" s="1"/>
  <c r="C13" i="14"/>
  <c r="P12" i="14"/>
  <c r="M12" i="14"/>
  <c r="N12" i="14" s="1"/>
  <c r="K12" i="14"/>
  <c r="D12" i="14"/>
  <c r="G12" i="14" s="1"/>
  <c r="I12" i="14" s="1"/>
  <c r="C12" i="14"/>
  <c r="P11" i="14"/>
  <c r="M11" i="14"/>
  <c r="N11" i="14" s="1"/>
  <c r="Q11" i="14" s="1"/>
  <c r="S11" i="14" s="1"/>
  <c r="K11" i="14"/>
  <c r="D11" i="14"/>
  <c r="C11" i="14"/>
  <c r="P10" i="14"/>
  <c r="M10" i="14"/>
  <c r="N10" i="14" s="1"/>
  <c r="K10" i="14"/>
  <c r="C10" i="14"/>
  <c r="D10" i="14" s="1"/>
  <c r="G10" i="14" s="1"/>
  <c r="I10" i="14" s="1"/>
  <c r="P9" i="14"/>
  <c r="M9" i="14"/>
  <c r="N9" i="14" s="1"/>
  <c r="Q9" i="14" s="1"/>
  <c r="S9" i="14" s="1"/>
  <c r="K9" i="14"/>
  <c r="D9" i="14"/>
  <c r="G9" i="14" s="1"/>
  <c r="I9" i="14" s="1"/>
  <c r="C9" i="14"/>
  <c r="P8" i="14"/>
  <c r="M8" i="14"/>
  <c r="N8" i="14" s="1"/>
  <c r="Q8" i="14" s="1"/>
  <c r="S8" i="14" s="1"/>
  <c r="K8" i="14"/>
  <c r="D8" i="14"/>
  <c r="G8" i="14" s="1"/>
  <c r="I8" i="14" s="1"/>
  <c r="C8" i="14"/>
  <c r="P7" i="14"/>
  <c r="M7" i="14"/>
  <c r="N7" i="14" s="1"/>
  <c r="K7" i="14"/>
  <c r="D7" i="14"/>
  <c r="G7" i="14" s="1"/>
  <c r="I7" i="14" s="1"/>
  <c r="C7" i="14"/>
  <c r="P6" i="14"/>
  <c r="M6" i="14"/>
  <c r="N6" i="14" s="1"/>
  <c r="Q6" i="14" s="1"/>
  <c r="S6" i="14" s="1"/>
  <c r="K6" i="14"/>
  <c r="C6" i="14"/>
  <c r="D6" i="14" s="1"/>
  <c r="G6" i="14" s="1"/>
  <c r="I6" i="14" s="1"/>
  <c r="P5" i="14"/>
  <c r="M5" i="14"/>
  <c r="N5" i="14" s="1"/>
  <c r="Q5" i="14" s="1"/>
  <c r="S5" i="14" s="1"/>
  <c r="K5" i="14"/>
  <c r="D5" i="14"/>
  <c r="G5" i="14" s="1"/>
  <c r="I5" i="14" s="1"/>
  <c r="C5" i="14"/>
  <c r="N4" i="14"/>
  <c r="M4" i="14"/>
  <c r="K4" i="14"/>
  <c r="C4" i="14"/>
  <c r="D4" i="14" s="1"/>
  <c r="O27" i="2"/>
  <c r="O28" i="2" s="1"/>
  <c r="O29" i="2" s="1"/>
  <c r="O30" i="2" s="1"/>
  <c r="O31" i="2" s="1"/>
  <c r="O32" i="2" s="1"/>
  <c r="O33" i="2" s="1"/>
  <c r="O34" i="2" s="1"/>
  <c r="O35" i="2" s="1"/>
  <c r="O36" i="2" s="1"/>
  <c r="G27" i="2"/>
  <c r="G28" i="2" s="1"/>
  <c r="G29" i="2" s="1"/>
  <c r="G30" i="2" s="1"/>
  <c r="G31" i="2" s="1"/>
  <c r="G32" i="2" s="1"/>
  <c r="G33" i="2" s="1"/>
  <c r="G34" i="2" s="1"/>
  <c r="G35" i="2" s="1"/>
  <c r="G36" i="2" s="1"/>
  <c r="O9" i="2"/>
  <c r="O10" i="2" s="1"/>
  <c r="O11" i="2" s="1"/>
  <c r="O12" i="2" s="1"/>
  <c r="O13" i="2" s="1"/>
  <c r="O14" i="2" s="1"/>
  <c r="O15" i="2" s="1"/>
  <c r="O16" i="2" s="1"/>
  <c r="O17" i="2" s="1"/>
  <c r="O18" i="2" s="1"/>
  <c r="Q10" i="14" l="1"/>
  <c r="S10" i="14" s="1"/>
  <c r="Q7" i="14"/>
  <c r="S7" i="14" s="1"/>
  <c r="Q12" i="14"/>
  <c r="S12" i="14" s="1"/>
  <c r="I20" i="14"/>
  <c r="I21" i="14" s="1"/>
  <c r="G11" i="14"/>
  <c r="I11" i="14" s="1"/>
  <c r="I19" i="14" s="1"/>
  <c r="Q14" i="14"/>
  <c r="S14" i="14" s="1"/>
  <c r="S17" i="14"/>
  <c r="S19" i="14" l="1"/>
  <c r="B14" i="1"/>
  <c r="B12" i="1" l="1"/>
  <c r="B11" i="1"/>
  <c r="C11" i="1" l="1"/>
  <c r="G9" i="2"/>
  <c r="G10" i="2" s="1"/>
  <c r="G11" i="2" s="1"/>
  <c r="G12" i="2" s="1"/>
  <c r="G13" i="2" s="1"/>
  <c r="G14" i="2" s="1"/>
  <c r="G15" i="2" s="1"/>
  <c r="G16" i="2" s="1"/>
  <c r="G17" i="2" s="1"/>
  <c r="G18" i="2" s="1"/>
  <c r="J19" i="12" l="1"/>
  <c r="G18" i="12"/>
  <c r="D17" i="12"/>
  <c r="D16" i="12"/>
  <c r="C16" i="12"/>
  <c r="J14" i="12"/>
  <c r="G14" i="12" s="1"/>
  <c r="F14" i="12"/>
  <c r="F15" i="12" s="1"/>
  <c r="F16" i="12" s="1"/>
  <c r="F17" i="12" s="1"/>
  <c r="F18" i="12" s="1"/>
  <c r="F13" i="12"/>
  <c r="E13" i="12"/>
  <c r="A13" i="12"/>
  <c r="A14" i="12" s="1"/>
  <c r="A15" i="12" s="1"/>
  <c r="A16" i="12" s="1"/>
  <c r="A17" i="12" s="1"/>
  <c r="A18" i="12" s="1"/>
  <c r="C14" i="12"/>
  <c r="F19" i="12" l="1"/>
  <c r="F20" i="12" s="1"/>
  <c r="J16" i="12"/>
  <c r="J18" i="12" s="1"/>
  <c r="J20" i="12" s="1"/>
  <c r="C17" i="12"/>
  <c r="E17" i="12" s="1"/>
  <c r="E12" i="12"/>
  <c r="C18" i="12" l="1"/>
  <c r="G20" i="12"/>
  <c r="E14" i="12"/>
  <c r="E16" i="12"/>
  <c r="E18" i="12" s="1"/>
  <c r="B9" i="1" l="1"/>
  <c r="B10" i="1"/>
  <c r="B13" i="1" l="1"/>
  <c r="C9" i="1"/>
  <c r="C13" i="1" s="1"/>
  <c r="D11" i="1" l="1"/>
  <c r="B15" i="1" l="1"/>
  <c r="B19" i="1" s="1"/>
  <c r="D9" i="1"/>
  <c r="D13" i="1" s="1"/>
</calcChain>
</file>

<file path=xl/sharedStrings.xml><?xml version="1.0" encoding="utf-8"?>
<sst xmlns="http://schemas.openxmlformats.org/spreadsheetml/2006/main" count="139" uniqueCount="78">
  <si>
    <t>Gross up for revenue sensitive items</t>
  </si>
  <si>
    <t>Over / under pass back of proceeds from prior rate period</t>
  </si>
  <si>
    <t>Over / under pass back of interest from prior rate period</t>
  </si>
  <si>
    <t>Revenue Requirement</t>
  </si>
  <si>
    <t>Description</t>
  </si>
  <si>
    <t>New net proceeds to be passed back</t>
  </si>
  <si>
    <t>Period</t>
  </si>
  <si>
    <t>Debit</t>
  </si>
  <si>
    <t>Credit</t>
  </si>
  <si>
    <t>Balance</t>
  </si>
  <si>
    <t>Cumulative balance</t>
  </si>
  <si>
    <t>Balance Carryforward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</si>
  <si>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</si>
  <si>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</si>
  <si>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</si>
  <si>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</si>
  <si>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</si>
  <si>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</si>
  <si>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</si>
  <si>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</si>
  <si>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</si>
  <si>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</si>
  <si>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CONVERSION FACTOR</t>
  </si>
  <si>
    <t>LINE</t>
  </si>
  <si>
    <t>NO.</t>
  </si>
  <si>
    <t>DESCRIPTION</t>
  </si>
  <si>
    <t>BAD DEBTS</t>
  </si>
  <si>
    <t>ANNUAL FILING FEE</t>
  </si>
  <si>
    <t>SUM OF TAXES OTHER</t>
  </si>
  <si>
    <t>25400291 Proceeds Already Set in Rates - Currently Amortizing</t>
  </si>
  <si>
    <t>25400221 REC Current Proceeds Not in Rates</t>
  </si>
  <si>
    <t>Revenue Requirement for Schedule 137</t>
  </si>
  <si>
    <t>REC</t>
  </si>
  <si>
    <t>Sched 137</t>
  </si>
  <si>
    <t>Allocation b/w</t>
  </si>
  <si>
    <t>Prin and Int</t>
  </si>
  <si>
    <t>25400301 Interest on RECs IN RATES</t>
  </si>
  <si>
    <t>25400311 Interest on RECs NOT In Rates</t>
  </si>
  <si>
    <t>Interest Review for REC proceeds in and not-yet-in rates:  Account # 25400221 and 25400291</t>
  </si>
  <si>
    <t>Date</t>
  </si>
  <si>
    <t>Accumulated DFIT</t>
  </si>
  <si>
    <t>Proceeds net of DFIT</t>
  </si>
  <si>
    <t>FIT Grossup Factor</t>
  </si>
  <si>
    <t>Monthly Interest on 25400221 S/B CR to 25400311 DR to 43100181</t>
  </si>
  <si>
    <t>Difference S/B recorded to 25400301</t>
  </si>
  <si>
    <t>Net Balance</t>
  </si>
  <si>
    <t>Monthly Interest on 25400291 S/B  CR to 25400301 DR to 43100141</t>
  </si>
  <si>
    <t>COST</t>
  </si>
  <si>
    <t>CAPITAL</t>
  </si>
  <si>
    <t>EQUITY</t>
  </si>
  <si>
    <t>TOTAL AFTER TAX COST OF CAPITAL</t>
  </si>
  <si>
    <t>Based on actual balance using authorized ROR and FIT rate</t>
  </si>
  <si>
    <r>
      <t xml:space="preserve">Balance Proceeds </t>
    </r>
    <r>
      <rPr>
        <sz val="11"/>
        <color rgb="FF0000FF"/>
        <rFont val="Calibri"/>
        <family val="2"/>
      </rPr>
      <t>Not In Rates</t>
    </r>
    <r>
      <rPr>
        <sz val="11"/>
        <color theme="1"/>
        <rFont val="Calibri"/>
        <family val="2"/>
        <scheme val="minor"/>
      </rPr>
      <t xml:space="preserve"> 25400221</t>
    </r>
  </si>
  <si>
    <r>
      <t xml:space="preserve">Balance Proceeds </t>
    </r>
    <r>
      <rPr>
        <sz val="11"/>
        <color rgb="FF0000FF"/>
        <rFont val="Calibri"/>
        <family val="2"/>
      </rPr>
      <t>In Rates</t>
    </r>
    <r>
      <rPr>
        <sz val="11"/>
        <color theme="1"/>
        <rFont val="Calibri"/>
        <family val="2"/>
        <scheme val="minor"/>
      </rPr>
      <t xml:space="preserve"> 25400291</t>
    </r>
  </si>
  <si>
    <t>Difference S/B recorded to 25400311</t>
  </si>
  <si>
    <t>After Tax Interest % UE-180282</t>
  </si>
  <si>
    <t>EXH. SEF-18E page 2 of 6</t>
  </si>
  <si>
    <t>EXH. SEF-18E page 3 of 6</t>
  </si>
  <si>
    <t xml:space="preserve">PUGET SOUND ENERGY </t>
  </si>
  <si>
    <t>ELECTRIC RESULTS OF OPERATIONS</t>
  </si>
  <si>
    <t>COST OF CAPITAL - GRC</t>
  </si>
  <si>
    <t>WEIGHTED</t>
  </si>
  <si>
    <t>STRUCTURE</t>
  </si>
  <si>
    <t>SHORT AND LONG TERM DEBT</t>
  </si>
  <si>
    <t>TOTAL</t>
  </si>
  <si>
    <t>AFTER TAX SHORT TERM DEBT ( (LINE 1)* 79%)</t>
  </si>
  <si>
    <t>12 MONTHS ENDED DECEMBER 31, 2018</t>
  </si>
  <si>
    <t>2019 GENERAL RATE CASE</t>
  </si>
  <si>
    <t>FEDERAL INCOME TAX ( LINE 7  * 21% )</t>
  </si>
  <si>
    <t>UE-190529</t>
  </si>
  <si>
    <r>
      <t xml:space="preserve">Actually Recorded to 25400311 </t>
    </r>
    <r>
      <rPr>
        <i/>
        <sz val="11"/>
        <color theme="1"/>
        <rFont val="Calibri"/>
        <family val="2"/>
      </rPr>
      <t>excluding prior trueups</t>
    </r>
  </si>
  <si>
    <t>Interest not in rates to be passed back through Oct 2020</t>
  </si>
  <si>
    <t>Decrease to Revenue Requirement Credit</t>
  </si>
  <si>
    <t>To Be Effective January 1, 2022</t>
  </si>
  <si>
    <t>Transfer of Proceeds</t>
  </si>
  <si>
    <t>REC's 2021 Actuals for 2022 rates</t>
  </si>
  <si>
    <t>Actually Recorded to 25400301 (Drill into acct entry)</t>
  </si>
  <si>
    <t>Revenue Requirement Effective January 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</si>
</sst>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.000000_);[Red]\(#,##0.000000\)"/>
    <numFmt numFmtId="165" formatCode="0.000000"/>
    <numFmt numFmtId="166" formatCode="0.0000%"/>
    <numFmt numFmtId="167" formatCode="_(* #,##0_);_(* \(#,##0\);_(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0000FF"/>
      <name val="Calibri"/>
      <family val="2"/>
    </font>
    <font>
      <sz val="8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Calibri"/>
      <family val="2"/>
    </font>
    <font>
      <sz val="9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DD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9" fillId="0" borderId="0"/>
    <xf numFmtId="0" fontId="1" fillId="0" borderId="0"/>
    <xf numFmtId="0" fontId="19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4" fontId="0" fillId="0" borderId="0" xfId="0" applyNumberFormat="1"/>
    <xf numFmtId="41" fontId="0" fillId="0" borderId="0" xfId="0" applyNumberFormat="1"/>
    <xf numFmtId="42" fontId="0" fillId="0" borderId="0" xfId="0" applyNumberFormat="1"/>
    <xf numFmtId="41" fontId="0" fillId="0" borderId="11" xfId="0" applyNumberFormat="1" applyBorder="1"/>
    <xf numFmtId="42" fontId="0" fillId="0" borderId="12" xfId="0" applyNumberFormat="1" applyBorder="1"/>
    <xf numFmtId="0" fontId="18" fillId="33" borderId="13" xfId="44" applyFont="1" applyFill="1" applyBorder="1"/>
    <xf numFmtId="0" fontId="0" fillId="0" borderId="17" xfId="0" applyBorder="1"/>
    <xf numFmtId="4" fontId="18" fillId="0" borderId="0" xfId="43" applyNumberFormat="1" applyFont="1" applyBorder="1" applyAlignment="1">
      <alignment horizontal="right"/>
    </xf>
    <xf numFmtId="0" fontId="0" fillId="0" borderId="16" xfId="0" applyBorder="1"/>
    <xf numFmtId="0" fontId="0" fillId="0" borderId="15" xfId="0" applyBorder="1"/>
    <xf numFmtId="0" fontId="0" fillId="0" borderId="18" xfId="0" applyBorder="1"/>
    <xf numFmtId="0" fontId="0" fillId="0" borderId="14" xfId="0" applyBorder="1"/>
    <xf numFmtId="0" fontId="0" fillId="0" borderId="0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18" fillId="0" borderId="0" xfId="44" applyFont="1" applyBorder="1"/>
    <xf numFmtId="4" fontId="18" fillId="0" borderId="0" xfId="44" applyNumberFormat="1" applyFont="1" applyBorder="1" applyAlignment="1">
      <alignment horizontal="right"/>
    </xf>
    <xf numFmtId="43" fontId="0" fillId="0" borderId="0" xfId="0" applyNumberFormat="1"/>
    <xf numFmtId="10" fontId="0" fillId="0" borderId="0" xfId="1" applyNumberFormat="1" applyFont="1"/>
    <xf numFmtId="0" fontId="20" fillId="0" borderId="0" xfId="0" applyFont="1"/>
    <xf numFmtId="4" fontId="0" fillId="0" borderId="0" xfId="0" applyNumberFormat="1" applyAlignment="1">
      <alignment horizontal="right" vertical="top"/>
    </xf>
    <xf numFmtId="0" fontId="16" fillId="0" borderId="0" xfId="0" applyFont="1"/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7" fontId="0" fillId="0" borderId="0" xfId="49" applyNumberFormat="1" applyFont="1"/>
    <xf numFmtId="43" fontId="0" fillId="0" borderId="0" xfId="49" applyNumberFormat="1" applyFont="1"/>
    <xf numFmtId="43" fontId="0" fillId="0" borderId="0" xfId="49" applyFont="1" applyFill="1"/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1" fillId="0" borderId="23" xfId="0" applyFont="1" applyBorder="1" applyAlignment="1">
      <alignment horizontal="centerContinuous"/>
    </xf>
    <xf numFmtId="0" fontId="21" fillId="0" borderId="24" xfId="0" applyFont="1" applyBorder="1" applyAlignment="1">
      <alignment horizontal="centerContinuous"/>
    </xf>
    <xf numFmtId="0" fontId="21" fillId="0" borderId="25" xfId="0" applyFont="1" applyBorder="1" applyAlignment="1">
      <alignment horizontal="centerContinuous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/>
    <xf numFmtId="0" fontId="25" fillId="0" borderId="29" xfId="0" applyFont="1" applyFill="1" applyBorder="1" applyAlignment="1">
      <alignment horizontal="centerContinuous"/>
    </xf>
    <xf numFmtId="0" fontId="25" fillId="0" borderId="30" xfId="0" applyFont="1" applyFill="1" applyBorder="1" applyAlignment="1">
      <alignment horizontal="centerContinuous"/>
    </xf>
    <xf numFmtId="0" fontId="25" fillId="0" borderId="22" xfId="0" applyFont="1" applyFill="1" applyBorder="1" applyAlignment="1">
      <alignment horizontal="centerContinuous"/>
    </xf>
    <xf numFmtId="0" fontId="26" fillId="0" borderId="0" xfId="0" applyFont="1" applyFill="1" applyAlignment="1">
      <alignment horizontal="centerContinuous"/>
    </xf>
    <xf numFmtId="0" fontId="24" fillId="0" borderId="0" xfId="0" applyFont="1" applyFill="1" applyAlignment="1">
      <alignment horizontal="centerContinuous"/>
    </xf>
    <xf numFmtId="0" fontId="26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6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4" fillId="0" borderId="10" xfId="0" applyFont="1" applyFill="1" applyBorder="1"/>
    <xf numFmtId="0" fontId="24" fillId="0" borderId="0" xfId="0" applyNumberFormat="1" applyFont="1" applyFill="1" applyAlignment="1">
      <alignment horizontal="center"/>
    </xf>
    <xf numFmtId="0" fontId="24" fillId="0" borderId="0" xfId="0" applyNumberFormat="1" applyFont="1" applyFill="1" applyAlignment="1"/>
    <xf numFmtId="10" fontId="24" fillId="0" borderId="0" xfId="0" applyNumberFormat="1" applyFont="1" applyFill="1"/>
    <xf numFmtId="0" fontId="24" fillId="0" borderId="0" xfId="0" applyNumberFormat="1" applyFont="1" applyFill="1" applyAlignment="1">
      <alignment horizontal="left"/>
    </xf>
    <xf numFmtId="165" fontId="24" fillId="0" borderId="0" xfId="0" applyNumberFormat="1" applyFont="1" applyFill="1" applyAlignment="1"/>
    <xf numFmtId="9" fontId="24" fillId="0" borderId="11" xfId="0" applyNumberFormat="1" applyFont="1" applyFill="1" applyBorder="1"/>
    <xf numFmtId="0" fontId="24" fillId="0" borderId="11" xfId="0" applyFont="1" applyFill="1" applyBorder="1"/>
    <xf numFmtId="10" fontId="24" fillId="0" borderId="11" xfId="0" applyNumberFormat="1" applyFont="1" applyFill="1" applyBorder="1"/>
    <xf numFmtId="166" fontId="24" fillId="0" borderId="0" xfId="0" applyNumberFormat="1" applyFont="1" applyFill="1" applyAlignment="1"/>
    <xf numFmtId="165" fontId="24" fillId="0" borderId="10" xfId="0" applyNumberFormat="1" applyFont="1" applyFill="1" applyBorder="1" applyAlignment="1"/>
    <xf numFmtId="165" fontId="24" fillId="0" borderId="0" xfId="0" applyNumberFormat="1" applyFont="1" applyFill="1" applyBorder="1" applyAlignment="1"/>
    <xf numFmtId="9" fontId="24" fillId="0" borderId="0" xfId="0" applyNumberFormat="1" applyFont="1" applyFill="1" applyAlignment="1"/>
    <xf numFmtId="41" fontId="24" fillId="0" borderId="0" xfId="0" applyNumberFormat="1" applyFont="1" applyFill="1"/>
    <xf numFmtId="0" fontId="0" fillId="0" borderId="0" xfId="0" applyFont="1" applyFill="1"/>
    <xf numFmtId="0" fontId="27" fillId="0" borderId="0" xfId="0" applyFont="1" applyFill="1"/>
    <xf numFmtId="165" fontId="24" fillId="34" borderId="12" xfId="0" applyNumberFormat="1" applyFont="1" applyFill="1" applyBorder="1" applyAlignment="1" applyProtection="1">
      <protection locked="0"/>
    </xf>
    <xf numFmtId="10" fontId="24" fillId="34" borderId="11" xfId="0" applyNumberFormat="1" applyFont="1" applyFill="1" applyBorder="1"/>
    <xf numFmtId="17" fontId="0" fillId="0" borderId="0" xfId="0" applyNumberFormat="1" applyFill="1"/>
    <xf numFmtId="167" fontId="0" fillId="0" borderId="0" xfId="49" applyNumberFormat="1" applyFont="1" applyAlignment="1">
      <alignment horizontal="right" vertical="top"/>
    </xf>
    <xf numFmtId="167" fontId="0" fillId="0" borderId="0" xfId="49" applyNumberFormat="1" applyFont="1" applyFill="1"/>
    <xf numFmtId="43" fontId="0" fillId="0" borderId="0" xfId="0" applyNumberFormat="1" applyFill="1"/>
    <xf numFmtId="10" fontId="0" fillId="0" borderId="0" xfId="1" applyNumberFormat="1" applyFont="1" applyFill="1"/>
    <xf numFmtId="0" fontId="0" fillId="0" borderId="0" xfId="0" applyFill="1"/>
    <xf numFmtId="43" fontId="0" fillId="0" borderId="0" xfId="49" applyNumberFormat="1" applyFont="1" applyFill="1"/>
    <xf numFmtId="167" fontId="0" fillId="0" borderId="0" xfId="49" applyNumberFormat="1" applyFont="1" applyFill="1" applyAlignment="1">
      <alignment horizontal="right" vertical="top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7" fontId="0" fillId="0" borderId="11" xfId="0" applyNumberFormat="1" applyBorder="1"/>
    <xf numFmtId="9" fontId="0" fillId="0" borderId="11" xfId="0" applyNumberFormat="1" applyBorder="1"/>
    <xf numFmtId="0" fontId="29" fillId="0" borderId="0" xfId="0" applyFont="1"/>
    <xf numFmtId="43" fontId="29" fillId="0" borderId="0" xfId="49" applyNumberFormat="1" applyFont="1" applyFill="1"/>
    <xf numFmtId="43" fontId="29" fillId="0" borderId="0" xfId="0" applyNumberFormat="1" applyFont="1" applyFill="1"/>
    <xf numFmtId="43" fontId="29" fillId="0" borderId="0" xfId="49" applyNumberFormat="1" applyFont="1" applyFill="1" applyAlignment="1">
      <alignment horizontal="right"/>
    </xf>
    <xf numFmtId="167" fontId="29" fillId="0" borderId="0" xfId="0" applyNumberFormat="1" applyFont="1"/>
    <xf numFmtId="42" fontId="0" fillId="0" borderId="12" xfId="0" applyNumberFormat="1" applyFill="1" applyBorder="1"/>
    <xf numFmtId="167" fontId="1" fillId="0" borderId="0" xfId="50" applyNumberFormat="1" applyFont="1" applyFill="1" applyAlignment="1">
      <alignment horizontal="right" vertical="top"/>
    </xf>
    <xf numFmtId="43" fontId="1" fillId="0" borderId="0" xfId="50" applyFont="1" applyAlignment="1">
      <alignment horizontal="right" vertical="top"/>
    </xf>
    <xf numFmtId="167" fontId="0" fillId="0" borderId="12" xfId="0" applyNumberFormat="1" applyBorder="1"/>
    <xf numFmtId="43" fontId="29" fillId="0" borderId="0" xfId="50" applyFont="1" applyFill="1" applyAlignment="1">
      <alignment horizontal="right" vertical="top"/>
    </xf>
    <xf numFmtId="167" fontId="29" fillId="0" borderId="0" xfId="50" applyNumberFormat="1" applyFont="1" applyFill="1" applyAlignment="1">
      <alignment horizontal="right" vertical="top"/>
    </xf>
    <xf numFmtId="0" fontId="30" fillId="35" borderId="0" xfId="0" applyFont="1" applyFill="1"/>
    <xf numFmtId="0" fontId="31" fillId="35" borderId="0" xfId="0" applyFont="1" applyFill="1"/>
    <xf numFmtId="167" fontId="20" fillId="0" borderId="0" xfId="0" applyNumberFormat="1" applyFont="1"/>
    <xf numFmtId="43" fontId="20" fillId="0" borderId="0" xfId="0" applyNumberFormat="1" applyFont="1"/>
    <xf numFmtId="0" fontId="32" fillId="0" borderId="0" xfId="0" applyFont="1"/>
  </cellXfs>
  <cellStyles count="51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49" builtinId="3"/>
    <cellStyle name="Comma 10" xfId="48"/>
    <cellStyle name="Comma 10 2" xfId="50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15 2" xfId="46"/>
    <cellStyle name="Normal 125" xfId="45"/>
    <cellStyle name="Normal 126" xfId="47"/>
    <cellStyle name="Normal 129" xfId="44"/>
    <cellStyle name="Normal 2" xfId="43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CCFF33"/>
      <color rgb="FFFF66FF"/>
      <color rgb="FFFF00FF"/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2018\2018%20Tax%20Reform%20WP\RevReq%20WP\%23Electric%20Model%20Tax%20Reform%202017%20GRC%20(SETTLEMENT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GrpRevnu\PUBLIC\%23%202019%20GRC\Compliance%20Filing\190529-30-PSE-WP-Cmpl-RevReq-COS-(9-23-20)(C)\190529-30-PSE-WP-SEF-18.00E-ELECTRIC-MODEL-REBUTTAL-19GRC-01-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Schedules\Schedule%20137%20-%20REC%20Revenues%20(2012%20and%20forward)\Jan%202019%20rate\Dirty%20Set%20Schedule%20137%20REC%20Rev%20Req%202019%20Workpap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Summary"/>
      <sheetName val="ETR"/>
      <sheetName val="KJB-3,11 Def"/>
      <sheetName val="KJB-6,13 Cmn Adj"/>
      <sheetName val="KJB-7,14 El Adj"/>
      <sheetName val="Power Cost Bridge to A-1"/>
      <sheetName val="Exh.A-1"/>
      <sheetName val="RJR Prod O&amp;M"/>
      <sheetName val="PKW RY PC1"/>
      <sheetName val="MCC-2r page 7-30 Black Box"/>
      <sheetName val="Work Papers==&gt;"/>
      <sheetName val="Verify Pwr Costs"/>
      <sheetName val="Centralia Equity Kicker"/>
      <sheetName val="For Prod Adj Ratebase"/>
      <sheetName val="For Prod Adj Expense"/>
      <sheetName val="Trans Ratebase"/>
      <sheetName val="Trans OATT Revenue"/>
    </sheetNames>
    <sheetDataSet>
      <sheetData sheetId="0"/>
      <sheetData sheetId="1"/>
      <sheetData sheetId="2"/>
      <sheetData sheetId="3"/>
      <sheetData sheetId="4">
        <row r="7">
          <cell r="B7" t="str">
            <v>FOR THE TWELVE MONTHS ENDED SEPTEMBER 30, 2016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lfwd"/>
      <sheetName val="COC, Def, ConvF"/>
      <sheetName val="Appendix"/>
      <sheetName val="141X&amp;141Z"/>
      <sheetName val="Summary"/>
      <sheetName val="Detailed Summary"/>
      <sheetName val="COC-Restating"/>
      <sheetName val="Common Adj"/>
      <sheetName val="Electric Adj"/>
      <sheetName val="Power Cost Bridge to A-1"/>
      <sheetName val="Named Ranges 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C3">
            <v>0.21</v>
          </cell>
        </row>
        <row r="4">
          <cell r="C4" t="str">
            <v>2019 GENERAL RATE CASE</v>
          </cell>
        </row>
        <row r="5">
          <cell r="C5" t="str">
            <v>12 MONTHS ENDED DECEMBER 31, 2018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 Requirement"/>
      <sheetName val="Tracking Accounts"/>
      <sheetName val="Conv Factor"/>
      <sheetName val="Interest Review for Jan 2019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workbookViewId="0">
      <selection activeCell="A18" sqref="A18"/>
    </sheetView>
  </sheetViews>
  <sheetFormatPr defaultRowHeight="15" x14ac:dyDescent="0.25"/>
  <cols>
    <col min="1" max="1" width="53" bestFit="1" customWidth="1"/>
    <col min="2" max="2" width="14.140625" customWidth="1"/>
    <col min="3" max="3" width="14" bestFit="1" customWidth="1"/>
    <col min="4" max="4" width="14.140625" bestFit="1" customWidth="1"/>
    <col min="6" max="7" width="12.28515625" bestFit="1" customWidth="1"/>
    <col min="9" max="9" width="10.7109375" bestFit="1" customWidth="1"/>
    <col min="10" max="10" width="9.7109375" bestFit="1" customWidth="1"/>
  </cols>
  <sheetData>
    <row r="1" spans="1:4" x14ac:dyDescent="0.25">
      <c r="A1" t="s">
        <v>31</v>
      </c>
    </row>
    <row r="2" spans="1:4" x14ac:dyDescent="0.25">
      <c r="A2" t="s">
        <v>73</v>
      </c>
    </row>
    <row r="6" spans="1:4" x14ac:dyDescent="0.25">
      <c r="B6" s="1" t="s">
        <v>32</v>
      </c>
    </row>
    <row r="7" spans="1:4" x14ac:dyDescent="0.25">
      <c r="A7" s="2" t="s">
        <v>4</v>
      </c>
      <c r="B7" s="2" t="s">
        <v>33</v>
      </c>
      <c r="D7" s="1" t="s">
        <v>34</v>
      </c>
    </row>
    <row r="8" spans="1:4" x14ac:dyDescent="0.25">
      <c r="D8" s="1" t="s">
        <v>35</v>
      </c>
    </row>
    <row r="9" spans="1:4" x14ac:dyDescent="0.25">
      <c r="A9" t="s">
        <v>5</v>
      </c>
      <c r="B9" s="5">
        <f>'Tracking Accounts'!G18</f>
        <v>-521633.44000000012</v>
      </c>
      <c r="C9" s="5">
        <f>+B9+B10</f>
        <v>-381318.02000000014</v>
      </c>
      <c r="D9" s="22">
        <f>+C9/C13</f>
        <v>0.9463664880088275</v>
      </c>
    </row>
    <row r="10" spans="1:4" x14ac:dyDescent="0.25">
      <c r="A10" t="s">
        <v>1</v>
      </c>
      <c r="B10" s="4">
        <f>'Tracking Accounts'!O18</f>
        <v>140315.41999999998</v>
      </c>
      <c r="D10" s="22"/>
    </row>
    <row r="11" spans="1:4" x14ac:dyDescent="0.25">
      <c r="A11" t="s">
        <v>71</v>
      </c>
      <c r="B11" s="4">
        <f>+'Tracking Accounts'!G36</f>
        <v>22658.039999999994</v>
      </c>
      <c r="C11" s="4">
        <f>SUM(B11:B12)</f>
        <v>-21610.470000000008</v>
      </c>
      <c r="D11" s="22">
        <f>+C11/C13</f>
        <v>5.3633511991172431E-2</v>
      </c>
    </row>
    <row r="12" spans="1:4" x14ac:dyDescent="0.25">
      <c r="A12" t="s">
        <v>2</v>
      </c>
      <c r="B12" s="4">
        <f>+'Tracking Accounts'!O36</f>
        <v>-44268.51</v>
      </c>
      <c r="C12" s="4"/>
      <c r="D12" s="22"/>
    </row>
    <row r="13" spans="1:4" x14ac:dyDescent="0.25">
      <c r="B13" s="6">
        <f>SUM(B9:B12)</f>
        <v>-402928.49000000017</v>
      </c>
      <c r="C13" s="79">
        <f>SUM(C9:C12)</f>
        <v>-402928.49000000017</v>
      </c>
      <c r="D13" s="80">
        <f>SUM(D9:D12)</f>
        <v>0.99999999999999989</v>
      </c>
    </row>
    <row r="14" spans="1:4" x14ac:dyDescent="0.25">
      <c r="A14" t="s">
        <v>0</v>
      </c>
      <c r="B14" s="3">
        <f>+'Conv F and COC UE-190529'!J18</f>
        <v>0.95111500000000004</v>
      </c>
    </row>
    <row r="15" spans="1:4" ht="15.75" thickBot="1" x14ac:dyDescent="0.3">
      <c r="A15" t="s">
        <v>3</v>
      </c>
      <c r="B15" s="7">
        <f>B13/B14</f>
        <v>-423638.03535850043</v>
      </c>
    </row>
    <row r="16" spans="1:4" ht="15.75" thickTop="1" x14ac:dyDescent="0.25">
      <c r="B16" s="4"/>
    </row>
    <row r="18" spans="1:4" ht="15.75" thickBot="1" x14ac:dyDescent="0.3">
      <c r="A18" s="74" t="s">
        <v>77</v>
      </c>
      <c r="B18" s="86">
        <v>-885724.10276359832</v>
      </c>
      <c r="C18" s="74"/>
      <c r="D18" s="74"/>
    </row>
    <row r="19" spans="1:4" ht="16.5" thickTop="1" thickBot="1" x14ac:dyDescent="0.3">
      <c r="A19" s="74" t="s">
        <v>72</v>
      </c>
      <c r="B19" s="86">
        <f>+B15-B18</f>
        <v>462086.06740509789</v>
      </c>
      <c r="C19" s="74"/>
      <c r="D19" s="74"/>
    </row>
    <row r="20" spans="1:4" ht="15.75" thickTop="1" x14ac:dyDescent="0.25"/>
  </sheetData>
  <pageMargins left="0.7" right="0.7" top="0.75" bottom="0.75" header="0.3" footer="0.3"/>
  <pageSetup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8"/>
  <sheetViews>
    <sheetView zoomScale="85" zoomScaleNormal="85" workbookViewId="0">
      <pane ySplit="1" topLeftCell="A2" activePane="bottomLeft" state="frozen"/>
      <selection activeCell="B12" sqref="B12:H14"/>
      <selection pane="bottomLeft" activeCell="O36" sqref="O36"/>
    </sheetView>
  </sheetViews>
  <sheetFormatPr defaultRowHeight="15" x14ac:dyDescent="0.25"/>
  <cols>
    <col min="3" max="3" width="20.85546875" customWidth="1"/>
    <col min="4" max="5" width="11.7109375" bestFit="1" customWidth="1"/>
    <col min="6" max="6" width="20.140625" customWidth="1"/>
    <col min="7" max="7" width="17.28515625" bestFit="1" customWidth="1"/>
    <col min="11" max="11" width="20" customWidth="1"/>
    <col min="12" max="12" width="10.28515625" bestFit="1" customWidth="1"/>
    <col min="13" max="13" width="11.7109375" bestFit="1" customWidth="1"/>
    <col min="14" max="14" width="12.28515625" bestFit="1" customWidth="1"/>
    <col min="15" max="15" width="17.28515625" bestFit="1" customWidth="1"/>
  </cols>
  <sheetData>
    <row r="1" spans="2:16" x14ac:dyDescent="0.25">
      <c r="B1" s="23" t="s">
        <v>75</v>
      </c>
    </row>
    <row r="4" spans="2:16" x14ac:dyDescent="0.25">
      <c r="B4" s="14"/>
      <c r="C4" s="12"/>
      <c r="D4" s="12"/>
      <c r="E4" s="12"/>
      <c r="F4" s="12"/>
      <c r="G4" s="12"/>
      <c r="H4" s="11"/>
      <c r="J4" s="14"/>
      <c r="K4" s="12"/>
      <c r="L4" s="12"/>
      <c r="M4" s="12"/>
      <c r="N4" s="12"/>
      <c r="O4" s="12"/>
      <c r="P4" s="11"/>
    </row>
    <row r="5" spans="2:16" x14ac:dyDescent="0.25">
      <c r="B5" s="9"/>
      <c r="C5" s="15" t="s">
        <v>30</v>
      </c>
      <c r="D5" s="15"/>
      <c r="E5" s="15"/>
      <c r="F5" s="15"/>
      <c r="G5" s="15"/>
      <c r="H5" s="13"/>
      <c r="J5" s="9"/>
      <c r="K5" s="15" t="s">
        <v>29</v>
      </c>
      <c r="L5" s="15"/>
      <c r="M5" s="15"/>
      <c r="N5" s="15"/>
      <c r="O5" s="15"/>
      <c r="P5" s="13"/>
    </row>
    <row r="6" spans="2:16" x14ac:dyDescent="0.25">
      <c r="B6" s="9"/>
      <c r="C6" s="15"/>
      <c r="D6" s="15"/>
      <c r="E6" s="15"/>
      <c r="F6" s="15"/>
      <c r="G6" s="15"/>
      <c r="H6" s="13"/>
      <c r="J6" s="9"/>
      <c r="K6" s="15"/>
      <c r="L6" s="15"/>
      <c r="M6" s="15"/>
      <c r="N6" s="15"/>
      <c r="O6" s="15"/>
      <c r="P6" s="13"/>
    </row>
    <row r="7" spans="2:16" x14ac:dyDescent="0.25">
      <c r="B7" s="9"/>
      <c r="C7" s="8" t="s">
        <v>6</v>
      </c>
      <c r="D7" s="8" t="s">
        <v>7</v>
      </c>
      <c r="E7" s="8" t="s">
        <v>8</v>
      </c>
      <c r="F7" s="8" t="s">
        <v>9</v>
      </c>
      <c r="G7" s="8" t="s">
        <v>10</v>
      </c>
      <c r="H7" s="13"/>
      <c r="J7" s="9"/>
      <c r="K7" s="8" t="s">
        <v>6</v>
      </c>
      <c r="L7" s="8" t="s">
        <v>7</v>
      </c>
      <c r="M7" s="8" t="s">
        <v>8</v>
      </c>
      <c r="N7" s="8" t="s">
        <v>9</v>
      </c>
      <c r="O7" s="8" t="s">
        <v>10</v>
      </c>
      <c r="P7" s="13"/>
    </row>
    <row r="8" spans="2:16" x14ac:dyDescent="0.25">
      <c r="B8" s="9"/>
      <c r="C8" s="19" t="s">
        <v>11</v>
      </c>
      <c r="D8" s="20">
        <v>0</v>
      </c>
      <c r="E8" s="20">
        <v>0</v>
      </c>
      <c r="F8" s="20">
        <v>0</v>
      </c>
      <c r="G8" s="24">
        <v>-597419.97</v>
      </c>
      <c r="H8" s="13"/>
      <c r="J8" s="9"/>
      <c r="K8" s="19" t="s">
        <v>11</v>
      </c>
      <c r="L8" s="20">
        <v>0</v>
      </c>
      <c r="M8" s="20">
        <v>0</v>
      </c>
      <c r="N8" s="20">
        <v>0</v>
      </c>
      <c r="O8" s="24">
        <v>180039.93</v>
      </c>
      <c r="P8" s="13"/>
    </row>
    <row r="9" spans="2:16" x14ac:dyDescent="0.25">
      <c r="B9" s="9"/>
      <c r="C9" s="19" t="s">
        <v>12</v>
      </c>
      <c r="D9" s="20">
        <v>718454.78</v>
      </c>
      <c r="E9" s="20">
        <v>176208.45</v>
      </c>
      <c r="F9" s="10">
        <v>542246.32999999996</v>
      </c>
      <c r="G9" s="10">
        <f>+G8+F9</f>
        <v>-55173.640000000014</v>
      </c>
      <c r="H9" s="13"/>
      <c r="J9" s="9"/>
      <c r="K9" s="19" t="s">
        <v>12</v>
      </c>
      <c r="L9" s="20">
        <v>173778.73</v>
      </c>
      <c r="M9" s="20">
        <v>812480.61</v>
      </c>
      <c r="N9" s="24">
        <v>-638701.88</v>
      </c>
      <c r="O9" s="10">
        <f>+O8+N9</f>
        <v>-458661.95</v>
      </c>
      <c r="P9" s="13"/>
    </row>
    <row r="10" spans="2:16" x14ac:dyDescent="0.25">
      <c r="B10" s="9"/>
      <c r="C10" s="19" t="s">
        <v>13</v>
      </c>
      <c r="D10" s="20">
        <v>626.61</v>
      </c>
      <c r="E10" s="20">
        <v>113070.1</v>
      </c>
      <c r="F10" s="10">
        <v>-112443.49</v>
      </c>
      <c r="G10" s="10">
        <f>+G9+F10</f>
        <v>-167617.13</v>
      </c>
      <c r="H10" s="13"/>
      <c r="J10" s="9"/>
      <c r="K10" s="19" t="s">
        <v>13</v>
      </c>
      <c r="L10" s="20">
        <v>140049.51999999999</v>
      </c>
      <c r="M10" s="20">
        <v>55889.52</v>
      </c>
      <c r="N10" s="24">
        <v>84160</v>
      </c>
      <c r="O10" s="10">
        <f>+O9+N10</f>
        <v>-374501.95</v>
      </c>
      <c r="P10" s="13"/>
    </row>
    <row r="11" spans="2:16" x14ac:dyDescent="0.25">
      <c r="B11" s="9"/>
      <c r="C11" s="19" t="s">
        <v>14</v>
      </c>
      <c r="D11" s="20">
        <v>882.22</v>
      </c>
      <c r="E11" s="20">
        <v>135000</v>
      </c>
      <c r="F11" s="10">
        <v>-134117.78</v>
      </c>
      <c r="G11" s="10">
        <f t="shared" ref="G11:G17" si="0">+G10+F11</f>
        <v>-301734.91000000003</v>
      </c>
      <c r="H11" s="13"/>
      <c r="J11" s="9"/>
      <c r="K11" s="19" t="s">
        <v>14</v>
      </c>
      <c r="L11" s="20">
        <v>133851.01</v>
      </c>
      <c r="M11" s="20">
        <v>57046.01</v>
      </c>
      <c r="N11" s="24">
        <v>76805</v>
      </c>
      <c r="O11" s="10">
        <f t="shared" ref="O11:O17" si="1">+O10+N11</f>
        <v>-297696.95</v>
      </c>
      <c r="P11" s="13"/>
    </row>
    <row r="12" spans="2:16" x14ac:dyDescent="0.25">
      <c r="B12" s="9"/>
      <c r="C12" s="19" t="s">
        <v>15</v>
      </c>
      <c r="D12" s="20">
        <v>6507.58</v>
      </c>
      <c r="E12" s="20">
        <v>0</v>
      </c>
      <c r="F12" s="10">
        <v>6507.58</v>
      </c>
      <c r="G12" s="10">
        <f t="shared" si="0"/>
        <v>-295227.33</v>
      </c>
      <c r="H12" s="13"/>
      <c r="J12" s="9"/>
      <c r="K12" s="19" t="s">
        <v>15</v>
      </c>
      <c r="L12" s="20">
        <v>118714.9</v>
      </c>
      <c r="M12" s="20">
        <v>55289.35</v>
      </c>
      <c r="N12" s="24">
        <v>63425.55</v>
      </c>
      <c r="O12" s="10">
        <f t="shared" si="1"/>
        <v>-234271.40000000002</v>
      </c>
      <c r="P12" s="13"/>
    </row>
    <row r="13" spans="2:16" x14ac:dyDescent="0.25">
      <c r="B13" s="9"/>
      <c r="C13" s="19" t="s">
        <v>16</v>
      </c>
      <c r="D13" s="20">
        <v>1867.28</v>
      </c>
      <c r="E13" s="20">
        <v>55000</v>
      </c>
      <c r="F13" s="10">
        <v>-53132.72</v>
      </c>
      <c r="G13" s="10">
        <f t="shared" si="0"/>
        <v>-348360.05000000005</v>
      </c>
      <c r="H13" s="13"/>
      <c r="J13" s="9"/>
      <c r="K13" s="19" t="s">
        <v>16</v>
      </c>
      <c r="L13" s="20">
        <v>106502.15</v>
      </c>
      <c r="M13" s="20">
        <v>46767.08</v>
      </c>
      <c r="N13" s="24">
        <v>59735.07</v>
      </c>
      <c r="O13" s="10">
        <f t="shared" si="1"/>
        <v>-174536.33000000002</v>
      </c>
      <c r="P13" s="13"/>
    </row>
    <row r="14" spans="2:16" x14ac:dyDescent="0.25">
      <c r="B14" s="9"/>
      <c r="C14" s="19" t="s">
        <v>17</v>
      </c>
      <c r="D14" s="20">
        <v>220737.16</v>
      </c>
      <c r="E14" s="20">
        <v>244256</v>
      </c>
      <c r="F14" s="10">
        <v>-23518.84</v>
      </c>
      <c r="G14" s="10">
        <f t="shared" si="0"/>
        <v>-371878.89000000007</v>
      </c>
      <c r="H14" s="13"/>
      <c r="J14" s="9"/>
      <c r="K14" s="19" t="s">
        <v>17</v>
      </c>
      <c r="L14" s="20">
        <v>111515.9</v>
      </c>
      <c r="M14" s="20">
        <v>46747.75</v>
      </c>
      <c r="N14" s="24">
        <v>64768.15</v>
      </c>
      <c r="O14" s="10">
        <f t="shared" si="1"/>
        <v>-109768.18000000002</v>
      </c>
      <c r="P14" s="13"/>
    </row>
    <row r="15" spans="2:16" x14ac:dyDescent="0.25">
      <c r="B15" s="9"/>
      <c r="C15" s="19" t="s">
        <v>18</v>
      </c>
      <c r="D15" s="20">
        <v>40344.74</v>
      </c>
      <c r="E15" s="20">
        <v>32000</v>
      </c>
      <c r="F15" s="10">
        <v>8344.74</v>
      </c>
      <c r="G15" s="10">
        <f t="shared" si="0"/>
        <v>-363534.15000000008</v>
      </c>
      <c r="H15" s="13"/>
      <c r="J15" s="9"/>
      <c r="K15" s="19" t="s">
        <v>18</v>
      </c>
      <c r="L15" s="20">
        <v>111531.79</v>
      </c>
      <c r="M15" s="20">
        <v>49890.49</v>
      </c>
      <c r="N15" s="24">
        <v>61641.3</v>
      </c>
      <c r="O15" s="10">
        <f t="shared" si="1"/>
        <v>-48126.880000000019</v>
      </c>
      <c r="P15" s="13"/>
    </row>
    <row r="16" spans="2:16" x14ac:dyDescent="0.25">
      <c r="B16" s="9"/>
      <c r="C16" s="19" t="s">
        <v>19</v>
      </c>
      <c r="D16" s="20">
        <v>1656.05</v>
      </c>
      <c r="E16" s="20">
        <v>0</v>
      </c>
      <c r="F16" s="10">
        <v>1656.05</v>
      </c>
      <c r="G16" s="10">
        <f t="shared" si="0"/>
        <v>-361878.10000000009</v>
      </c>
      <c r="H16" s="13"/>
      <c r="J16" s="9"/>
      <c r="K16" s="19" t="s">
        <v>19</v>
      </c>
      <c r="L16" s="20">
        <v>109900.83</v>
      </c>
      <c r="M16" s="20">
        <v>46043.5</v>
      </c>
      <c r="N16" s="24">
        <v>63857.33</v>
      </c>
      <c r="O16" s="10">
        <f t="shared" si="1"/>
        <v>15730.449999999983</v>
      </c>
      <c r="P16" s="13"/>
    </row>
    <row r="17" spans="2:16" x14ac:dyDescent="0.25">
      <c r="B17" s="9"/>
      <c r="C17" s="19" t="s">
        <v>20</v>
      </c>
      <c r="D17" s="20">
        <v>983.29</v>
      </c>
      <c r="E17" s="20">
        <v>0</v>
      </c>
      <c r="F17" s="10">
        <v>983.29</v>
      </c>
      <c r="G17" s="10">
        <f t="shared" si="0"/>
        <v>-360894.81000000011</v>
      </c>
      <c r="H17" s="13"/>
      <c r="J17" s="9"/>
      <c r="K17" s="19" t="s">
        <v>20</v>
      </c>
      <c r="L17" s="20">
        <v>104952.73</v>
      </c>
      <c r="M17" s="20">
        <v>47902.87</v>
      </c>
      <c r="N17" s="24">
        <v>57049.86</v>
      </c>
      <c r="O17" s="10">
        <f t="shared" si="1"/>
        <v>72780.309999999983</v>
      </c>
      <c r="P17" s="13"/>
    </row>
    <row r="18" spans="2:16" x14ac:dyDescent="0.25">
      <c r="B18" s="9"/>
      <c r="C18" s="19" t="s">
        <v>21</v>
      </c>
      <c r="D18" s="20">
        <v>761.37</v>
      </c>
      <c r="E18" s="20">
        <v>161500</v>
      </c>
      <c r="F18" s="10">
        <v>-160738.63</v>
      </c>
      <c r="G18" s="10">
        <f>+G17+F18</f>
        <v>-521633.44000000012</v>
      </c>
      <c r="H18" s="13"/>
      <c r="J18" s="9"/>
      <c r="K18" s="19" t="s">
        <v>21</v>
      </c>
      <c r="L18" s="20">
        <v>111287.54</v>
      </c>
      <c r="M18" s="20">
        <v>43752.43</v>
      </c>
      <c r="N18" s="24">
        <v>67535.11</v>
      </c>
      <c r="O18" s="10">
        <f>+O17+N18</f>
        <v>140315.41999999998</v>
      </c>
      <c r="P18" s="13"/>
    </row>
    <row r="19" spans="2:16" x14ac:dyDescent="0.25">
      <c r="B19" s="9"/>
      <c r="C19" s="19"/>
      <c r="D19" s="20"/>
      <c r="E19" s="20"/>
      <c r="F19" s="10"/>
      <c r="G19" s="10"/>
      <c r="H19" s="13"/>
      <c r="J19" s="9"/>
      <c r="K19" s="19"/>
      <c r="L19" s="20"/>
      <c r="M19" s="20"/>
      <c r="N19" s="10"/>
      <c r="O19" s="10"/>
      <c r="P19" s="13"/>
    </row>
    <row r="20" spans="2:16" x14ac:dyDescent="0.25">
      <c r="B20" s="16"/>
      <c r="C20" s="17"/>
      <c r="D20" s="17"/>
      <c r="E20" s="17"/>
      <c r="F20" s="17"/>
      <c r="G20" s="17"/>
      <c r="H20" s="18"/>
      <c r="J20" s="16"/>
      <c r="K20" s="17"/>
      <c r="L20" s="17"/>
      <c r="M20" s="17"/>
      <c r="N20" s="17"/>
      <c r="O20" s="17"/>
      <c r="P20" s="18"/>
    </row>
    <row r="22" spans="2:16" x14ac:dyDescent="0.25">
      <c r="B22" s="14"/>
      <c r="C22" s="12"/>
      <c r="D22" s="12"/>
      <c r="E22" s="12"/>
      <c r="F22" s="12"/>
      <c r="G22" s="12"/>
      <c r="H22" s="11"/>
      <c r="J22" s="14"/>
      <c r="K22" s="12"/>
      <c r="L22" s="12"/>
      <c r="M22" s="12"/>
      <c r="N22" s="12"/>
      <c r="O22" s="12"/>
      <c r="P22" s="11"/>
    </row>
    <row r="23" spans="2:16" x14ac:dyDescent="0.25">
      <c r="B23" s="9"/>
      <c r="C23" s="15" t="s">
        <v>37</v>
      </c>
      <c r="D23" s="15"/>
      <c r="E23" s="15"/>
      <c r="F23" s="15"/>
      <c r="G23" s="15"/>
      <c r="H23" s="13"/>
      <c r="J23" s="9"/>
      <c r="K23" s="15" t="s">
        <v>36</v>
      </c>
      <c r="L23" s="15"/>
      <c r="M23" s="15"/>
      <c r="N23" s="15"/>
      <c r="O23" s="15"/>
      <c r="P23" s="13"/>
    </row>
    <row r="24" spans="2:16" x14ac:dyDescent="0.25">
      <c r="B24" s="9"/>
      <c r="C24" s="15"/>
      <c r="D24" s="15"/>
      <c r="E24" s="15"/>
      <c r="F24" s="15"/>
      <c r="G24" s="15"/>
      <c r="H24" s="13"/>
      <c r="J24" s="9"/>
      <c r="K24" s="15"/>
      <c r="L24" s="15"/>
      <c r="M24" s="15"/>
      <c r="N24" s="15"/>
      <c r="O24" s="15"/>
      <c r="P24" s="13"/>
    </row>
    <row r="25" spans="2:16" x14ac:dyDescent="0.25">
      <c r="B25" s="9"/>
      <c r="C25" s="8" t="s">
        <v>6</v>
      </c>
      <c r="D25" s="8" t="s">
        <v>7</v>
      </c>
      <c r="E25" s="8" t="s">
        <v>8</v>
      </c>
      <c r="F25" s="8" t="s">
        <v>9</v>
      </c>
      <c r="G25" s="8" t="s">
        <v>10</v>
      </c>
      <c r="H25" s="13"/>
      <c r="J25" s="9"/>
      <c r="K25" s="8" t="s">
        <v>6</v>
      </c>
      <c r="L25" s="8" t="s">
        <v>7</v>
      </c>
      <c r="M25" s="8" t="s">
        <v>8</v>
      </c>
      <c r="N25" s="8" t="s">
        <v>9</v>
      </c>
      <c r="O25" s="8" t="s">
        <v>10</v>
      </c>
      <c r="P25" s="13"/>
    </row>
    <row r="26" spans="2:16" x14ac:dyDescent="0.25">
      <c r="B26" s="9"/>
      <c r="C26" s="19" t="s">
        <v>11</v>
      </c>
      <c r="D26" s="20">
        <v>0</v>
      </c>
      <c r="E26" s="20">
        <v>0</v>
      </c>
      <c r="F26" s="20">
        <v>0</v>
      </c>
      <c r="G26" s="24">
        <v>-52624</v>
      </c>
      <c r="H26" s="13"/>
      <c r="J26" s="9"/>
      <c r="K26" s="19" t="s">
        <v>11</v>
      </c>
      <c r="L26" s="20">
        <v>0</v>
      </c>
      <c r="M26" s="20">
        <v>0</v>
      </c>
      <c r="N26" s="20">
        <v>0</v>
      </c>
      <c r="O26" s="24">
        <v>34647.46</v>
      </c>
      <c r="P26" s="13"/>
    </row>
    <row r="27" spans="2:16" x14ac:dyDescent="0.25">
      <c r="B27" s="9"/>
      <c r="C27" s="19" t="s">
        <v>12</v>
      </c>
      <c r="D27" s="24">
        <v>93335.06</v>
      </c>
      <c r="E27" s="24">
        <v>1849.02</v>
      </c>
      <c r="F27" s="24">
        <v>91486.04</v>
      </c>
      <c r="G27" s="10">
        <f>+G26+F27</f>
        <v>38862.039999999994</v>
      </c>
      <c r="H27" s="13"/>
      <c r="J27" s="9"/>
      <c r="K27" s="19" t="s">
        <v>12</v>
      </c>
      <c r="L27" s="24">
        <v>6701.91</v>
      </c>
      <c r="M27" s="24">
        <v>101297.07</v>
      </c>
      <c r="N27" s="24">
        <v>-94595.16</v>
      </c>
      <c r="O27" s="10">
        <f>+O26+N27</f>
        <v>-59947.700000000004</v>
      </c>
      <c r="P27" s="13"/>
    </row>
    <row r="28" spans="2:16" x14ac:dyDescent="0.25">
      <c r="B28" s="9"/>
      <c r="C28" s="19" t="s">
        <v>13</v>
      </c>
      <c r="D28" s="24">
        <v>0</v>
      </c>
      <c r="E28" s="24">
        <v>631.24</v>
      </c>
      <c r="F28" s="24">
        <v>-631.24</v>
      </c>
      <c r="G28" s="10">
        <f>+G27+F28</f>
        <v>38230.799999999996</v>
      </c>
      <c r="H28" s="13"/>
      <c r="J28" s="9"/>
      <c r="K28" s="19" t="s">
        <v>13</v>
      </c>
      <c r="L28" s="24">
        <v>5401.13</v>
      </c>
      <c r="M28" s="24">
        <v>4516.05</v>
      </c>
      <c r="N28" s="24">
        <v>885.08</v>
      </c>
      <c r="O28" s="10">
        <f>+O27+N28</f>
        <v>-59062.62</v>
      </c>
      <c r="P28" s="13"/>
    </row>
    <row r="29" spans="2:16" x14ac:dyDescent="0.25">
      <c r="B29" s="9"/>
      <c r="C29" s="19" t="s">
        <v>14</v>
      </c>
      <c r="D29" s="24">
        <v>0</v>
      </c>
      <c r="E29" s="24">
        <v>1329.83</v>
      </c>
      <c r="F29" s="24">
        <v>-1329.83</v>
      </c>
      <c r="G29" s="10">
        <f t="shared" ref="G29:G35" si="2">+G28+F29</f>
        <v>36900.969999999994</v>
      </c>
      <c r="H29" s="13"/>
      <c r="J29" s="9"/>
      <c r="K29" s="19" t="s">
        <v>14</v>
      </c>
      <c r="L29" s="24">
        <v>5162.07</v>
      </c>
      <c r="M29" s="24">
        <v>4104.59</v>
      </c>
      <c r="N29" s="24">
        <v>1057.48</v>
      </c>
      <c r="O29" s="10">
        <f t="shared" ref="O29:O35" si="3">+O28+N29</f>
        <v>-58005.14</v>
      </c>
      <c r="P29" s="13"/>
    </row>
    <row r="30" spans="2:16" x14ac:dyDescent="0.25">
      <c r="B30" s="9"/>
      <c r="C30" s="19" t="s">
        <v>15</v>
      </c>
      <c r="D30" s="24">
        <v>0</v>
      </c>
      <c r="E30" s="24">
        <v>1691.39</v>
      </c>
      <c r="F30" s="24">
        <v>-1691.39</v>
      </c>
      <c r="G30" s="10">
        <f t="shared" si="2"/>
        <v>35209.579999999994</v>
      </c>
      <c r="H30" s="13"/>
      <c r="J30" s="9"/>
      <c r="K30" s="19" t="s">
        <v>15</v>
      </c>
      <c r="L30" s="24">
        <v>4578.34</v>
      </c>
      <c r="M30" s="24">
        <v>3639.52</v>
      </c>
      <c r="N30" s="24">
        <v>938.82</v>
      </c>
      <c r="O30" s="10">
        <f t="shared" si="3"/>
        <v>-57066.32</v>
      </c>
      <c r="P30" s="13"/>
    </row>
    <row r="31" spans="2:16" x14ac:dyDescent="0.25">
      <c r="B31" s="9"/>
      <c r="C31" s="19" t="s">
        <v>16</v>
      </c>
      <c r="D31" s="24">
        <v>0</v>
      </c>
      <c r="E31" s="24">
        <v>1823.5</v>
      </c>
      <c r="F31" s="24">
        <v>-1823.5</v>
      </c>
      <c r="G31" s="10">
        <f t="shared" si="2"/>
        <v>33386.079999999994</v>
      </c>
      <c r="H31" s="13"/>
      <c r="J31" s="9"/>
      <c r="K31" s="19" t="s">
        <v>16</v>
      </c>
      <c r="L31" s="24">
        <v>4107.34</v>
      </c>
      <c r="M31" s="24">
        <v>2961.9</v>
      </c>
      <c r="N31" s="24">
        <v>1145.44</v>
      </c>
      <c r="O31" s="10">
        <f t="shared" si="3"/>
        <v>-55920.88</v>
      </c>
      <c r="P31" s="13"/>
    </row>
    <row r="32" spans="2:16" x14ac:dyDescent="0.25">
      <c r="B32" s="9"/>
      <c r="C32" s="19" t="s">
        <v>17</v>
      </c>
      <c r="D32" s="24">
        <v>0</v>
      </c>
      <c r="E32" s="24">
        <v>2040.68</v>
      </c>
      <c r="F32" s="24">
        <v>-2040.68</v>
      </c>
      <c r="G32" s="10">
        <f t="shared" si="2"/>
        <v>31345.399999999994</v>
      </c>
      <c r="H32" s="13"/>
      <c r="J32" s="9"/>
      <c r="K32" s="19" t="s">
        <v>17</v>
      </c>
      <c r="L32" s="24">
        <v>4300.7</v>
      </c>
      <c r="M32" s="24">
        <v>2608.39</v>
      </c>
      <c r="N32" s="24">
        <v>1692.31</v>
      </c>
      <c r="O32" s="10">
        <f t="shared" si="3"/>
        <v>-54228.57</v>
      </c>
      <c r="P32" s="13"/>
    </row>
    <row r="33" spans="2:16" x14ac:dyDescent="0.25">
      <c r="B33" s="9"/>
      <c r="C33" s="19" t="s">
        <v>18</v>
      </c>
      <c r="D33" s="24">
        <v>0</v>
      </c>
      <c r="E33" s="24">
        <v>2083.67</v>
      </c>
      <c r="F33" s="24">
        <v>-2083.67</v>
      </c>
      <c r="G33" s="10">
        <f t="shared" si="2"/>
        <v>29261.729999999996</v>
      </c>
      <c r="H33" s="13"/>
      <c r="J33" s="9"/>
      <c r="K33" s="19" t="s">
        <v>18</v>
      </c>
      <c r="L33" s="24">
        <v>4301.3100000000004</v>
      </c>
      <c r="M33" s="24">
        <v>2371.44</v>
      </c>
      <c r="N33" s="24">
        <v>1929.87</v>
      </c>
      <c r="O33" s="10">
        <f t="shared" si="3"/>
        <v>-52298.7</v>
      </c>
      <c r="P33" s="13"/>
    </row>
    <row r="34" spans="2:16" x14ac:dyDescent="0.25">
      <c r="B34" s="9"/>
      <c r="C34" s="19" t="s">
        <v>19</v>
      </c>
      <c r="D34" s="24">
        <v>0</v>
      </c>
      <c r="E34" s="24">
        <v>2055.33</v>
      </c>
      <c r="F34" s="24">
        <v>-2055.33</v>
      </c>
      <c r="G34" s="10">
        <f t="shared" si="2"/>
        <v>27206.399999999994</v>
      </c>
      <c r="H34" s="13"/>
      <c r="J34" s="9"/>
      <c r="K34" s="19" t="s">
        <v>19</v>
      </c>
      <c r="L34" s="24">
        <v>4238.41</v>
      </c>
      <c r="M34" s="24">
        <v>1867.49</v>
      </c>
      <c r="N34" s="24">
        <v>2370.92</v>
      </c>
      <c r="O34" s="10">
        <f t="shared" si="3"/>
        <v>-49927.78</v>
      </c>
      <c r="P34" s="13"/>
    </row>
    <row r="35" spans="2:16" x14ac:dyDescent="0.25">
      <c r="B35" s="9"/>
      <c r="C35" s="19" t="s">
        <v>20</v>
      </c>
      <c r="D35" s="24">
        <v>0</v>
      </c>
      <c r="E35" s="24">
        <v>2047.86</v>
      </c>
      <c r="F35" s="24">
        <v>-2047.86</v>
      </c>
      <c r="G35" s="10">
        <f t="shared" si="2"/>
        <v>25158.539999999994</v>
      </c>
      <c r="H35" s="13"/>
      <c r="J35" s="9"/>
      <c r="K35" s="19" t="s">
        <v>20</v>
      </c>
      <c r="L35" s="24">
        <v>4298.37</v>
      </c>
      <c r="M35" s="24">
        <v>1847.41</v>
      </c>
      <c r="N35" s="24">
        <v>2450.96</v>
      </c>
      <c r="O35" s="10">
        <f t="shared" si="3"/>
        <v>-47476.82</v>
      </c>
      <c r="P35" s="13"/>
    </row>
    <row r="36" spans="2:16" x14ac:dyDescent="0.25">
      <c r="B36" s="9"/>
      <c r="C36" s="19" t="s">
        <v>21</v>
      </c>
      <c r="D36" s="24">
        <v>0</v>
      </c>
      <c r="E36" s="24">
        <v>2500.5</v>
      </c>
      <c r="F36" s="24">
        <f>-E36</f>
        <v>-2500.5</v>
      </c>
      <c r="G36" s="10">
        <f>+G35+F36</f>
        <v>22658.039999999994</v>
      </c>
      <c r="H36" s="13"/>
      <c r="J36" s="9"/>
      <c r="K36" s="19" t="s">
        <v>21</v>
      </c>
      <c r="L36" s="24">
        <v>4895.66</v>
      </c>
      <c r="M36" s="24">
        <v>1687.35</v>
      </c>
      <c r="N36" s="24">
        <v>3208.31</v>
      </c>
      <c r="O36" s="10">
        <f>+O35+N36</f>
        <v>-44268.51</v>
      </c>
      <c r="P36" s="13"/>
    </row>
    <row r="37" spans="2:16" x14ac:dyDescent="0.25">
      <c r="B37" s="9"/>
      <c r="C37" s="19"/>
      <c r="D37" s="20"/>
      <c r="E37" s="20"/>
      <c r="F37" s="10"/>
      <c r="G37" s="10"/>
      <c r="H37" s="13"/>
      <c r="J37" s="9"/>
      <c r="K37" s="19"/>
      <c r="L37" s="20"/>
      <c r="M37" s="20"/>
      <c r="N37" s="10"/>
      <c r="O37" s="10"/>
      <c r="P37" s="13"/>
    </row>
    <row r="38" spans="2:16" x14ac:dyDescent="0.25">
      <c r="B38" s="16"/>
      <c r="C38" s="17"/>
      <c r="D38" s="17"/>
      <c r="E38" s="17"/>
      <c r="F38" s="17"/>
      <c r="G38" s="17"/>
      <c r="H38" s="18"/>
      <c r="J38" s="16"/>
      <c r="K38" s="17"/>
      <c r="L38" s="17"/>
      <c r="M38" s="17"/>
      <c r="N38" s="17"/>
      <c r="O38" s="17"/>
      <c r="P38" s="1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zoomScaleNormal="100" workbookViewId="0">
      <selection activeCell="Q17" sqref="Q17"/>
    </sheetView>
  </sheetViews>
  <sheetFormatPr defaultRowHeight="15" x14ac:dyDescent="0.25"/>
  <cols>
    <col min="1" max="1" width="9.7109375" customWidth="1"/>
    <col min="2" max="2" width="14" bestFit="1" customWidth="1"/>
    <col min="3" max="3" width="12.28515625" bestFit="1" customWidth="1"/>
    <col min="4" max="4" width="14" bestFit="1" customWidth="1"/>
    <col min="5" max="5" width="14.7109375" customWidth="1"/>
    <col min="6" max="6" width="8.140625" bestFit="1" customWidth="1"/>
    <col min="7" max="7" width="11.7109375" customWidth="1"/>
    <col min="8" max="8" width="12.28515625" customWidth="1"/>
    <col min="9" max="9" width="14" bestFit="1" customWidth="1"/>
    <col min="10" max="10" width="10.85546875" customWidth="1"/>
    <col min="12" max="12" width="14" bestFit="1" customWidth="1"/>
    <col min="13" max="13" width="9" bestFit="1" customWidth="1"/>
    <col min="14" max="14" width="12.28515625" bestFit="1" customWidth="1"/>
    <col min="15" max="15" width="8" bestFit="1" customWidth="1"/>
    <col min="16" max="16" width="8.7109375" customWidth="1"/>
    <col min="17" max="17" width="11.28515625" bestFit="1" customWidth="1"/>
    <col min="18" max="18" width="11.7109375" bestFit="1" customWidth="1"/>
    <col min="19" max="20" width="14" bestFit="1" customWidth="1"/>
  </cols>
  <sheetData>
    <row r="1" spans="1:20" ht="15.75" thickBot="1" x14ac:dyDescent="0.3">
      <c r="A1" s="25" t="s">
        <v>38</v>
      </c>
    </row>
    <row r="2" spans="1:20" ht="15.75" thickBot="1" x14ac:dyDescent="0.3">
      <c r="B2" s="37" t="s">
        <v>51</v>
      </c>
      <c r="C2" s="38"/>
      <c r="D2" s="38"/>
      <c r="E2" s="38"/>
      <c r="F2" s="38"/>
      <c r="G2" s="39"/>
      <c r="L2" s="37" t="s">
        <v>51</v>
      </c>
      <c r="M2" s="38"/>
      <c r="N2" s="38"/>
      <c r="O2" s="38"/>
      <c r="P2" s="38"/>
      <c r="Q2" s="39"/>
    </row>
    <row r="3" spans="1:20" s="26" customFormat="1" ht="105.75" thickBot="1" x14ac:dyDescent="0.3">
      <c r="A3" s="26" t="s">
        <v>39</v>
      </c>
      <c r="B3" s="34" t="s">
        <v>52</v>
      </c>
      <c r="C3" s="35" t="s">
        <v>40</v>
      </c>
      <c r="D3" s="35" t="s">
        <v>41</v>
      </c>
      <c r="E3" s="35" t="s">
        <v>55</v>
      </c>
      <c r="F3" s="35" t="s">
        <v>42</v>
      </c>
      <c r="G3" s="36" t="s">
        <v>43</v>
      </c>
      <c r="H3" s="27" t="s">
        <v>70</v>
      </c>
      <c r="I3" s="29" t="s">
        <v>54</v>
      </c>
      <c r="J3" s="30"/>
      <c r="L3" s="27" t="s">
        <v>53</v>
      </c>
      <c r="M3" s="28" t="s">
        <v>40</v>
      </c>
      <c r="N3" s="28" t="s">
        <v>45</v>
      </c>
      <c r="O3" s="35" t="s">
        <v>55</v>
      </c>
      <c r="P3" s="28" t="s">
        <v>42</v>
      </c>
      <c r="Q3" s="29" t="s">
        <v>46</v>
      </c>
      <c r="R3" s="27" t="s">
        <v>76</v>
      </c>
      <c r="S3" s="29" t="s">
        <v>44</v>
      </c>
    </row>
    <row r="4" spans="1:20" s="26" customFormat="1" x14ac:dyDescent="0.25">
      <c r="A4" s="69">
        <v>44105</v>
      </c>
      <c r="B4" s="33">
        <v>-717808.03</v>
      </c>
      <c r="C4" s="71">
        <f>-B4*0.21</f>
        <v>150739.6863</v>
      </c>
      <c r="D4" s="72">
        <f>+B4+C4</f>
        <v>-567068.34370000008</v>
      </c>
      <c r="E4" s="22"/>
      <c r="F4" s="30"/>
      <c r="G4" s="30"/>
      <c r="H4" s="30"/>
      <c r="I4" s="30"/>
      <c r="J4" s="30"/>
      <c r="K4" s="69">
        <f>+A4</f>
        <v>44105</v>
      </c>
      <c r="L4" s="33">
        <v>-93335.06</v>
      </c>
      <c r="M4" s="71">
        <f>-L4*0.21</f>
        <v>19600.3626</v>
      </c>
      <c r="N4" s="72">
        <f>+L4+M4</f>
        <v>-73734.697400000005</v>
      </c>
      <c r="O4" s="73"/>
      <c r="P4" s="77"/>
      <c r="Q4" s="77"/>
      <c r="R4" s="78"/>
      <c r="S4" s="78"/>
    </row>
    <row r="5" spans="1:20" s="26" customFormat="1" x14ac:dyDescent="0.25">
      <c r="A5" s="69">
        <v>44136</v>
      </c>
      <c r="B5" s="33">
        <v>-731327.87</v>
      </c>
      <c r="C5" s="71">
        <f>-B5*0.21</f>
        <v>153578.85269999999</v>
      </c>
      <c r="D5" s="72">
        <f>+B5+C5</f>
        <v>-577749.01729999995</v>
      </c>
      <c r="E5" s="73">
        <v>6.8000000000000005E-2</v>
      </c>
      <c r="F5" s="74">
        <v>0.79</v>
      </c>
      <c r="G5" s="75">
        <f>(D5+D4)/2*E5/12/F5</f>
        <v>-4105.8850499999999</v>
      </c>
      <c r="H5" s="71">
        <v>-4105.8900000000003</v>
      </c>
      <c r="I5" s="87">
        <f t="shared" ref="I5:I6" si="0">+G5-H5</f>
        <v>4.9500000004627509E-3</v>
      </c>
      <c r="J5" s="40"/>
      <c r="K5" s="69">
        <f t="shared" ref="K5:K18" si="1">+A5</f>
        <v>44136</v>
      </c>
      <c r="L5" s="33">
        <v>38722.75</v>
      </c>
      <c r="M5" s="71">
        <f t="shared" ref="M5:M6" si="2">-L5*0.21</f>
        <v>-8131.7775000000001</v>
      </c>
      <c r="N5" s="72">
        <f t="shared" ref="N5:N6" si="3">+L5+M5</f>
        <v>30590.9725</v>
      </c>
      <c r="O5" s="73">
        <v>6.8000000000000005E-2</v>
      </c>
      <c r="P5" s="74">
        <f t="shared" ref="P5:P6" si="4">F5</f>
        <v>0.79</v>
      </c>
      <c r="Q5" s="75">
        <f t="shared" ref="Q5:Q7" si="5">(N5+N4)/2*O5/12/P5</f>
        <v>-154.73487833333334</v>
      </c>
      <c r="R5" s="75">
        <v>-154.72999999999999</v>
      </c>
      <c r="S5" s="87">
        <f t="shared" ref="S5:S6" si="6">+Q5-R5</f>
        <v>-4.8783333333517476E-3</v>
      </c>
      <c r="T5" s="40"/>
    </row>
    <row r="6" spans="1:20" s="26" customFormat="1" x14ac:dyDescent="0.25">
      <c r="A6" s="69">
        <v>44166</v>
      </c>
      <c r="B6" s="33">
        <v>-597419.97</v>
      </c>
      <c r="C6" s="71">
        <f>-B6*0.21</f>
        <v>125458.19369999999</v>
      </c>
      <c r="D6" s="72">
        <f>+B6+C6</f>
        <v>-471961.77629999997</v>
      </c>
      <c r="E6" s="73">
        <v>6.8000000000000005E-2</v>
      </c>
      <c r="F6" s="74">
        <v>0.79</v>
      </c>
      <c r="G6" s="75">
        <f>(D6+D5)/2*E6/12/F6</f>
        <v>-3764.7855466666665</v>
      </c>
      <c r="H6" s="71">
        <v>-3764.79</v>
      </c>
      <c r="I6" s="87">
        <f t="shared" si="0"/>
        <v>4.4533333334584313E-3</v>
      </c>
      <c r="J6" s="40"/>
      <c r="K6" s="69">
        <f t="shared" si="1"/>
        <v>44166</v>
      </c>
      <c r="L6" s="33">
        <v>180039.93</v>
      </c>
      <c r="M6" s="71">
        <f t="shared" si="2"/>
        <v>-37808.385299999994</v>
      </c>
      <c r="N6" s="72">
        <f t="shared" si="3"/>
        <v>142231.5447</v>
      </c>
      <c r="O6" s="73">
        <v>6.8000000000000005E-2</v>
      </c>
      <c r="P6" s="74">
        <f t="shared" si="4"/>
        <v>0.79</v>
      </c>
      <c r="Q6" s="75">
        <f t="shared" si="5"/>
        <v>619.82759333333331</v>
      </c>
      <c r="R6" s="75">
        <v>619.83000000000004</v>
      </c>
      <c r="S6" s="87">
        <f t="shared" si="6"/>
        <v>-2.4066666667295067E-3</v>
      </c>
      <c r="T6" s="40"/>
    </row>
    <row r="7" spans="1:20" x14ac:dyDescent="0.25">
      <c r="A7" s="69">
        <v>44197</v>
      </c>
      <c r="B7" s="70">
        <v>-55173.64</v>
      </c>
      <c r="C7" s="71">
        <f>-B7*0.21</f>
        <v>11586.464399999999</v>
      </c>
      <c r="D7" s="72">
        <f>+B7+C7</f>
        <v>-43587.175600000002</v>
      </c>
      <c r="E7" s="73">
        <v>6.8000000000000005E-2</v>
      </c>
      <c r="F7" s="74">
        <v>0.79</v>
      </c>
      <c r="G7" s="75">
        <f>(D7+D6)/2*E7/12/F7</f>
        <v>-1849.0152283333334</v>
      </c>
      <c r="H7" s="87">
        <v>-1849.02</v>
      </c>
      <c r="I7" s="87">
        <f>+G7-H7</f>
        <v>4.7716666665564844E-3</v>
      </c>
      <c r="J7" s="88"/>
      <c r="K7" s="69">
        <f t="shared" si="1"/>
        <v>44197</v>
      </c>
      <c r="L7" s="70">
        <v>-458661.95</v>
      </c>
      <c r="M7" s="31">
        <f>-L7*0.21</f>
        <v>96319.0095</v>
      </c>
      <c r="N7" s="21">
        <f>+L7+M7</f>
        <v>-362342.94050000003</v>
      </c>
      <c r="O7" s="22">
        <v>6.8000000000000005E-2</v>
      </c>
      <c r="P7">
        <f>F7</f>
        <v>0.79</v>
      </c>
      <c r="Q7" s="32">
        <f t="shared" si="5"/>
        <v>-789.42905666666684</v>
      </c>
      <c r="R7" s="33">
        <v>-789.43</v>
      </c>
      <c r="S7" s="87">
        <f>+Q7-R7</f>
        <v>9.4333333311169554E-4</v>
      </c>
      <c r="T7" s="21"/>
    </row>
    <row r="8" spans="1:20" x14ac:dyDescent="0.25">
      <c r="A8" s="69">
        <v>44228</v>
      </c>
      <c r="B8" s="70">
        <v>-167617.13</v>
      </c>
      <c r="C8" s="71">
        <f t="shared" ref="C8:C18" si="7">-B8*0.21</f>
        <v>35199.597300000001</v>
      </c>
      <c r="D8" s="72">
        <f t="shared" ref="D8:D18" si="8">+B8+C8</f>
        <v>-132417.53270000001</v>
      </c>
      <c r="E8" s="73">
        <v>6.8000000000000005E-2</v>
      </c>
      <c r="F8" s="74">
        <v>0.79</v>
      </c>
      <c r="G8" s="75">
        <f t="shared" ref="G8:G16" si="9">(D8+D7)/2*E8/12/F8</f>
        <v>-631.24051499999996</v>
      </c>
      <c r="H8" s="87">
        <v>-631.24</v>
      </c>
      <c r="I8" s="87">
        <f t="shared" ref="I8:I18" si="10">+G8-H8</f>
        <v>-5.1499999995030521E-4</v>
      </c>
      <c r="J8" s="88"/>
      <c r="K8" s="69">
        <f t="shared" si="1"/>
        <v>44228</v>
      </c>
      <c r="L8" s="70">
        <v>-374501.95</v>
      </c>
      <c r="M8" s="31">
        <f t="shared" ref="M8:M18" si="11">-L8*0.21</f>
        <v>78645.409499999994</v>
      </c>
      <c r="N8" s="21">
        <f t="shared" ref="N8:N18" si="12">+L8+M8</f>
        <v>-295856.5405</v>
      </c>
      <c r="O8" s="22">
        <v>6.8000000000000005E-2</v>
      </c>
      <c r="P8">
        <f t="shared" ref="P8:P18" si="13">F8</f>
        <v>0.79</v>
      </c>
      <c r="Q8" s="32">
        <f>(N8+N7)/2*O8/12/P8</f>
        <v>-2360.63105</v>
      </c>
      <c r="R8" s="33">
        <v>-2360.63</v>
      </c>
      <c r="S8" s="87">
        <f t="shared" ref="S8:S18" si="14">+Q8-R8</f>
        <v>-1.0499999998501153E-3</v>
      </c>
      <c r="T8" s="21"/>
    </row>
    <row r="9" spans="1:20" x14ac:dyDescent="0.25">
      <c r="A9" s="69">
        <v>44256</v>
      </c>
      <c r="B9" s="70">
        <v>-301734.90999999997</v>
      </c>
      <c r="C9" s="71">
        <f t="shared" si="7"/>
        <v>63364.331099999996</v>
      </c>
      <c r="D9" s="72">
        <f t="shared" si="8"/>
        <v>-238370.57889999996</v>
      </c>
      <c r="E9" s="73">
        <v>6.8000000000000005E-2</v>
      </c>
      <c r="F9" s="74">
        <v>0.79</v>
      </c>
      <c r="G9" s="75">
        <f t="shared" si="9"/>
        <v>-1329.8307799999998</v>
      </c>
      <c r="H9" s="87">
        <v>-1329.83</v>
      </c>
      <c r="I9" s="87">
        <f t="shared" si="10"/>
        <v>-7.7999999984967872E-4</v>
      </c>
      <c r="J9" s="88"/>
      <c r="K9" s="69">
        <f t="shared" si="1"/>
        <v>44256</v>
      </c>
      <c r="L9" s="70">
        <v>-297696.95</v>
      </c>
      <c r="M9" s="31">
        <f t="shared" si="11"/>
        <v>62516.359499999999</v>
      </c>
      <c r="N9" s="21">
        <f t="shared" si="12"/>
        <v>-235180.59050000002</v>
      </c>
      <c r="O9" s="22">
        <v>6.8000000000000005E-2</v>
      </c>
      <c r="P9">
        <f t="shared" si="13"/>
        <v>0.79</v>
      </c>
      <c r="Q9" s="32">
        <f t="shared" ref="Q9:Q16" si="15">(N9+N8)/2*O9/12/P9</f>
        <v>-1904.5635500000003</v>
      </c>
      <c r="R9" s="33">
        <v>-1904.56</v>
      </c>
      <c r="S9" s="87">
        <f t="shared" si="14"/>
        <v>-3.5500000003594323E-3</v>
      </c>
      <c r="T9" s="21"/>
    </row>
    <row r="10" spans="1:20" x14ac:dyDescent="0.25">
      <c r="A10" s="69">
        <v>44287</v>
      </c>
      <c r="B10" s="70">
        <v>-295227.33</v>
      </c>
      <c r="C10" s="71">
        <f t="shared" si="7"/>
        <v>61997.739300000001</v>
      </c>
      <c r="D10" s="72">
        <f t="shared" si="8"/>
        <v>-233229.5907</v>
      </c>
      <c r="E10" s="73">
        <v>6.8000000000000005E-2</v>
      </c>
      <c r="F10" s="74">
        <v>0.79</v>
      </c>
      <c r="G10" s="75">
        <f t="shared" si="9"/>
        <v>-1691.3930133333333</v>
      </c>
      <c r="H10" s="87">
        <v>-1691.39</v>
      </c>
      <c r="I10" s="87">
        <f t="shared" si="10"/>
        <v>-3.0133333332287293E-3</v>
      </c>
      <c r="J10" s="88"/>
      <c r="K10" s="69">
        <f t="shared" si="1"/>
        <v>44287</v>
      </c>
      <c r="L10" s="70">
        <v>-234271.4</v>
      </c>
      <c r="M10" s="31">
        <f t="shared" si="11"/>
        <v>49196.993999999999</v>
      </c>
      <c r="N10" s="21">
        <f t="shared" si="12"/>
        <v>-185074.40599999999</v>
      </c>
      <c r="O10" s="22">
        <v>6.8000000000000005E-2</v>
      </c>
      <c r="P10">
        <f t="shared" si="13"/>
        <v>0.79</v>
      </c>
      <c r="Q10" s="32">
        <f t="shared" si="15"/>
        <v>-1507.2436583333335</v>
      </c>
      <c r="R10" s="33">
        <v>-1507.24</v>
      </c>
      <c r="S10" s="87">
        <f t="shared" si="14"/>
        <v>-3.6583333335329371E-3</v>
      </c>
      <c r="T10" s="21"/>
    </row>
    <row r="11" spans="1:20" x14ac:dyDescent="0.25">
      <c r="A11" s="69">
        <v>44317</v>
      </c>
      <c r="B11" s="70">
        <v>-348360.05</v>
      </c>
      <c r="C11" s="71">
        <f t="shared" si="7"/>
        <v>73155.610499999995</v>
      </c>
      <c r="D11" s="72">
        <f t="shared" si="8"/>
        <v>-275204.43949999998</v>
      </c>
      <c r="E11" s="73">
        <v>6.8000000000000005E-2</v>
      </c>
      <c r="F11" s="74">
        <v>0.79</v>
      </c>
      <c r="G11" s="75">
        <f t="shared" si="9"/>
        <v>-1823.4975766666669</v>
      </c>
      <c r="H11" s="87">
        <v>-1823.5</v>
      </c>
      <c r="I11" s="87">
        <f t="shared" si="10"/>
        <v>2.4233333331267204E-3</v>
      </c>
      <c r="J11" s="88"/>
      <c r="K11" s="69">
        <f t="shared" si="1"/>
        <v>44317</v>
      </c>
      <c r="L11" s="70">
        <v>-174536.33</v>
      </c>
      <c r="M11" s="31">
        <f t="shared" si="11"/>
        <v>36652.629299999993</v>
      </c>
      <c r="N11" s="21">
        <f t="shared" si="12"/>
        <v>-137883.70069999999</v>
      </c>
      <c r="O11" s="22">
        <v>6.8000000000000005E-2</v>
      </c>
      <c r="P11">
        <f t="shared" si="13"/>
        <v>0.79</v>
      </c>
      <c r="Q11" s="32">
        <f t="shared" si="15"/>
        <v>-1158.2885683333334</v>
      </c>
      <c r="R11" s="33">
        <v>-1158.29</v>
      </c>
      <c r="S11" s="87">
        <f t="shared" si="14"/>
        <v>1.4316666665763478E-3</v>
      </c>
      <c r="T11" s="21"/>
    </row>
    <row r="12" spans="1:20" x14ac:dyDescent="0.25">
      <c r="A12" s="69">
        <v>44348</v>
      </c>
      <c r="B12" s="70">
        <v>-371878.89</v>
      </c>
      <c r="C12" s="71">
        <f t="shared" si="7"/>
        <v>78094.566900000005</v>
      </c>
      <c r="D12" s="72">
        <f t="shared" si="8"/>
        <v>-293784.32310000004</v>
      </c>
      <c r="E12" s="73">
        <v>6.8000000000000005E-2</v>
      </c>
      <c r="F12" s="74">
        <v>0.79</v>
      </c>
      <c r="G12" s="75">
        <f t="shared" si="9"/>
        <v>-2040.676996666667</v>
      </c>
      <c r="H12" s="87">
        <v>-2040.68</v>
      </c>
      <c r="I12" s="87">
        <f t="shared" si="10"/>
        <v>3.0033333330266032E-3</v>
      </c>
      <c r="J12" s="88"/>
      <c r="K12" s="69">
        <f t="shared" si="1"/>
        <v>44348</v>
      </c>
      <c r="L12" s="70">
        <v>-109768.18</v>
      </c>
      <c r="M12" s="31">
        <f t="shared" si="11"/>
        <v>23051.317799999997</v>
      </c>
      <c r="N12" s="21">
        <f t="shared" si="12"/>
        <v>-86716.862200000003</v>
      </c>
      <c r="O12" s="22">
        <v>6.8000000000000005E-2</v>
      </c>
      <c r="P12">
        <f t="shared" si="13"/>
        <v>0.79</v>
      </c>
      <c r="Q12" s="32">
        <f t="shared" si="15"/>
        <v>-805.52944500000001</v>
      </c>
      <c r="R12" s="33">
        <v>-805.53</v>
      </c>
      <c r="S12" s="87">
        <f t="shared" si="14"/>
        <v>5.5499999996300176E-4</v>
      </c>
      <c r="T12" s="21"/>
    </row>
    <row r="13" spans="1:20" x14ac:dyDescent="0.25">
      <c r="A13" s="69">
        <v>44378</v>
      </c>
      <c r="B13" s="70">
        <v>-363534.15</v>
      </c>
      <c r="C13" s="71">
        <f t="shared" si="7"/>
        <v>76342.171499999997</v>
      </c>
      <c r="D13" s="72">
        <f t="shared" si="8"/>
        <v>-287191.97850000003</v>
      </c>
      <c r="E13" s="73">
        <v>6.8000000000000005E-2</v>
      </c>
      <c r="F13" s="74">
        <v>0.79</v>
      </c>
      <c r="G13" s="75">
        <f t="shared" si="9"/>
        <v>-2083.6702800000007</v>
      </c>
      <c r="H13" s="87">
        <v>-2083.67</v>
      </c>
      <c r="I13" s="87">
        <f t="shared" si="10"/>
        <v>-2.8000000065731001E-4</v>
      </c>
      <c r="J13" s="88"/>
      <c r="K13" s="69">
        <f t="shared" si="1"/>
        <v>44378</v>
      </c>
      <c r="L13" s="70">
        <v>-48126.879999999997</v>
      </c>
      <c r="M13" s="31">
        <f t="shared" si="11"/>
        <v>10106.644799999998</v>
      </c>
      <c r="N13" s="21">
        <f t="shared" si="12"/>
        <v>-38020.235199999996</v>
      </c>
      <c r="O13" s="22">
        <v>6.8000000000000005E-2</v>
      </c>
      <c r="P13">
        <f t="shared" si="13"/>
        <v>0.79</v>
      </c>
      <c r="Q13" s="32">
        <f t="shared" si="15"/>
        <v>-447.3693366666667</v>
      </c>
      <c r="R13" s="33">
        <v>-447.37</v>
      </c>
      <c r="S13" s="87">
        <f t="shared" si="14"/>
        <v>6.6333333330703681E-4</v>
      </c>
      <c r="T13" s="21"/>
    </row>
    <row r="14" spans="1:20" x14ac:dyDescent="0.25">
      <c r="A14" s="69">
        <v>44409</v>
      </c>
      <c r="B14" s="70">
        <v>-361878.1</v>
      </c>
      <c r="C14" s="71">
        <f t="shared" si="7"/>
        <v>75994.400999999998</v>
      </c>
      <c r="D14" s="72">
        <f t="shared" si="8"/>
        <v>-285883.69899999996</v>
      </c>
      <c r="E14" s="73">
        <v>6.8000000000000005E-2</v>
      </c>
      <c r="F14" s="74">
        <v>0.79</v>
      </c>
      <c r="G14" s="75">
        <f t="shared" si="9"/>
        <v>-2055.3347083333333</v>
      </c>
      <c r="H14" s="87">
        <v>-2055.33</v>
      </c>
      <c r="I14" s="87">
        <f t="shared" si="10"/>
        <v>-4.7083333333830524E-3</v>
      </c>
      <c r="J14" s="88"/>
      <c r="K14" s="69">
        <f t="shared" si="1"/>
        <v>44409</v>
      </c>
      <c r="L14" s="70">
        <v>15730.45</v>
      </c>
      <c r="M14" s="31">
        <f t="shared" si="11"/>
        <v>-3303.3944999999999</v>
      </c>
      <c r="N14" s="21">
        <f t="shared" si="12"/>
        <v>12427.0555</v>
      </c>
      <c r="O14" s="22">
        <v>6.8000000000000005E-2</v>
      </c>
      <c r="P14">
        <f t="shared" si="13"/>
        <v>0.79</v>
      </c>
      <c r="Q14" s="32">
        <f t="shared" si="15"/>
        <v>-91.78988499999997</v>
      </c>
      <c r="R14" s="33">
        <v>-91.79</v>
      </c>
      <c r="S14" s="87">
        <f t="shared" si="14"/>
        <v>1.1500000003650257E-4</v>
      </c>
      <c r="T14" s="21"/>
    </row>
    <row r="15" spans="1:20" x14ac:dyDescent="0.25">
      <c r="A15" s="69">
        <v>44440</v>
      </c>
      <c r="B15" s="76">
        <v>-360894.81</v>
      </c>
      <c r="C15" s="71">
        <f t="shared" si="7"/>
        <v>75787.910099999994</v>
      </c>
      <c r="D15" s="72">
        <f t="shared" si="8"/>
        <v>-285106.89990000002</v>
      </c>
      <c r="E15" s="73">
        <v>6.8000000000000005E-2</v>
      </c>
      <c r="F15" s="74">
        <v>0.79</v>
      </c>
      <c r="G15" s="75">
        <f t="shared" si="9"/>
        <v>-2047.8565783333333</v>
      </c>
      <c r="H15" s="87">
        <v>-2047.86</v>
      </c>
      <c r="I15" s="87">
        <f t="shared" si="10"/>
        <v>3.4216666665543016E-3</v>
      </c>
      <c r="J15" s="88"/>
      <c r="K15" s="69">
        <f t="shared" si="1"/>
        <v>44440</v>
      </c>
      <c r="L15" s="70">
        <v>72780.31</v>
      </c>
      <c r="M15" s="31">
        <f t="shared" si="11"/>
        <v>-15283.865099999999</v>
      </c>
      <c r="N15" s="21">
        <f t="shared" si="12"/>
        <v>57496.444900000002</v>
      </c>
      <c r="O15" s="22">
        <v>6.8000000000000005E-2</v>
      </c>
      <c r="P15">
        <f t="shared" si="13"/>
        <v>0.79</v>
      </c>
      <c r="Q15" s="32">
        <f t="shared" si="15"/>
        <v>250.78048666666669</v>
      </c>
      <c r="R15" s="33">
        <v>250.78</v>
      </c>
      <c r="S15" s="87">
        <f t="shared" si="14"/>
        <v>4.8666666668850667E-4</v>
      </c>
      <c r="T15" s="21"/>
    </row>
    <row r="16" spans="1:20" x14ac:dyDescent="0.25">
      <c r="A16" s="69">
        <v>44470</v>
      </c>
      <c r="B16" s="70">
        <v>-521633.44</v>
      </c>
      <c r="C16" s="71">
        <f t="shared" si="7"/>
        <v>109543.0224</v>
      </c>
      <c r="D16" s="72">
        <f t="shared" si="8"/>
        <v>-412090.41759999999</v>
      </c>
      <c r="E16" s="73">
        <v>6.8000000000000005E-2</v>
      </c>
      <c r="F16" s="74">
        <v>0.79</v>
      </c>
      <c r="G16" s="75">
        <f t="shared" si="9"/>
        <v>-2500.4967083333336</v>
      </c>
      <c r="H16" s="87">
        <f>+'Tracking Accounts'!F36</f>
        <v>-2500.5</v>
      </c>
      <c r="I16" s="87">
        <f t="shared" si="10"/>
        <v>3.2916666664277727E-3</v>
      </c>
      <c r="J16" s="88"/>
      <c r="K16" s="69">
        <f t="shared" si="1"/>
        <v>44470</v>
      </c>
      <c r="L16" s="70">
        <v>140315.42000000001</v>
      </c>
      <c r="M16" s="31">
        <f t="shared" si="11"/>
        <v>-29466.238200000003</v>
      </c>
      <c r="N16" s="21">
        <f t="shared" si="12"/>
        <v>110849.18180000001</v>
      </c>
      <c r="O16" s="22">
        <v>6.8000000000000005E-2</v>
      </c>
      <c r="P16">
        <f t="shared" si="13"/>
        <v>0.79</v>
      </c>
      <c r="Q16" s="32">
        <f t="shared" si="15"/>
        <v>603.77123500000005</v>
      </c>
      <c r="R16" s="33">
        <v>603.77</v>
      </c>
      <c r="S16" s="87">
        <f t="shared" si="14"/>
        <v>1.2350000000651562E-3</v>
      </c>
      <c r="T16" s="21"/>
    </row>
    <row r="17" spans="1:19" x14ac:dyDescent="0.25">
      <c r="A17" s="69">
        <v>44501</v>
      </c>
      <c r="B17" s="71"/>
      <c r="C17" s="71">
        <f t="shared" si="7"/>
        <v>0</v>
      </c>
      <c r="D17" s="72">
        <f t="shared" si="8"/>
        <v>0</v>
      </c>
      <c r="E17" s="73">
        <v>6.8000000000000005E-2</v>
      </c>
      <c r="F17" s="74">
        <v>0.79</v>
      </c>
      <c r="G17" s="75"/>
      <c r="H17" s="87"/>
      <c r="I17" s="87">
        <f t="shared" si="10"/>
        <v>0</v>
      </c>
      <c r="J17" s="88"/>
      <c r="K17" s="69">
        <f t="shared" si="1"/>
        <v>44501</v>
      </c>
      <c r="L17" s="31"/>
      <c r="M17" s="31">
        <f t="shared" si="11"/>
        <v>0</v>
      </c>
      <c r="N17" s="21">
        <f t="shared" si="12"/>
        <v>0</v>
      </c>
      <c r="O17" s="22">
        <v>6.8000000000000005E-2</v>
      </c>
      <c r="P17">
        <f t="shared" si="13"/>
        <v>0.79</v>
      </c>
      <c r="Q17" s="32"/>
      <c r="R17" s="33"/>
      <c r="S17" s="87">
        <f t="shared" si="14"/>
        <v>0</v>
      </c>
    </row>
    <row r="18" spans="1:19" x14ac:dyDescent="0.25">
      <c r="A18" s="69">
        <v>44531</v>
      </c>
      <c r="B18" s="71"/>
      <c r="C18" s="71">
        <f t="shared" si="7"/>
        <v>0</v>
      </c>
      <c r="D18" s="72">
        <f t="shared" si="8"/>
        <v>0</v>
      </c>
      <c r="E18" s="73">
        <v>6.8000000000000005E-2</v>
      </c>
      <c r="F18" s="74">
        <v>0.79</v>
      </c>
      <c r="G18" s="75"/>
      <c r="H18" s="87"/>
      <c r="I18" s="87">
        <f t="shared" si="10"/>
        <v>0</v>
      </c>
      <c r="J18" s="88"/>
      <c r="K18" s="69">
        <f t="shared" si="1"/>
        <v>44531</v>
      </c>
      <c r="L18" s="31"/>
      <c r="M18" s="31">
        <f t="shared" si="11"/>
        <v>0</v>
      </c>
      <c r="N18" s="21">
        <f t="shared" si="12"/>
        <v>0</v>
      </c>
      <c r="O18" s="22">
        <f>+O17</f>
        <v>6.8000000000000005E-2</v>
      </c>
      <c r="P18">
        <f t="shared" si="13"/>
        <v>0.79</v>
      </c>
      <c r="Q18" s="32">
        <f t="shared" ref="Q18" si="16">(N18+N17)/2*O18/12/P18</f>
        <v>0</v>
      </c>
      <c r="R18" s="33"/>
      <c r="S18" s="87">
        <f t="shared" si="14"/>
        <v>0</v>
      </c>
    </row>
    <row r="19" spans="1:19" ht="15.75" thickBot="1" x14ac:dyDescent="0.3">
      <c r="C19" s="81"/>
      <c r="I19" s="89">
        <f>SUM(I5:I18)</f>
        <v>1.7018333332543989E-2</v>
      </c>
      <c r="S19" s="89">
        <f>SUM(S5:S18)</f>
        <v>-1.0113333334075492E-2</v>
      </c>
    </row>
    <row r="20" spans="1:19" ht="15.75" thickTop="1" x14ac:dyDescent="0.25">
      <c r="C20" s="81"/>
      <c r="D20" s="82"/>
      <c r="E20" s="83"/>
      <c r="F20" s="84"/>
      <c r="G20" s="81"/>
      <c r="H20" s="90"/>
      <c r="I20" s="91">
        <f>-I6-I7</f>
        <v>-9.2250000000149157E-3</v>
      </c>
      <c r="S20" s="74"/>
    </row>
    <row r="21" spans="1:19" x14ac:dyDescent="0.25">
      <c r="D21" s="81"/>
      <c r="E21" s="81"/>
      <c r="F21" s="81"/>
      <c r="G21" s="81"/>
      <c r="H21" s="81"/>
      <c r="I21" s="85">
        <f>-I20</f>
        <v>9.2250000000149157E-3</v>
      </c>
      <c r="S21" s="74"/>
    </row>
    <row r="23" spans="1:19" x14ac:dyDescent="0.25">
      <c r="A23" s="92" t="s">
        <v>74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</row>
    <row r="26" spans="1:19" ht="11.25" customHeight="1" x14ac:dyDescent="0.25"/>
    <row r="27" spans="1:19" hidden="1" x14ac:dyDescent="0.25"/>
    <row r="44" spans="8:19" x14ac:dyDescent="0.25">
      <c r="H44" s="94"/>
      <c r="I44" s="23"/>
      <c r="R44" s="94">
        <f>+L16</f>
        <v>140315.42000000001</v>
      </c>
      <c r="S44" s="23"/>
    </row>
    <row r="45" spans="8:19" x14ac:dyDescent="0.25">
      <c r="H45" s="23"/>
      <c r="I45" s="23"/>
    </row>
    <row r="46" spans="8:19" x14ac:dyDescent="0.25">
      <c r="H46" s="95"/>
      <c r="I46" s="23"/>
    </row>
    <row r="47" spans="8:19" x14ac:dyDescent="0.25">
      <c r="H47" s="23"/>
      <c r="I47" s="23"/>
    </row>
    <row r="48" spans="8:19" x14ac:dyDescent="0.25">
      <c r="H48" s="96"/>
      <c r="I48" s="96"/>
    </row>
  </sheetData>
  <pageMargins left="0.7" right="0.7" top="0.75" bottom="0.75" header="0.3" footer="0.3"/>
  <pageSetup scale="57" fitToHeight="2" orientation="landscape" r:id="rId1"/>
  <rowBreaks count="1" manualBreakCount="1">
    <brk id="4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M14" sqref="M14"/>
    </sheetView>
  </sheetViews>
  <sheetFormatPr defaultRowHeight="15" x14ac:dyDescent="0.25"/>
  <cols>
    <col min="2" max="2" width="41.7109375" bestFit="1" customWidth="1"/>
    <col min="6" max="6" width="6" customWidth="1"/>
    <col min="7" max="7" width="60.85546875" bestFit="1" customWidth="1"/>
    <col min="8" max="8" width="3.140625" customWidth="1"/>
  </cols>
  <sheetData>
    <row r="1" spans="1:10" ht="18.75" x14ac:dyDescent="0.3">
      <c r="A1" s="66" t="s">
        <v>69</v>
      </c>
      <c r="B1" s="41"/>
      <c r="C1" s="41"/>
      <c r="D1" s="42" t="s">
        <v>56</v>
      </c>
      <c r="E1" s="43"/>
      <c r="F1" s="41"/>
      <c r="G1" s="41"/>
      <c r="H1" s="42" t="s">
        <v>57</v>
      </c>
      <c r="I1" s="44"/>
      <c r="J1" s="43"/>
    </row>
    <row r="2" spans="1:10" x14ac:dyDescent="0.25">
      <c r="A2" s="45" t="s">
        <v>58</v>
      </c>
      <c r="B2" s="45"/>
      <c r="C2" s="45"/>
      <c r="D2" s="45"/>
      <c r="E2" s="45"/>
      <c r="F2" s="45"/>
      <c r="G2" s="45" t="s">
        <v>58</v>
      </c>
      <c r="H2" s="46"/>
      <c r="I2" s="46"/>
      <c r="J2" s="46"/>
    </row>
    <row r="3" spans="1:10" x14ac:dyDescent="0.25">
      <c r="A3" s="45" t="s">
        <v>59</v>
      </c>
      <c r="B3" s="45"/>
      <c r="C3" s="45"/>
      <c r="D3" s="45"/>
      <c r="E3" s="45"/>
      <c r="F3" s="45"/>
      <c r="G3" s="45" t="s">
        <v>59</v>
      </c>
      <c r="H3" s="46"/>
      <c r="I3" s="46"/>
      <c r="J3" s="46"/>
    </row>
    <row r="4" spans="1:10" x14ac:dyDescent="0.25">
      <c r="A4" s="45" t="s">
        <v>67</v>
      </c>
      <c r="B4" s="45"/>
      <c r="C4" s="45"/>
      <c r="D4" s="45"/>
      <c r="E4" s="45"/>
      <c r="F4" s="45"/>
      <c r="G4" s="45" t="s">
        <v>67</v>
      </c>
      <c r="H4" s="46"/>
      <c r="I4" s="46"/>
      <c r="J4" s="46"/>
    </row>
    <row r="5" spans="1:10" x14ac:dyDescent="0.25">
      <c r="A5" s="45" t="s">
        <v>66</v>
      </c>
      <c r="B5" s="45"/>
      <c r="C5" s="45"/>
      <c r="D5" s="45"/>
      <c r="E5" s="45"/>
      <c r="F5" s="45"/>
      <c r="G5" s="45" t="s">
        <v>66</v>
      </c>
      <c r="H5" s="46"/>
      <c r="I5" s="46"/>
      <c r="J5" s="46"/>
    </row>
    <row r="6" spans="1:10" x14ac:dyDescent="0.25">
      <c r="A6" s="45" t="s">
        <v>60</v>
      </c>
      <c r="B6" s="45"/>
      <c r="C6" s="45"/>
      <c r="D6" s="45"/>
      <c r="E6" s="45"/>
      <c r="F6" s="45"/>
      <c r="G6" s="45" t="s">
        <v>22</v>
      </c>
      <c r="H6" s="45"/>
      <c r="I6" s="45"/>
      <c r="J6" s="45"/>
    </row>
    <row r="7" spans="1:10" x14ac:dyDescent="0.25">
      <c r="A7" s="41"/>
      <c r="B7" s="46"/>
      <c r="C7" s="46"/>
      <c r="D7" s="46"/>
      <c r="E7" s="46"/>
      <c r="F7" s="46"/>
      <c r="G7" s="46"/>
      <c r="H7" s="46"/>
      <c r="I7" s="46"/>
      <c r="J7" s="46"/>
    </row>
    <row r="8" spans="1:10" x14ac:dyDescent="0.25">
      <c r="A8" s="41"/>
      <c r="B8" s="41"/>
      <c r="C8" s="41"/>
      <c r="D8" s="41"/>
      <c r="E8" s="41"/>
      <c r="F8" s="46"/>
      <c r="G8" s="46"/>
      <c r="H8" s="46"/>
      <c r="I8" s="46"/>
      <c r="J8" s="41"/>
    </row>
    <row r="9" spans="1:10" x14ac:dyDescent="0.25">
      <c r="A9" s="47" t="s">
        <v>23</v>
      </c>
      <c r="B9" s="47"/>
      <c r="C9" s="48" t="s">
        <v>48</v>
      </c>
      <c r="D9" s="41"/>
      <c r="E9" s="48" t="s">
        <v>61</v>
      </c>
      <c r="F9" s="47" t="s">
        <v>23</v>
      </c>
      <c r="G9" s="47"/>
      <c r="H9" s="47"/>
      <c r="I9" s="41"/>
      <c r="J9" s="41"/>
    </row>
    <row r="10" spans="1:10" x14ac:dyDescent="0.25">
      <c r="A10" s="49" t="s">
        <v>24</v>
      </c>
      <c r="B10" s="49" t="s">
        <v>25</v>
      </c>
      <c r="C10" s="50" t="s">
        <v>62</v>
      </c>
      <c r="D10" s="50" t="s">
        <v>47</v>
      </c>
      <c r="E10" s="50" t="s">
        <v>47</v>
      </c>
      <c r="F10" s="49" t="s">
        <v>24</v>
      </c>
      <c r="G10" s="49" t="s">
        <v>25</v>
      </c>
      <c r="H10" s="49"/>
      <c r="I10" s="51"/>
      <c r="J10" s="51"/>
    </row>
    <row r="11" spans="1:10" x14ac:dyDescent="0.25">
      <c r="A11" s="41"/>
      <c r="B11" s="41"/>
      <c r="C11" s="41"/>
      <c r="D11" s="41"/>
      <c r="E11" s="41"/>
      <c r="F11" s="41"/>
      <c r="G11" s="41"/>
      <c r="H11" s="41"/>
      <c r="I11" s="41"/>
      <c r="J11" s="41"/>
    </row>
    <row r="12" spans="1:10" x14ac:dyDescent="0.25">
      <c r="A12" s="52">
        <v>1</v>
      </c>
      <c r="B12" s="53" t="s">
        <v>63</v>
      </c>
      <c r="C12" s="54">
        <v>0.51500000000000001</v>
      </c>
      <c r="D12" s="54">
        <v>5.4951456310679617E-2</v>
      </c>
      <c r="E12" s="54">
        <f>ROUND(C12*D12,4)</f>
        <v>2.8299999999999999E-2</v>
      </c>
      <c r="F12" s="52">
        <v>1</v>
      </c>
      <c r="G12" s="55" t="s">
        <v>26</v>
      </c>
      <c r="H12" s="53"/>
      <c r="I12" s="53"/>
      <c r="J12" s="56">
        <v>8.4790000000000004E-3</v>
      </c>
    </row>
    <row r="13" spans="1:10" x14ac:dyDescent="0.25">
      <c r="A13" s="52">
        <f t="shared" ref="A13:A18" si="0">A12+1</f>
        <v>2</v>
      </c>
      <c r="B13" s="53" t="s">
        <v>49</v>
      </c>
      <c r="C13" s="54">
        <v>0.48499999999999999</v>
      </c>
      <c r="D13" s="54">
        <v>9.4E-2</v>
      </c>
      <c r="E13" s="54">
        <f>ROUND(C13*D13,4)</f>
        <v>4.5600000000000002E-2</v>
      </c>
      <c r="F13" s="52">
        <f t="shared" ref="F13:F20" si="1">F12+1</f>
        <v>2</v>
      </c>
      <c r="G13" s="55" t="s">
        <v>27</v>
      </c>
      <c r="H13" s="53"/>
      <c r="I13" s="53"/>
      <c r="J13" s="56">
        <v>2E-3</v>
      </c>
    </row>
    <row r="14" spans="1:10" x14ac:dyDescent="0.25">
      <c r="A14" s="52">
        <f t="shared" si="0"/>
        <v>3</v>
      </c>
      <c r="B14" s="53" t="s">
        <v>64</v>
      </c>
      <c r="C14" s="57">
        <f>SUM(C12:C13)</f>
        <v>1</v>
      </c>
      <c r="D14" s="58"/>
      <c r="E14" s="59">
        <f>SUM(E12:E13)</f>
        <v>7.3899999999999993E-2</v>
      </c>
      <c r="F14" s="52">
        <f t="shared" si="1"/>
        <v>3</v>
      </c>
      <c r="G14" s="55" t="str">
        <f>"STATE UTILITY TAX ( "&amp;J14*100&amp;"% - ( LINE 1 * "&amp;J14*100&amp;"% )  )"</f>
        <v>STATE UTILITY TAX ( 3.8406% - ( LINE 1 * 3.8406% )  )</v>
      </c>
      <c r="H14" s="41"/>
      <c r="I14" s="60">
        <v>3.8733999999999998E-2</v>
      </c>
      <c r="J14" s="61">
        <f>ROUND(I14-(I14*J12),6)</f>
        <v>3.8406000000000003E-2</v>
      </c>
    </row>
    <row r="15" spans="1:10" x14ac:dyDescent="0.25">
      <c r="A15" s="52">
        <f t="shared" si="0"/>
        <v>4</v>
      </c>
      <c r="B15" s="53"/>
      <c r="C15" s="41"/>
      <c r="D15" s="41"/>
      <c r="E15" s="41"/>
      <c r="F15" s="52">
        <f t="shared" si="1"/>
        <v>4</v>
      </c>
      <c r="G15" s="55"/>
      <c r="H15" s="53"/>
      <c r="I15" s="53"/>
      <c r="J15" s="62"/>
    </row>
    <row r="16" spans="1:10" x14ac:dyDescent="0.25">
      <c r="A16" s="52">
        <f t="shared" si="0"/>
        <v>5</v>
      </c>
      <c r="B16" s="53" t="s">
        <v>65</v>
      </c>
      <c r="C16" s="54">
        <f>+C12</f>
        <v>0.51500000000000001</v>
      </c>
      <c r="D16" s="54">
        <f>D12*0.79</f>
        <v>4.3411650485436902E-2</v>
      </c>
      <c r="E16" s="54">
        <f>ROUND(E12*0.79,4)</f>
        <v>2.24E-2</v>
      </c>
      <c r="F16" s="52">
        <f t="shared" si="1"/>
        <v>5</v>
      </c>
      <c r="G16" s="55" t="s">
        <v>28</v>
      </c>
      <c r="H16" s="53"/>
      <c r="I16" s="53"/>
      <c r="J16" s="56">
        <f>ROUND(SUM(J12:J14),6)</f>
        <v>4.8884999999999998E-2</v>
      </c>
    </row>
    <row r="17" spans="1:10" x14ac:dyDescent="0.25">
      <c r="A17" s="52">
        <f t="shared" si="0"/>
        <v>6</v>
      </c>
      <c r="B17" s="53" t="s">
        <v>49</v>
      </c>
      <c r="C17" s="54">
        <f>+C13</f>
        <v>0.48499999999999999</v>
      </c>
      <c r="D17" s="54">
        <f>+D13</f>
        <v>9.4E-2</v>
      </c>
      <c r="E17" s="54">
        <f>ROUND(C17*D17,4)</f>
        <v>4.5600000000000002E-2</v>
      </c>
      <c r="F17" s="52">
        <f t="shared" si="1"/>
        <v>6</v>
      </c>
      <c r="G17" s="53"/>
      <c r="H17" s="53"/>
      <c r="I17" s="53"/>
      <c r="J17" s="56"/>
    </row>
    <row r="18" spans="1:10" x14ac:dyDescent="0.25">
      <c r="A18" s="52">
        <f t="shared" si="0"/>
        <v>7</v>
      </c>
      <c r="B18" s="53" t="s">
        <v>50</v>
      </c>
      <c r="C18" s="57">
        <f>SUM(C16:C17)</f>
        <v>1</v>
      </c>
      <c r="D18" s="58"/>
      <c r="E18" s="68">
        <f>SUM(E16:E17)</f>
        <v>6.8000000000000005E-2</v>
      </c>
      <c r="F18" s="52">
        <f t="shared" si="1"/>
        <v>7</v>
      </c>
      <c r="G18" s="53" t="str">
        <f>"CONVERSION FACTOR EXCLUDING FEDERAL INCOME TAX ( 1 - LINE "&amp;$I$17&amp;" )"</f>
        <v>CONVERSION FACTOR EXCLUDING FEDERAL INCOME TAX ( 1 - LINE  )</v>
      </c>
      <c r="H18" s="53"/>
      <c r="I18" s="53"/>
      <c r="J18" s="56">
        <f>ROUND(1-J16,6)</f>
        <v>0.95111500000000004</v>
      </c>
    </row>
    <row r="19" spans="1:10" x14ac:dyDescent="0.25">
      <c r="A19" s="52"/>
      <c r="B19" s="41"/>
      <c r="C19" s="41"/>
      <c r="D19" s="41"/>
      <c r="E19" s="41"/>
      <c r="F19" s="52">
        <f t="shared" si="1"/>
        <v>8</v>
      </c>
      <c r="G19" s="55" t="s">
        <v>68</v>
      </c>
      <c r="H19" s="53"/>
      <c r="I19" s="63">
        <v>0.21</v>
      </c>
      <c r="J19" s="56">
        <f>ROUND((J18)*I19,6)</f>
        <v>0.19973399999999999</v>
      </c>
    </row>
    <row r="20" spans="1:10" ht="15.75" thickBot="1" x14ac:dyDescent="0.3">
      <c r="A20" s="52"/>
      <c r="B20" s="41"/>
      <c r="C20" s="41"/>
      <c r="D20" s="41"/>
      <c r="E20" s="41"/>
      <c r="F20" s="52">
        <f t="shared" si="1"/>
        <v>9</v>
      </c>
      <c r="G20" s="55" t="str">
        <f>"CONVERSION FACTOR INCL FEDERAL INCOME TAX ( LINE "&amp;F18&amp;" - LINE "&amp;F19&amp;" ) "</f>
        <v xml:space="preserve">CONVERSION FACTOR INCL FEDERAL INCOME TAX ( LINE 7 - LINE 8 ) </v>
      </c>
      <c r="H20" s="53"/>
      <c r="I20" s="53"/>
      <c r="J20" s="67">
        <f>ROUND(1-J19-J16,6)</f>
        <v>0.75138099999999997</v>
      </c>
    </row>
    <row r="21" spans="1:10" ht="15.75" thickTop="1" x14ac:dyDescent="0.25">
      <c r="A21" s="52"/>
      <c r="B21" s="64"/>
      <c r="C21" s="65"/>
      <c r="D21" s="41"/>
      <c r="E21" s="41"/>
      <c r="F21" s="52"/>
      <c r="G21" s="41"/>
      <c r="H21" s="53"/>
      <c r="I21" s="53"/>
      <c r="J21" s="53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57A83D952AD1A4A9C72E8818941C9F7" ma:contentTypeVersion="36" ma:contentTypeDescription="" ma:contentTypeScope="" ma:versionID="65faa8294ebcf65ad1b05aab0d16734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2021-12-01T08:00:00+00:00</OpenedDate>
    <SignificantOrder xmlns="dc463f71-b30c-4ab2-9473-d307f9d35888">false</SignificantOrder>
    <Date1 xmlns="dc463f71-b30c-4ab2-9473-d307f9d35888">2021-12-01T08:00:00+00:00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210924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1B10529-110D-4B65-BE90-2EA4FF4C6124}"/>
</file>

<file path=customXml/itemProps2.xml><?xml version="1.0" encoding="utf-8"?>
<ds:datastoreItem xmlns:ds="http://schemas.openxmlformats.org/officeDocument/2006/customXml" ds:itemID="{439A4AC2-FB94-4C49-85CB-CC05CA29619B}"/>
</file>

<file path=customXml/itemProps3.xml><?xml version="1.0" encoding="utf-8"?>
<ds:datastoreItem xmlns:ds="http://schemas.openxmlformats.org/officeDocument/2006/customXml" ds:itemID="{693FB5A4-BFFC-4F3C-A1C2-2B8A6B80B012}"/>
</file>

<file path=customXml/itemProps4.xml><?xml version="1.0" encoding="utf-8"?>
<ds:datastoreItem xmlns:ds="http://schemas.openxmlformats.org/officeDocument/2006/customXml" ds:itemID="{D489B02D-ACDC-480D-8B5F-A561E69377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Revenue Requirement</vt:lpstr>
      <vt:lpstr>Tracking Accounts</vt:lpstr>
      <vt:lpstr>Intrst Rev &amp; Tfr Bal Jan 21</vt:lpstr>
      <vt:lpstr>Conv F and COC UE-190529</vt:lpstr>
      <vt:lpstr>'Revenue Requirement'!Print_Area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SFree</dc:creator>
  <cp:lastModifiedBy>Puget Sound Energy</cp:lastModifiedBy>
  <cp:lastPrinted>2018-11-09T22:24:05Z</cp:lastPrinted>
  <dcterms:created xsi:type="dcterms:W3CDTF">2017-11-21T20:51:05Z</dcterms:created>
  <dcterms:modified xsi:type="dcterms:W3CDTF">2021-12-01T22:48:17Z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0x0101006E56B4D1795A2E4DB2F0B01679ED314A00157A83D952AD1A4A9C72E8818941C9F7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