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sindisposal.sharepoint.com/sites/AccountingTeam/Shared Documents/Rate Making/WUTC/WALLA - Tariff 14/Rate Increase Filings/2022/"/>
    </mc:Choice>
  </mc:AlternateContent>
  <xr:revisionPtr revIDLastSave="229" documentId="11_57E4D1AABF80D28D06D99D2590EF62A8E065447C" xr6:coauthVersionLast="47" xr6:coauthVersionMax="47" xr10:uidLastSave="{382702C8-F38F-45B3-803C-C7362B8CDBB9}"/>
  <bookViews>
    <workbookView xWindow="28680" yWindow="-315" windowWidth="29040" windowHeight="15840" activeTab="1" xr2:uid="{00000000-000D-0000-FFFF-FFFF00000000}"/>
  </bookViews>
  <sheets>
    <sheet name="References" sheetId="4" r:id="rId1"/>
    <sheet name="Disposal Increase Calculations" sheetId="7" r:id="rId2"/>
    <sheet name="SourceNotes" sheetId="8" r:id="rId3"/>
  </sheets>
  <definedNames>
    <definedName name="_xlnm._FilterDatabase" localSheetId="1" hidden="1">'Disposal Increase Calculations'!$A$4:$V$115</definedName>
    <definedName name="_xlnm.Print_Area" localSheetId="1">'Disposal Increase Calculations'!$A$1:$V$122</definedName>
    <definedName name="_xlnm.Print_Titles" localSheetId="1">'Disposal Increase Calculations'!$4:$4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6" i="7" l="1"/>
  <c r="X78" i="7"/>
  <c r="X77" i="7"/>
  <c r="X16" i="7"/>
  <c r="G47" i="4"/>
  <c r="O49" i="7"/>
  <c r="G48" i="7"/>
  <c r="U59" i="7"/>
  <c r="V59" i="7" s="1"/>
  <c r="U74" i="7"/>
  <c r="S4" i="7" l="1"/>
  <c r="G48" i="4" l="1"/>
  <c r="O56" i="7" l="1"/>
  <c r="H56" i="7"/>
  <c r="G6" i="7" l="1"/>
  <c r="G7" i="7"/>
  <c r="G8" i="7"/>
  <c r="G9" i="7"/>
  <c r="G10" i="7"/>
  <c r="G12" i="7"/>
  <c r="G13" i="7"/>
  <c r="G16" i="7"/>
  <c r="H16" i="7" s="1"/>
  <c r="G17" i="7"/>
  <c r="H17" i="7" s="1"/>
  <c r="G18" i="7"/>
  <c r="H18" i="7" s="1"/>
  <c r="G19" i="7"/>
  <c r="H19" i="7" s="1"/>
  <c r="G21" i="7"/>
  <c r="H21" i="7" s="1"/>
  <c r="G22" i="7"/>
  <c r="H22" i="7" s="1"/>
  <c r="G23" i="7"/>
  <c r="H23" i="7" s="1"/>
  <c r="G24" i="7"/>
  <c r="H24" i="7" s="1"/>
  <c r="G26" i="7"/>
  <c r="H26" i="7" s="1"/>
  <c r="G27" i="7"/>
  <c r="H27" i="7" s="1"/>
  <c r="G29" i="7"/>
  <c r="H29" i="7" s="1"/>
  <c r="G30" i="7"/>
  <c r="H30" i="7" s="1"/>
  <c r="G32" i="7"/>
  <c r="H32" i="7" s="1"/>
  <c r="G33" i="7"/>
  <c r="H33" i="7" s="1"/>
  <c r="G34" i="7"/>
  <c r="H34" i="7" s="1"/>
  <c r="G36" i="7"/>
  <c r="H36" i="7" s="1"/>
  <c r="G37" i="7"/>
  <c r="H37" i="7" s="1"/>
  <c r="G38" i="7"/>
  <c r="H38" i="7" s="1"/>
  <c r="G39" i="7"/>
  <c r="H39" i="7" s="1"/>
  <c r="G46" i="7"/>
  <c r="H46" i="7" s="1"/>
  <c r="G47" i="7"/>
  <c r="H47" i="7" s="1"/>
  <c r="H48" i="7"/>
  <c r="G51" i="7"/>
  <c r="H51" i="7" s="1"/>
  <c r="G52" i="7"/>
  <c r="H52" i="7" s="1"/>
  <c r="G53" i="7"/>
  <c r="H53" i="7" s="1"/>
  <c r="G54" i="7"/>
  <c r="H54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H65" i="7" s="1"/>
  <c r="G66" i="7"/>
  <c r="H66" i="7" s="1"/>
  <c r="G67" i="7"/>
  <c r="H67" i="7" s="1"/>
  <c r="G68" i="7"/>
  <c r="H68" i="7" s="1"/>
  <c r="G69" i="7"/>
  <c r="H69" i="7" s="1"/>
  <c r="G70" i="7"/>
  <c r="H70" i="7" s="1"/>
  <c r="G71" i="7"/>
  <c r="H71" i="7" s="1"/>
  <c r="G72" i="7"/>
  <c r="H72" i="7" s="1"/>
  <c r="G73" i="7"/>
  <c r="H73" i="7" s="1"/>
  <c r="N50" i="7"/>
  <c r="T50" i="7" s="1"/>
  <c r="N45" i="7"/>
  <c r="T45" i="7" s="1"/>
  <c r="N40" i="7"/>
  <c r="T40" i="7" s="1"/>
  <c r="N35" i="7"/>
  <c r="T35" i="7" s="1"/>
  <c r="N31" i="7"/>
  <c r="T31" i="7" s="1"/>
  <c r="N28" i="7"/>
  <c r="T28" i="7" s="1"/>
  <c r="N25" i="7"/>
  <c r="T25" i="7" s="1"/>
  <c r="N20" i="7"/>
  <c r="T20" i="7" s="1"/>
  <c r="H41" i="7"/>
  <c r="H42" i="7"/>
  <c r="H43" i="7"/>
  <c r="H44" i="7"/>
  <c r="H57" i="7"/>
  <c r="H58" i="7"/>
  <c r="D120" i="7"/>
  <c r="C47" i="4"/>
  <c r="C48" i="4"/>
  <c r="G50" i="4"/>
  <c r="G52" i="4" s="1"/>
  <c r="G85" i="7"/>
  <c r="G110" i="7"/>
  <c r="G109" i="7"/>
  <c r="G108" i="7"/>
  <c r="G104" i="7"/>
  <c r="G103" i="7"/>
  <c r="G102" i="7"/>
  <c r="G101" i="7"/>
  <c r="G100" i="7"/>
  <c r="O55" i="7"/>
  <c r="G93" i="7"/>
  <c r="G92" i="7"/>
  <c r="E91" i="7"/>
  <c r="F91" i="7" s="1"/>
  <c r="G91" i="7"/>
  <c r="H99" i="7"/>
  <c r="O40" i="7"/>
  <c r="O31" i="7"/>
  <c r="O28" i="7"/>
  <c r="O25" i="7"/>
  <c r="O20" i="7"/>
  <c r="O50" i="7"/>
  <c r="O35" i="7"/>
  <c r="O45" i="7"/>
  <c r="F75" i="7"/>
  <c r="G80" i="7"/>
  <c r="G81" i="7"/>
  <c r="G82" i="7"/>
  <c r="E83" i="7"/>
  <c r="F83" i="7" s="1"/>
  <c r="G83" i="7"/>
  <c r="G84" i="7"/>
  <c r="G86" i="7"/>
  <c r="G87" i="7"/>
  <c r="G88" i="7"/>
  <c r="G89" i="7"/>
  <c r="G90" i="7"/>
  <c r="D15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8" i="7"/>
  <c r="O57" i="7"/>
  <c r="O52" i="7"/>
  <c r="O53" i="7"/>
  <c r="O54" i="7"/>
  <c r="O6" i="7"/>
  <c r="G107" i="7"/>
  <c r="G106" i="7"/>
  <c r="G105" i="7"/>
  <c r="G98" i="7"/>
  <c r="G97" i="7"/>
  <c r="G96" i="7"/>
  <c r="O44" i="7"/>
  <c r="O46" i="7"/>
  <c r="O47" i="7"/>
  <c r="O48" i="7"/>
  <c r="O51" i="7"/>
  <c r="O7" i="7"/>
  <c r="E75" i="7"/>
  <c r="D75" i="7"/>
  <c r="O19" i="7"/>
  <c r="O18" i="7"/>
  <c r="O21" i="7"/>
  <c r="O22" i="7"/>
  <c r="O17" i="7"/>
  <c r="O23" i="7"/>
  <c r="O24" i="7"/>
  <c r="O26" i="7"/>
  <c r="O27" i="7"/>
  <c r="O29" i="7"/>
  <c r="O30" i="7"/>
  <c r="O32" i="7"/>
  <c r="O33" i="7"/>
  <c r="O34" i="7"/>
  <c r="O36" i="7"/>
  <c r="O37" i="7"/>
  <c r="O38" i="7"/>
  <c r="O39" i="7"/>
  <c r="O41" i="7"/>
  <c r="O42" i="7"/>
  <c r="O43" i="7"/>
  <c r="O16" i="7"/>
  <c r="O9" i="7"/>
  <c r="O10" i="7"/>
  <c r="O12" i="7"/>
  <c r="O13" i="7"/>
  <c r="B54" i="4"/>
  <c r="O8" i="7"/>
  <c r="B3" i="4"/>
  <c r="H3" i="4" s="1"/>
  <c r="B4" i="4"/>
  <c r="C4" i="4" s="1"/>
  <c r="B5" i="4"/>
  <c r="G5" i="4" s="1"/>
  <c r="B6" i="4"/>
  <c r="H6" i="4" s="1"/>
  <c r="H4" i="4"/>
  <c r="C6" i="4"/>
  <c r="E3" i="4"/>
  <c r="F3" i="4"/>
  <c r="D6" i="4"/>
  <c r="B49" i="4"/>
  <c r="B52" i="4" s="1"/>
  <c r="B9" i="4"/>
  <c r="B8" i="4"/>
  <c r="B7" i="4"/>
  <c r="E7" i="7" s="1"/>
  <c r="F7" i="7" s="1"/>
  <c r="F7" i="4"/>
  <c r="E7" i="4"/>
  <c r="F9" i="4"/>
  <c r="S50" i="7" l="1"/>
  <c r="U50" i="7" s="1"/>
  <c r="S20" i="7"/>
  <c r="U20" i="7"/>
  <c r="S25" i="7"/>
  <c r="U25" i="7" s="1"/>
  <c r="S31" i="7"/>
  <c r="U31" i="7" s="1"/>
  <c r="S28" i="7"/>
  <c r="U28" i="7"/>
  <c r="S35" i="7"/>
  <c r="U35" i="7" s="1"/>
  <c r="S40" i="7"/>
  <c r="U40" i="7" s="1"/>
  <c r="S45" i="7"/>
  <c r="U45" i="7"/>
  <c r="E111" i="7"/>
  <c r="F111" i="7" s="1"/>
  <c r="H111" i="7" s="1"/>
  <c r="E84" i="7"/>
  <c r="F84" i="7" s="1"/>
  <c r="H84" i="7" s="1"/>
  <c r="E85" i="7"/>
  <c r="F85" i="7" s="1"/>
  <c r="H85" i="7" s="1"/>
  <c r="E12" i="7"/>
  <c r="F12" i="7" s="1"/>
  <c r="H12" i="7" s="1"/>
  <c r="C7" i="4"/>
  <c r="E6" i="4"/>
  <c r="D4" i="4"/>
  <c r="H7" i="4"/>
  <c r="F6" i="4"/>
  <c r="C5" i="4"/>
  <c r="E88" i="7"/>
  <c r="F88" i="7" s="1"/>
  <c r="H88" i="7" s="1"/>
  <c r="E98" i="7"/>
  <c r="F98" i="7" s="1"/>
  <c r="H98" i="7" s="1"/>
  <c r="G6" i="4"/>
  <c r="E80" i="7"/>
  <c r="F80" i="7" s="1"/>
  <c r="H80" i="7" s="1"/>
  <c r="E99" i="7"/>
  <c r="C49" i="4"/>
  <c r="P28" i="7"/>
  <c r="Q28" i="7" s="1"/>
  <c r="P31" i="7"/>
  <c r="Q31" i="7" s="1"/>
  <c r="P35" i="7"/>
  <c r="Q35" i="7" s="1"/>
  <c r="P45" i="7"/>
  <c r="Q45" i="7" s="1"/>
  <c r="P50" i="7"/>
  <c r="Q50" i="7" s="1"/>
  <c r="P20" i="7"/>
  <c r="Q20" i="7" s="1"/>
  <c r="P40" i="7"/>
  <c r="Q40" i="7" s="1"/>
  <c r="P25" i="7"/>
  <c r="Q25" i="7" s="1"/>
  <c r="D76" i="7"/>
  <c r="H83" i="7"/>
  <c r="H91" i="7"/>
  <c r="H7" i="7"/>
  <c r="G75" i="7"/>
  <c r="O15" i="7"/>
  <c r="E105" i="7"/>
  <c r="F105" i="7" s="1"/>
  <c r="H105" i="7" s="1"/>
  <c r="D9" i="4"/>
  <c r="E8" i="7"/>
  <c r="F8" i="7" s="1"/>
  <c r="H8" i="7" s="1"/>
  <c r="E13" i="7"/>
  <c r="F13" i="7" s="1"/>
  <c r="H13" i="7" s="1"/>
  <c r="E100" i="7"/>
  <c r="F100" i="7" s="1"/>
  <c r="H100" i="7" s="1"/>
  <c r="E108" i="7"/>
  <c r="F108" i="7" s="1"/>
  <c r="H108" i="7" s="1"/>
  <c r="E103" i="7"/>
  <c r="F103" i="7" s="1"/>
  <c r="H103" i="7" s="1"/>
  <c r="H9" i="4"/>
  <c r="E97" i="7"/>
  <c r="F97" i="7" s="1"/>
  <c r="H97" i="7" s="1"/>
  <c r="G9" i="4"/>
  <c r="E9" i="7"/>
  <c r="F9" i="7" s="1"/>
  <c r="H9" i="7" s="1"/>
  <c r="E104" i="7"/>
  <c r="F104" i="7" s="1"/>
  <c r="H104" i="7" s="1"/>
  <c r="E107" i="7"/>
  <c r="F107" i="7" s="1"/>
  <c r="H107" i="7" s="1"/>
  <c r="E96" i="7"/>
  <c r="F96" i="7" s="1"/>
  <c r="H96" i="7" s="1"/>
  <c r="E9" i="4"/>
  <c r="E109" i="7"/>
  <c r="F109" i="7" s="1"/>
  <c r="H109" i="7" s="1"/>
  <c r="E86" i="7"/>
  <c r="F86" i="7" s="1"/>
  <c r="H86" i="7" s="1"/>
  <c r="C9" i="4"/>
  <c r="E87" i="7" s="1"/>
  <c r="F87" i="7" s="1"/>
  <c r="H87" i="7" s="1"/>
  <c r="E110" i="7"/>
  <c r="F110" i="7" s="1"/>
  <c r="H110" i="7" s="1"/>
  <c r="B53" i="4"/>
  <c r="B55" i="4" s="1"/>
  <c r="E106" i="7"/>
  <c r="F106" i="7" s="1"/>
  <c r="H106" i="7" s="1"/>
  <c r="H75" i="7"/>
  <c r="H8" i="4"/>
  <c r="E8" i="4"/>
  <c r="G8" i="4"/>
  <c r="F8" i="4"/>
  <c r="C8" i="4"/>
  <c r="E92" i="7"/>
  <c r="F92" i="7" s="1"/>
  <c r="H92" i="7" s="1"/>
  <c r="F4" i="4"/>
  <c r="E4" i="4"/>
  <c r="G4" i="4"/>
  <c r="O75" i="7"/>
  <c r="E93" i="7"/>
  <c r="F93" i="7" s="1"/>
  <c r="H93" i="7" s="1"/>
  <c r="E102" i="7"/>
  <c r="F102" i="7" s="1"/>
  <c r="H102" i="7" s="1"/>
  <c r="D8" i="4"/>
  <c r="D5" i="4"/>
  <c r="E5" i="4"/>
  <c r="H5" i="4"/>
  <c r="F5" i="4"/>
  <c r="D3" i="4"/>
  <c r="G3" i="4"/>
  <c r="C3" i="4"/>
  <c r="E101" i="7"/>
  <c r="F101" i="7" s="1"/>
  <c r="H101" i="7" s="1"/>
  <c r="E89" i="7"/>
  <c r="F89" i="7" s="1"/>
  <c r="H89" i="7" s="1"/>
  <c r="E81" i="7"/>
  <c r="F81" i="7" s="1"/>
  <c r="H81" i="7" s="1"/>
  <c r="E90" i="7"/>
  <c r="F90" i="7" s="1"/>
  <c r="H90" i="7" s="1"/>
  <c r="G7" i="4"/>
  <c r="E6" i="7"/>
  <c r="F6" i="7" s="1"/>
  <c r="E10" i="7"/>
  <c r="F10" i="7" s="1"/>
  <c r="H10" i="7" s="1"/>
  <c r="E82" i="7"/>
  <c r="F82" i="7" s="1"/>
  <c r="H82" i="7" s="1"/>
  <c r="D7" i="4"/>
  <c r="V28" i="7" l="1"/>
  <c r="V35" i="7"/>
  <c r="V45" i="7"/>
  <c r="V31" i="7"/>
  <c r="V25" i="7"/>
  <c r="V40" i="7"/>
  <c r="V20" i="7"/>
  <c r="V50" i="7"/>
  <c r="O76" i="7"/>
  <c r="F15" i="7"/>
  <c r="H6" i="7"/>
  <c r="H15" i="7" s="1"/>
  <c r="H76" i="7" s="1"/>
  <c r="D122" i="7" s="1"/>
  <c r="I49" i="7" s="1"/>
  <c r="J49" i="7" s="1"/>
  <c r="K49" i="7" s="1"/>
  <c r="L49" i="7" s="1"/>
  <c r="N49" i="7" s="1"/>
  <c r="P49" i="7" l="1"/>
  <c r="Q49" i="7" s="1"/>
  <c r="S49" i="7"/>
  <c r="T49" i="7" s="1"/>
  <c r="U49" i="7" s="1"/>
  <c r="I56" i="7"/>
  <c r="J56" i="7" s="1"/>
  <c r="K56" i="7" s="1"/>
  <c r="L56" i="7" s="1"/>
  <c r="N56" i="7" s="1"/>
  <c r="I72" i="7"/>
  <c r="J72" i="7" s="1"/>
  <c r="K72" i="7" s="1"/>
  <c r="L72" i="7" s="1"/>
  <c r="N72" i="7" s="1"/>
  <c r="I64" i="7"/>
  <c r="J64" i="7" s="1"/>
  <c r="K64" i="7" s="1"/>
  <c r="L64" i="7" s="1"/>
  <c r="N64" i="7" s="1"/>
  <c r="I54" i="7"/>
  <c r="J54" i="7" s="1"/>
  <c r="K54" i="7" s="1"/>
  <c r="L54" i="7" s="1"/>
  <c r="N54" i="7" s="1"/>
  <c r="I9" i="7"/>
  <c r="J9" i="7" s="1"/>
  <c r="K9" i="7" s="1"/>
  <c r="L9" i="7" s="1"/>
  <c r="N9" i="7" s="1"/>
  <c r="I73" i="7"/>
  <c r="J73" i="7" s="1"/>
  <c r="K73" i="7" s="1"/>
  <c r="L73" i="7" s="1"/>
  <c r="N73" i="7" s="1"/>
  <c r="I65" i="7"/>
  <c r="J65" i="7" s="1"/>
  <c r="K65" i="7" s="1"/>
  <c r="L65" i="7" s="1"/>
  <c r="N65" i="7" s="1"/>
  <c r="I55" i="7"/>
  <c r="J55" i="7" s="1"/>
  <c r="K55" i="7" s="1"/>
  <c r="L55" i="7" s="1"/>
  <c r="N55" i="7" s="1"/>
  <c r="T55" i="7" s="1"/>
  <c r="I67" i="7"/>
  <c r="J67" i="7" s="1"/>
  <c r="K67" i="7" s="1"/>
  <c r="L67" i="7" s="1"/>
  <c r="N67" i="7" s="1"/>
  <c r="I58" i="7"/>
  <c r="J58" i="7" s="1"/>
  <c r="K58" i="7" s="1"/>
  <c r="L58" i="7" s="1"/>
  <c r="N58" i="7" s="1"/>
  <c r="I36" i="7"/>
  <c r="J36" i="7" s="1"/>
  <c r="K36" i="7" s="1"/>
  <c r="L36" i="7" s="1"/>
  <c r="N36" i="7" s="1"/>
  <c r="I32" i="7"/>
  <c r="J32" i="7" s="1"/>
  <c r="K32" i="7" s="1"/>
  <c r="L32" i="7" s="1"/>
  <c r="N32" i="7" s="1"/>
  <c r="I16" i="7"/>
  <c r="I93" i="7"/>
  <c r="J93" i="7" s="1"/>
  <c r="K93" i="7" s="1"/>
  <c r="L93" i="7" s="1"/>
  <c r="N93" i="7" s="1"/>
  <c r="I80" i="7"/>
  <c r="J80" i="7" s="1"/>
  <c r="K80" i="7" s="1"/>
  <c r="L80" i="7" s="1"/>
  <c r="N80" i="7" s="1"/>
  <c r="I47" i="7"/>
  <c r="J47" i="7" s="1"/>
  <c r="K47" i="7" s="1"/>
  <c r="L47" i="7" s="1"/>
  <c r="N47" i="7" s="1"/>
  <c r="I24" i="7"/>
  <c r="J24" i="7" s="1"/>
  <c r="K24" i="7" s="1"/>
  <c r="L24" i="7" s="1"/>
  <c r="N24" i="7" s="1"/>
  <c r="I22" i="7"/>
  <c r="J22" i="7" s="1"/>
  <c r="K22" i="7" s="1"/>
  <c r="L22" i="7" s="1"/>
  <c r="N22" i="7" s="1"/>
  <c r="I18" i="7"/>
  <c r="J18" i="7" s="1"/>
  <c r="K18" i="7" s="1"/>
  <c r="L18" i="7" s="1"/>
  <c r="N18" i="7" s="1"/>
  <c r="I100" i="7"/>
  <c r="J100" i="7" s="1"/>
  <c r="K100" i="7" s="1"/>
  <c r="L100" i="7" s="1"/>
  <c r="N100" i="7" s="1"/>
  <c r="I103" i="7"/>
  <c r="J103" i="7" s="1"/>
  <c r="K103" i="7" s="1"/>
  <c r="L103" i="7" s="1"/>
  <c r="N103" i="7" s="1"/>
  <c r="I83" i="7"/>
  <c r="J83" i="7" s="1"/>
  <c r="K83" i="7" s="1"/>
  <c r="L83" i="7" s="1"/>
  <c r="N83" i="7" s="1"/>
  <c r="I98" i="7"/>
  <c r="J98" i="7" s="1"/>
  <c r="K98" i="7" s="1"/>
  <c r="L98" i="7" s="1"/>
  <c r="N98" i="7" s="1"/>
  <c r="I109" i="7"/>
  <c r="J109" i="7" s="1"/>
  <c r="K109" i="7" s="1"/>
  <c r="L109" i="7" s="1"/>
  <c r="N109" i="7" s="1"/>
  <c r="I104" i="7"/>
  <c r="J104" i="7" s="1"/>
  <c r="K104" i="7" s="1"/>
  <c r="L104" i="7" s="1"/>
  <c r="N104" i="7" s="1"/>
  <c r="I88" i="7"/>
  <c r="J88" i="7" s="1"/>
  <c r="K88" i="7" s="1"/>
  <c r="L88" i="7" s="1"/>
  <c r="N88" i="7" s="1"/>
  <c r="I52" i="7"/>
  <c r="J52" i="7" s="1"/>
  <c r="K52" i="7" s="1"/>
  <c r="L52" i="7" s="1"/>
  <c r="N52" i="7" s="1"/>
  <c r="I30" i="7"/>
  <c r="J30" i="7" s="1"/>
  <c r="K30" i="7" s="1"/>
  <c r="L30" i="7" s="1"/>
  <c r="N30" i="7" s="1"/>
  <c r="I26" i="7"/>
  <c r="J26" i="7" s="1"/>
  <c r="K26" i="7" s="1"/>
  <c r="L26" i="7" s="1"/>
  <c r="N26" i="7" s="1"/>
  <c r="I10" i="7"/>
  <c r="J10" i="7" s="1"/>
  <c r="K10" i="7" s="1"/>
  <c r="L10" i="7" s="1"/>
  <c r="N10" i="7" s="1"/>
  <c r="I7" i="7"/>
  <c r="J7" i="7" s="1"/>
  <c r="K7" i="7" s="1"/>
  <c r="L7" i="7" s="1"/>
  <c r="N7" i="7" s="1"/>
  <c r="I111" i="7"/>
  <c r="J111" i="7" s="1"/>
  <c r="K111" i="7" s="1"/>
  <c r="L111" i="7" s="1"/>
  <c r="N111" i="7" s="1"/>
  <c r="I70" i="7"/>
  <c r="J70" i="7" s="1"/>
  <c r="K70" i="7" s="1"/>
  <c r="L70" i="7" s="1"/>
  <c r="N70" i="7" s="1"/>
  <c r="I68" i="7"/>
  <c r="J68" i="7" s="1"/>
  <c r="K68" i="7" s="1"/>
  <c r="L68" i="7" s="1"/>
  <c r="N68" i="7" s="1"/>
  <c r="I44" i="7"/>
  <c r="J44" i="7" s="1"/>
  <c r="K44" i="7" s="1"/>
  <c r="L44" i="7" s="1"/>
  <c r="N44" i="7" s="1"/>
  <c r="I42" i="7"/>
  <c r="J42" i="7" s="1"/>
  <c r="K42" i="7" s="1"/>
  <c r="L42" i="7" s="1"/>
  <c r="N42" i="7" s="1"/>
  <c r="I38" i="7"/>
  <c r="J38" i="7" s="1"/>
  <c r="K38" i="7" s="1"/>
  <c r="L38" i="7" s="1"/>
  <c r="N38" i="7" s="1"/>
  <c r="I85" i="7"/>
  <c r="J85" i="7" s="1"/>
  <c r="K85" i="7" s="1"/>
  <c r="L85" i="7" s="1"/>
  <c r="N85" i="7" s="1"/>
  <c r="I92" i="7"/>
  <c r="J92" i="7" s="1"/>
  <c r="K92" i="7" s="1"/>
  <c r="L92" i="7" s="1"/>
  <c r="N92" i="7" s="1"/>
  <c r="I81" i="7"/>
  <c r="J81" i="7" s="1"/>
  <c r="K81" i="7" s="1"/>
  <c r="L81" i="7" s="1"/>
  <c r="N81" i="7" s="1"/>
  <c r="I97" i="7"/>
  <c r="J97" i="7" s="1"/>
  <c r="K97" i="7" s="1"/>
  <c r="L97" i="7" s="1"/>
  <c r="N97" i="7" s="1"/>
  <c r="I66" i="7"/>
  <c r="J66" i="7" s="1"/>
  <c r="K66" i="7" s="1"/>
  <c r="L66" i="7" s="1"/>
  <c r="N66" i="7" s="1"/>
  <c r="I48" i="7"/>
  <c r="J48" i="7" s="1"/>
  <c r="K48" i="7" s="1"/>
  <c r="L48" i="7" s="1"/>
  <c r="N48" i="7" s="1"/>
  <c r="I46" i="7"/>
  <c r="J46" i="7" s="1"/>
  <c r="K46" i="7" s="1"/>
  <c r="L46" i="7" s="1"/>
  <c r="N46" i="7" s="1"/>
  <c r="I23" i="7"/>
  <c r="J23" i="7" s="1"/>
  <c r="K23" i="7" s="1"/>
  <c r="L23" i="7" s="1"/>
  <c r="N23" i="7" s="1"/>
  <c r="I21" i="7"/>
  <c r="J21" i="7" s="1"/>
  <c r="K21" i="7" s="1"/>
  <c r="L21" i="7" s="1"/>
  <c r="N21" i="7" s="1"/>
  <c r="I19" i="7"/>
  <c r="J19" i="7" s="1"/>
  <c r="K19" i="7" s="1"/>
  <c r="L19" i="7" s="1"/>
  <c r="N19" i="7" s="1"/>
  <c r="I17" i="7"/>
  <c r="J17" i="7" s="1"/>
  <c r="K17" i="7" s="1"/>
  <c r="L17" i="7" s="1"/>
  <c r="N17" i="7" s="1"/>
  <c r="I8" i="7"/>
  <c r="J8" i="7" s="1"/>
  <c r="K8" i="7" s="1"/>
  <c r="L8" i="7" s="1"/>
  <c r="N8" i="7" s="1"/>
  <c r="I101" i="7"/>
  <c r="J101" i="7" s="1"/>
  <c r="K101" i="7" s="1"/>
  <c r="L101" i="7" s="1"/>
  <c r="N101" i="7" s="1"/>
  <c r="I86" i="7"/>
  <c r="J86" i="7" s="1"/>
  <c r="K86" i="7" s="1"/>
  <c r="L86" i="7" s="1"/>
  <c r="N86" i="7" s="1"/>
  <c r="I106" i="7"/>
  <c r="J106" i="7" s="1"/>
  <c r="K106" i="7" s="1"/>
  <c r="L106" i="7" s="1"/>
  <c r="N106" i="7" s="1"/>
  <c r="I62" i="7"/>
  <c r="J62" i="7" s="1"/>
  <c r="K62" i="7" s="1"/>
  <c r="L62" i="7" s="1"/>
  <c r="N62" i="7" s="1"/>
  <c r="I41" i="7"/>
  <c r="J41" i="7" s="1"/>
  <c r="K41" i="7" s="1"/>
  <c r="L41" i="7" s="1"/>
  <c r="N41" i="7" s="1"/>
  <c r="I34" i="7"/>
  <c r="J34" i="7" s="1"/>
  <c r="K34" i="7" s="1"/>
  <c r="L34" i="7" s="1"/>
  <c r="N34" i="7" s="1"/>
  <c r="I102" i="7"/>
  <c r="J102" i="7" s="1"/>
  <c r="K102" i="7" s="1"/>
  <c r="L102" i="7" s="1"/>
  <c r="N102" i="7" s="1"/>
  <c r="I87" i="7"/>
  <c r="J87" i="7" s="1"/>
  <c r="K87" i="7" s="1"/>
  <c r="L87" i="7" s="1"/>
  <c r="N87" i="7" s="1"/>
  <c r="I60" i="7"/>
  <c r="J60" i="7" s="1"/>
  <c r="K60" i="7" s="1"/>
  <c r="L60" i="7" s="1"/>
  <c r="N60" i="7" s="1"/>
  <c r="I43" i="7"/>
  <c r="J43" i="7" s="1"/>
  <c r="K43" i="7" s="1"/>
  <c r="L43" i="7" s="1"/>
  <c r="N43" i="7" s="1"/>
  <c r="I110" i="7"/>
  <c r="J110" i="7" s="1"/>
  <c r="K110" i="7" s="1"/>
  <c r="L110" i="7" s="1"/>
  <c r="N110" i="7" s="1"/>
  <c r="I27" i="7"/>
  <c r="J27" i="7" s="1"/>
  <c r="K27" i="7" s="1"/>
  <c r="L27" i="7" s="1"/>
  <c r="N27" i="7" s="1"/>
  <c r="I53" i="7"/>
  <c r="J53" i="7" s="1"/>
  <c r="K53" i="7" s="1"/>
  <c r="L53" i="7" s="1"/>
  <c r="N53" i="7" s="1"/>
  <c r="I108" i="7"/>
  <c r="J108" i="7" s="1"/>
  <c r="K108" i="7" s="1"/>
  <c r="L108" i="7" s="1"/>
  <c r="N108" i="7" s="1"/>
  <c r="I69" i="7"/>
  <c r="J69" i="7" s="1"/>
  <c r="K69" i="7" s="1"/>
  <c r="L69" i="7" s="1"/>
  <c r="N69" i="7" s="1"/>
  <c r="I57" i="7"/>
  <c r="J57" i="7" s="1"/>
  <c r="K57" i="7" s="1"/>
  <c r="L57" i="7" s="1"/>
  <c r="N57" i="7" s="1"/>
  <c r="I37" i="7"/>
  <c r="J37" i="7" s="1"/>
  <c r="K37" i="7" s="1"/>
  <c r="L37" i="7" s="1"/>
  <c r="N37" i="7" s="1"/>
  <c r="I29" i="7"/>
  <c r="J29" i="7" s="1"/>
  <c r="K29" i="7" s="1"/>
  <c r="L29" i="7" s="1"/>
  <c r="N29" i="7" s="1"/>
  <c r="I6" i="7"/>
  <c r="I99" i="7"/>
  <c r="J99" i="7" s="1"/>
  <c r="K99" i="7" s="1"/>
  <c r="L99" i="7" s="1"/>
  <c r="N99" i="7" s="1"/>
  <c r="I90" i="7"/>
  <c r="J90" i="7" s="1"/>
  <c r="K90" i="7" s="1"/>
  <c r="L90" i="7" s="1"/>
  <c r="N90" i="7" s="1"/>
  <c r="I84" i="7"/>
  <c r="J84" i="7" s="1"/>
  <c r="K84" i="7" s="1"/>
  <c r="L84" i="7" s="1"/>
  <c r="N84" i="7" s="1"/>
  <c r="I51" i="7"/>
  <c r="J51" i="7" s="1"/>
  <c r="K51" i="7" s="1"/>
  <c r="L51" i="7" s="1"/>
  <c r="N51" i="7" s="1"/>
  <c r="I89" i="7"/>
  <c r="J89" i="7" s="1"/>
  <c r="K89" i="7" s="1"/>
  <c r="L89" i="7" s="1"/>
  <c r="N89" i="7" s="1"/>
  <c r="I71" i="7"/>
  <c r="J71" i="7" s="1"/>
  <c r="K71" i="7" s="1"/>
  <c r="L71" i="7" s="1"/>
  <c r="N71" i="7" s="1"/>
  <c r="I91" i="7"/>
  <c r="J91" i="7" s="1"/>
  <c r="K91" i="7" s="1"/>
  <c r="L91" i="7" s="1"/>
  <c r="N91" i="7" s="1"/>
  <c r="I107" i="7"/>
  <c r="J107" i="7" s="1"/>
  <c r="K107" i="7" s="1"/>
  <c r="L107" i="7" s="1"/>
  <c r="N107" i="7" s="1"/>
  <c r="I61" i="7"/>
  <c r="J61" i="7" s="1"/>
  <c r="K61" i="7" s="1"/>
  <c r="L61" i="7" s="1"/>
  <c r="N61" i="7" s="1"/>
  <c r="I33" i="7"/>
  <c r="J33" i="7" s="1"/>
  <c r="K33" i="7" s="1"/>
  <c r="L33" i="7" s="1"/>
  <c r="N33" i="7" s="1"/>
  <c r="I12" i="7"/>
  <c r="J12" i="7" s="1"/>
  <c r="K12" i="7" s="1"/>
  <c r="L12" i="7" s="1"/>
  <c r="N12" i="7" s="1"/>
  <c r="I105" i="7"/>
  <c r="J105" i="7" s="1"/>
  <c r="K105" i="7" s="1"/>
  <c r="L105" i="7" s="1"/>
  <c r="N105" i="7" s="1"/>
  <c r="I39" i="7"/>
  <c r="J39" i="7" s="1"/>
  <c r="K39" i="7" s="1"/>
  <c r="L39" i="7" s="1"/>
  <c r="N39" i="7" s="1"/>
  <c r="I63" i="7"/>
  <c r="J63" i="7" s="1"/>
  <c r="K63" i="7" s="1"/>
  <c r="L63" i="7" s="1"/>
  <c r="N63" i="7" s="1"/>
  <c r="I96" i="7"/>
  <c r="J96" i="7" s="1"/>
  <c r="K96" i="7" s="1"/>
  <c r="L96" i="7" s="1"/>
  <c r="N96" i="7" s="1"/>
  <c r="I13" i="7"/>
  <c r="J13" i="7" s="1"/>
  <c r="K13" i="7" s="1"/>
  <c r="L13" i="7" s="1"/>
  <c r="N13" i="7" s="1"/>
  <c r="I82" i="7"/>
  <c r="J82" i="7" s="1"/>
  <c r="K82" i="7" s="1"/>
  <c r="L82" i="7" s="1"/>
  <c r="N82" i="7" s="1"/>
  <c r="F76" i="7"/>
  <c r="D121" i="7"/>
  <c r="V49" i="7" l="1"/>
  <c r="S51" i="7"/>
  <c r="T51" i="7" s="1"/>
  <c r="U51" i="7" s="1"/>
  <c r="S102" i="7"/>
  <c r="T102" i="7" s="1"/>
  <c r="S81" i="7"/>
  <c r="T81" i="7" s="1"/>
  <c r="S109" i="7"/>
  <c r="T109" i="7" s="1"/>
  <c r="S55" i="7"/>
  <c r="U55" i="7" s="1"/>
  <c r="S12" i="7"/>
  <c r="T12" i="7" s="1"/>
  <c r="U12" i="7" s="1"/>
  <c r="S108" i="7"/>
  <c r="T108" i="7" s="1"/>
  <c r="S19" i="7"/>
  <c r="T19" i="7" s="1"/>
  <c r="U19" i="7" s="1"/>
  <c r="S80" i="7"/>
  <c r="T80" i="7" s="1"/>
  <c r="S65" i="7"/>
  <c r="T65" i="7" s="1"/>
  <c r="U65" i="7" s="1"/>
  <c r="S33" i="7"/>
  <c r="T33" i="7" s="1"/>
  <c r="U33" i="7" s="1"/>
  <c r="S90" i="7"/>
  <c r="T90" i="7" s="1"/>
  <c r="S53" i="7"/>
  <c r="T53" i="7" s="1"/>
  <c r="U53" i="7" s="1"/>
  <c r="S41" i="7"/>
  <c r="T41" i="7" s="1"/>
  <c r="U41" i="7" s="1"/>
  <c r="S21" i="7"/>
  <c r="T21" i="7" s="1"/>
  <c r="U21" i="7" s="1"/>
  <c r="S85" i="7"/>
  <c r="T85" i="7" s="1"/>
  <c r="S10" i="7"/>
  <c r="T10" i="7" s="1"/>
  <c r="U10" i="7" s="1"/>
  <c r="S83" i="7"/>
  <c r="T83" i="7" s="1"/>
  <c r="S93" i="7"/>
  <c r="T93" i="7" s="1"/>
  <c r="S73" i="7"/>
  <c r="T73" i="7" s="1"/>
  <c r="U73" i="7" s="1"/>
  <c r="S82" i="7"/>
  <c r="T82" i="7" s="1"/>
  <c r="S61" i="7"/>
  <c r="T61" i="7" s="1"/>
  <c r="U61" i="7" s="1"/>
  <c r="S27" i="7"/>
  <c r="T27" i="7" s="1"/>
  <c r="U27" i="7" s="1"/>
  <c r="S62" i="7"/>
  <c r="T62" i="7" s="1"/>
  <c r="U62" i="7" s="1"/>
  <c r="S23" i="7"/>
  <c r="T23" i="7" s="1"/>
  <c r="U23" i="7" s="1"/>
  <c r="S38" i="7"/>
  <c r="T38" i="7" s="1"/>
  <c r="U38" i="7" s="1"/>
  <c r="S26" i="7"/>
  <c r="T26" i="7" s="1"/>
  <c r="U26" i="7" s="1"/>
  <c r="S103" i="7"/>
  <c r="T103" i="7" s="1"/>
  <c r="S9" i="7"/>
  <c r="T9" i="7" s="1"/>
  <c r="U9" i="7" s="1"/>
  <c r="S39" i="7"/>
  <c r="T39" i="7" s="1"/>
  <c r="U39" i="7" s="1"/>
  <c r="S89" i="7"/>
  <c r="T89" i="7" s="1"/>
  <c r="S57" i="7"/>
  <c r="T57" i="7" s="1"/>
  <c r="U57" i="7" s="1"/>
  <c r="S87" i="7"/>
  <c r="T87" i="7" s="1"/>
  <c r="S8" i="7"/>
  <c r="T8" i="7" s="1"/>
  <c r="U8" i="7" s="1"/>
  <c r="S97" i="7"/>
  <c r="T97" i="7" s="1"/>
  <c r="S70" i="7"/>
  <c r="T70" i="7" s="1"/>
  <c r="U70" i="7" s="1"/>
  <c r="S104" i="7"/>
  <c r="T104" i="7" s="1"/>
  <c r="S24" i="7"/>
  <c r="T24" i="7" s="1"/>
  <c r="U24" i="7" s="1"/>
  <c r="S67" i="7"/>
  <c r="T67" i="7" s="1"/>
  <c r="U67" i="7" s="1"/>
  <c r="S105" i="7"/>
  <c r="T105" i="7" s="1"/>
  <c r="S69" i="7"/>
  <c r="T69" i="7" s="1"/>
  <c r="U69" i="7" s="1"/>
  <c r="S17" i="7"/>
  <c r="T17" i="7" s="1"/>
  <c r="U17" i="7" s="1"/>
  <c r="S47" i="7"/>
  <c r="T47" i="7" s="1"/>
  <c r="U47" i="7" s="1"/>
  <c r="S56" i="7"/>
  <c r="T56" i="7" s="1"/>
  <c r="U56" i="7" s="1"/>
  <c r="S84" i="7"/>
  <c r="T84" i="7" s="1"/>
  <c r="S34" i="7"/>
  <c r="T34" i="7" s="1"/>
  <c r="U34" i="7" s="1"/>
  <c r="S92" i="7"/>
  <c r="T92" i="7" s="1"/>
  <c r="S7" i="7"/>
  <c r="T7" i="7" s="1"/>
  <c r="U7" i="7" s="1"/>
  <c r="S98" i="7"/>
  <c r="T98" i="7" s="1"/>
  <c r="S13" i="7"/>
  <c r="T13" i="7" s="1"/>
  <c r="U13" i="7" s="1"/>
  <c r="S107" i="7"/>
  <c r="T107" i="7" s="1"/>
  <c r="S106" i="7"/>
  <c r="T106" i="7" s="1"/>
  <c r="S46" i="7"/>
  <c r="T46" i="7" s="1"/>
  <c r="U46" i="7" s="1"/>
  <c r="S42" i="7"/>
  <c r="T42" i="7" s="1"/>
  <c r="U42" i="7" s="1"/>
  <c r="S30" i="7"/>
  <c r="T30" i="7" s="1"/>
  <c r="U30" i="7" s="1"/>
  <c r="S100" i="7"/>
  <c r="T100" i="7" s="1"/>
  <c r="S32" i="7"/>
  <c r="T32" i="7" s="1"/>
  <c r="U32" i="7" s="1"/>
  <c r="S54" i="7"/>
  <c r="T54" i="7" s="1"/>
  <c r="U54" i="7" s="1"/>
  <c r="S96" i="7"/>
  <c r="T96" i="7" s="1"/>
  <c r="S91" i="7"/>
  <c r="T91" i="7" s="1"/>
  <c r="S29" i="7"/>
  <c r="T29" i="7" s="1"/>
  <c r="U29" i="7" s="1"/>
  <c r="S43" i="7"/>
  <c r="T43" i="7" s="1"/>
  <c r="U43" i="7" s="1"/>
  <c r="S86" i="7"/>
  <c r="T86" i="7" s="1"/>
  <c r="S48" i="7"/>
  <c r="T48" i="7" s="1"/>
  <c r="U48" i="7" s="1"/>
  <c r="S44" i="7"/>
  <c r="T44" i="7" s="1"/>
  <c r="U44" i="7" s="1"/>
  <c r="S52" i="7"/>
  <c r="T52" i="7" s="1"/>
  <c r="U52" i="7" s="1"/>
  <c r="S18" i="7"/>
  <c r="T18" i="7" s="1"/>
  <c r="U18" i="7" s="1"/>
  <c r="S36" i="7"/>
  <c r="T36" i="7" s="1"/>
  <c r="U36" i="7" s="1"/>
  <c r="S64" i="7"/>
  <c r="T64" i="7" s="1"/>
  <c r="U64" i="7" s="1"/>
  <c r="S63" i="7"/>
  <c r="T63" i="7" s="1"/>
  <c r="U63" i="7" s="1"/>
  <c r="S71" i="7"/>
  <c r="T71" i="7" s="1"/>
  <c r="U71" i="7" s="1"/>
  <c r="S37" i="7"/>
  <c r="T37" i="7" s="1"/>
  <c r="U37" i="7" s="1"/>
  <c r="S60" i="7"/>
  <c r="T60" i="7" s="1"/>
  <c r="U60" i="7" s="1"/>
  <c r="S101" i="7"/>
  <c r="T101" i="7" s="1"/>
  <c r="S66" i="7"/>
  <c r="T66" i="7" s="1"/>
  <c r="U66" i="7" s="1"/>
  <c r="S68" i="7"/>
  <c r="T68" i="7" s="1"/>
  <c r="U68" i="7" s="1"/>
  <c r="S88" i="7"/>
  <c r="T88" i="7" s="1"/>
  <c r="S22" i="7"/>
  <c r="T22" i="7" s="1"/>
  <c r="U22" i="7" s="1"/>
  <c r="S58" i="7"/>
  <c r="T58" i="7" s="1"/>
  <c r="U58" i="7" s="1"/>
  <c r="S72" i="7"/>
  <c r="T72" i="7" s="1"/>
  <c r="U72" i="7" s="1"/>
  <c r="S99" i="7"/>
  <c r="T99" i="7" s="1"/>
  <c r="S110" i="7"/>
  <c r="T110" i="7" s="1"/>
  <c r="S111" i="7"/>
  <c r="T111" i="7" s="1"/>
  <c r="P62" i="7"/>
  <c r="Q62" i="7" s="1"/>
  <c r="P64" i="7"/>
  <c r="Q64" i="7" s="1"/>
  <c r="P60" i="7"/>
  <c r="Q60" i="7" s="1"/>
  <c r="P66" i="7"/>
  <c r="Q66" i="7" s="1"/>
  <c r="P68" i="7"/>
  <c r="Q68" i="7" s="1"/>
  <c r="P72" i="7"/>
  <c r="Q72" i="7" s="1"/>
  <c r="P70" i="7"/>
  <c r="Q70" i="7" s="1"/>
  <c r="P42" i="7"/>
  <c r="Q42" i="7" s="1"/>
  <c r="P37" i="7"/>
  <c r="Q37" i="7" s="1"/>
  <c r="P22" i="7"/>
  <c r="Q22" i="7" s="1"/>
  <c r="P33" i="7"/>
  <c r="Q33" i="7" s="1"/>
  <c r="P27" i="7"/>
  <c r="Q27" i="7" s="1"/>
  <c r="P30" i="7"/>
  <c r="Q30" i="7" s="1"/>
  <c r="P52" i="7"/>
  <c r="Q52" i="7" s="1"/>
  <c r="P47" i="7"/>
  <c r="Q47" i="7" s="1"/>
  <c r="P55" i="7"/>
  <c r="Q55" i="7" s="1"/>
  <c r="P56" i="7"/>
  <c r="Q56" i="7" s="1"/>
  <c r="P34" i="7"/>
  <c r="Q34" i="7" s="1"/>
  <c r="P54" i="7"/>
  <c r="Q54" i="7" s="1"/>
  <c r="P58" i="7"/>
  <c r="Q58" i="7" s="1"/>
  <c r="P44" i="7"/>
  <c r="Q44" i="7" s="1"/>
  <c r="P39" i="7"/>
  <c r="Q39" i="7" s="1"/>
  <c r="P61" i="7"/>
  <c r="Q61" i="7" s="1"/>
  <c r="P69" i="7"/>
  <c r="Q69" i="7" s="1"/>
  <c r="P65" i="7"/>
  <c r="Q65" i="7" s="1"/>
  <c r="P73" i="7"/>
  <c r="Q73" i="7" s="1"/>
  <c r="P43" i="7"/>
  <c r="Q43" i="7" s="1"/>
  <c r="P48" i="7"/>
  <c r="Q48" i="7" s="1"/>
  <c r="P53" i="7"/>
  <c r="Q53" i="7" s="1"/>
  <c r="P38" i="7"/>
  <c r="Q38" i="7" s="1"/>
  <c r="P63" i="7"/>
  <c r="Q63" i="7" s="1"/>
  <c r="P71" i="7"/>
  <c r="Q71" i="7" s="1"/>
  <c r="P57" i="7"/>
  <c r="Q57" i="7" s="1"/>
  <c r="P67" i="7"/>
  <c r="Q67" i="7" s="1"/>
  <c r="P24" i="7"/>
  <c r="Q24" i="7" s="1"/>
  <c r="P23" i="7"/>
  <c r="Q23" i="7" s="1"/>
  <c r="P26" i="7"/>
  <c r="Q26" i="7" s="1"/>
  <c r="P13" i="7"/>
  <c r="Q13" i="7" s="1"/>
  <c r="P29" i="7"/>
  <c r="Q29" i="7" s="1"/>
  <c r="P12" i="7"/>
  <c r="Q12" i="7" s="1"/>
  <c r="P19" i="7"/>
  <c r="Q19" i="7" s="1"/>
  <c r="P7" i="7"/>
  <c r="Q7" i="7" s="1"/>
  <c r="P41" i="7"/>
  <c r="Q41" i="7" s="1"/>
  <c r="P21" i="7"/>
  <c r="Q21" i="7" s="1"/>
  <c r="P10" i="7"/>
  <c r="Q10" i="7" s="1"/>
  <c r="P9" i="7"/>
  <c r="Q9" i="7" s="1"/>
  <c r="P18" i="7"/>
  <c r="Q18" i="7" s="1"/>
  <c r="P46" i="7"/>
  <c r="Q46" i="7" s="1"/>
  <c r="P32" i="7"/>
  <c r="Q32" i="7" s="1"/>
  <c r="P36" i="7"/>
  <c r="Q36" i="7" s="1"/>
  <c r="P8" i="7"/>
  <c r="Q8" i="7" s="1"/>
  <c r="P51" i="7"/>
  <c r="Q51" i="7" s="1"/>
  <c r="P17" i="7"/>
  <c r="Q17" i="7" s="1"/>
  <c r="I75" i="7"/>
  <c r="J16" i="7"/>
  <c r="K16" i="7" s="1"/>
  <c r="L16" i="7" s="1"/>
  <c r="N16" i="7" s="1"/>
  <c r="I15" i="7"/>
  <c r="J6" i="7"/>
  <c r="K6" i="7" s="1"/>
  <c r="L6" i="7" s="1"/>
  <c r="N6" i="7" s="1"/>
  <c r="V66" i="7" l="1"/>
  <c r="V70" i="7"/>
  <c r="V56" i="7"/>
  <c r="V13" i="7"/>
  <c r="V10" i="7"/>
  <c r="V7" i="7"/>
  <c r="V38" i="7"/>
  <c r="V69" i="7"/>
  <c r="V72" i="7"/>
  <c r="V9" i="7"/>
  <c r="V53" i="7"/>
  <c r="V36" i="7"/>
  <c r="V46" i="7"/>
  <c r="V44" i="7"/>
  <c r="V60" i="7"/>
  <c r="V57" i="7"/>
  <c r="V33" i="7"/>
  <c r="V55" i="7"/>
  <c r="V37" i="7"/>
  <c r="V68" i="7"/>
  <c r="V23" i="7"/>
  <c r="V62" i="7"/>
  <c r="V22" i="7"/>
  <c r="V64" i="7"/>
  <c r="V21" i="7"/>
  <c r="V51" i="7"/>
  <c r="V67" i="7"/>
  <c r="V39" i="7"/>
  <c r="V47" i="7"/>
  <c r="V73" i="7"/>
  <c r="V12" i="7"/>
  <c r="V48" i="7"/>
  <c r="V34" i="7"/>
  <c r="V18" i="7"/>
  <c r="S6" i="7"/>
  <c r="T6" i="7" s="1"/>
  <c r="U6" i="7" s="1"/>
  <c r="V58" i="7"/>
  <c r="V71" i="7"/>
  <c r="V30" i="7"/>
  <c r="S16" i="7"/>
  <c r="T16" i="7" s="1"/>
  <c r="U16" i="7" s="1"/>
  <c r="V19" i="7"/>
  <c r="V63" i="7"/>
  <c r="V52" i="7"/>
  <c r="V43" i="7"/>
  <c r="V54" i="7"/>
  <c r="V42" i="7"/>
  <c r="V26" i="7"/>
  <c r="V27" i="7"/>
  <c r="V29" i="7"/>
  <c r="V32" i="7"/>
  <c r="V17" i="7"/>
  <c r="V24" i="7"/>
  <c r="V8" i="7"/>
  <c r="V61" i="7"/>
  <c r="V41" i="7"/>
  <c r="V65" i="7"/>
  <c r="P16" i="7"/>
  <c r="P75" i="7" s="1"/>
  <c r="P6" i="7"/>
  <c r="Q6" i="7" s="1"/>
  <c r="Q15" i="7" s="1"/>
  <c r="I76" i="7"/>
  <c r="U15" i="7" l="1"/>
  <c r="V6" i="7"/>
  <c r="V15" i="7" s="1"/>
  <c r="V16" i="7"/>
  <c r="V75" i="7" s="1"/>
  <c r="U75" i="7"/>
  <c r="X75" i="7" s="1"/>
  <c r="Q16" i="7"/>
  <c r="Q75" i="7" s="1"/>
  <c r="P15" i="7"/>
  <c r="P76" i="7" s="1"/>
  <c r="V76" i="7" l="1"/>
  <c r="X15" i="7"/>
  <c r="U76" i="7"/>
  <c r="Q76" i="7"/>
  <c r="B64" i="4" s="1"/>
  <c r="B65" i="4" s="1"/>
  <c r="B60" i="4" l="1"/>
  <c r="B61" i="4" s="1"/>
  <c r="C65" i="4" s="1"/>
</calcChain>
</file>

<file path=xl/sharedStrings.xml><?xml version="1.0" encoding="utf-8"?>
<sst xmlns="http://schemas.openxmlformats.org/spreadsheetml/2006/main" count="250" uniqueCount="203">
  <si>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</si>
  <si>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</si>
  <si>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</si>
  <si>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</si>
  <si>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</si>
  <si>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</si>
  <si>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</si>
  <si>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</si>
  <si>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</si>
  <si>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</si>
  <si>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</si>
  <si>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</si>
  <si>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</si>
  <si>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</si>
  <si>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</si>
  <si>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</si>
  <si>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</si>
  <si>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</si>
  <si>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</si>
  <si>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</si>
  <si>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</si>
  <si>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</si>
  <si>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</si>
  <si>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</si>
  <si>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</si>
  <si>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</si>
  <si>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</si>
  <si>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</si>
  <si>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</si>
  <si>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</si>
  <si>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</si>
  <si>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</si>
  <si>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</si>
  <si>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</si>
  <si>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</si>
  <si>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</si>
  <si>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Current Revenue</t>
  </si>
  <si>
    <t>Monthly Customers</t>
  </si>
  <si>
    <t>Tariff Rate Increase</t>
  </si>
  <si>
    <t>Revised Revenue Increase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</si>
  <si>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</si>
  <si>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</si>
  <si>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</si>
  <si>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</si>
  <si>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</si>
  <si>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</si>
  <si>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</si>
  <si>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</si>
  <si>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</si>
  <si>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</si>
  <si>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</si>
  <si>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</si>
  <si>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</si>
  <si>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</si>
  <si>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</si>
  <si>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</si>
  <si>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</si>
  <si>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</si>
  <si>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</si>
  <si>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</si>
  <si>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</si>
  <si>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</si>
  <si>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</si>
  <si>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</si>
  <si>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</si>
  <si>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</si>
  <si>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</si>
  <si>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</si>
  <si>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</si>
  <si>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</si>
  <si>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</si>
  <si>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</si>
  <si>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</si>
  <si>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</si>
  <si>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</si>
  <si>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</si>
  <si>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</si>
  <si>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</si>
  <si>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</si>
  <si>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</si>
  <si>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</si>
  <si>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</si>
  <si>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</si>
  <si>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</si>
  <si>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</si>
  <si>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</si>
  <si>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</si>
  <si>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</si>
  <si>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</si>
  <si>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</si>
  <si>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</si>
  <si>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</si>
  <si>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* not on meeks - calculated by staff</t>
  </si>
  <si>
    <t>Transfer Station</t>
  </si>
  <si>
    <t>35 gallon Can</t>
  </si>
  <si>
    <t>64 gal cart weekly</t>
  </si>
  <si>
    <t>32 Gal weekly</t>
  </si>
  <si>
    <t>64 gal cart monthly</t>
  </si>
  <si>
    <t>96 gal cart 1x per month</t>
  </si>
  <si>
    <t>96 gal cart weekly</t>
  </si>
  <si>
    <t>20A</t>
  </si>
  <si>
    <t>32 gal can week</t>
  </si>
  <si>
    <t>64 gal can week</t>
  </si>
  <si>
    <t>96 gal can weekly</t>
  </si>
  <si>
    <t>4 Yard</t>
  </si>
  <si>
    <t>6 Yard</t>
  </si>
  <si>
    <t>8 Yard</t>
  </si>
  <si>
    <t>10 Yard</t>
  </si>
  <si>
    <t>Res_Extra_bag/Box</t>
  </si>
  <si>
    <t>Extra_Yards</t>
  </si>
  <si>
    <t>1 Can 1/MG</t>
  </si>
  <si>
    <t>1 Can 2/MG</t>
  </si>
  <si>
    <t>1 Can WG</t>
  </si>
  <si>
    <t>2 Cans WG</t>
  </si>
  <si>
    <t>3 Cans WG</t>
  </si>
  <si>
    <t>4 Cans WG</t>
  </si>
  <si>
    <t>5 Cans WG</t>
  </si>
  <si>
    <t>6 Cans WG</t>
  </si>
  <si>
    <t>64 gal cart 1/MG</t>
  </si>
  <si>
    <t>Add'l yards (cust load)</t>
  </si>
  <si>
    <t>1-4 yards (comp load)</t>
  </si>
  <si>
    <t>Add'l yards (comp load)</t>
  </si>
  <si>
    <t>96 gal cart 1/MG</t>
  </si>
  <si>
    <t>Customer Owned</t>
  </si>
  <si>
    <t>300 Gal MG</t>
  </si>
  <si>
    <t>1 Yard - 1st Pickup</t>
  </si>
  <si>
    <t>1 Yard - Additional Pickup</t>
  </si>
  <si>
    <t>1 Yard - Special</t>
  </si>
  <si>
    <t>1 Yard - Temporary</t>
  </si>
  <si>
    <t>1.5 Yard - 1st Pickup</t>
  </si>
  <si>
    <t>1.5 - Additional Pickup</t>
  </si>
  <si>
    <t>1.5 - Special</t>
  </si>
  <si>
    <t>1.5 - Temporary</t>
  </si>
  <si>
    <t>2 Yard - 1st Pickup</t>
  </si>
  <si>
    <t>2 Yard - Additional Pickup</t>
  </si>
  <si>
    <t>2 Yard - Special</t>
  </si>
  <si>
    <t>2 Yard - Temporary</t>
  </si>
  <si>
    <t>3 Yard - 1st Pickup</t>
  </si>
  <si>
    <t>3 Yard - Additional Pickup</t>
  </si>
  <si>
    <t>3 Yard - Special</t>
  </si>
  <si>
    <t xml:space="preserve">3 Yard - Temporary </t>
  </si>
  <si>
    <t>4 Yard - 1st Pickup</t>
  </si>
  <si>
    <t>4 Yard - Additional Pickup</t>
  </si>
  <si>
    <t>4 Yard - Special</t>
  </si>
  <si>
    <t>4 Yard - Temporary</t>
  </si>
  <si>
    <t>5 Yard - 1st Pickup</t>
  </si>
  <si>
    <t>5 Yard - Additional Pickup</t>
  </si>
  <si>
    <t>5 Yard - Special</t>
  </si>
  <si>
    <t>5 Yard - Temporary</t>
  </si>
  <si>
    <t>6 Yard - 1st Pickup</t>
  </si>
  <si>
    <t>6 Yard - Additional Pickup</t>
  </si>
  <si>
    <t>6 Yard - Special</t>
  </si>
  <si>
    <t>8 Yard - 1st Pickup</t>
  </si>
  <si>
    <t>8 Yard - Additional Pickup</t>
  </si>
  <si>
    <t>8 Yard - Special</t>
  </si>
  <si>
    <t xml:space="preserve">8 Yard - Temporary </t>
  </si>
  <si>
    <t>10 Yard - 1st Pickup</t>
  </si>
  <si>
    <t xml:space="preserve">10 Yard - Special </t>
  </si>
  <si>
    <t xml:space="preserve">10 Yard - Temporary </t>
  </si>
  <si>
    <t>Customer Owned Containers</t>
  </si>
  <si>
    <t>32 gal can week-Scheduled</t>
  </si>
  <si>
    <t>32 gal can week-Special</t>
  </si>
  <si>
    <t>64 gal can week-Scheduled</t>
  </si>
  <si>
    <t>64 gal can week-Special</t>
  </si>
  <si>
    <t>96 gal can week-Scheduled</t>
  </si>
  <si>
    <t>96 gal can week-Special</t>
  </si>
  <si>
    <t>1 Yard-Scheduled</t>
  </si>
  <si>
    <t>1 Yard-Special</t>
  </si>
  <si>
    <t>1.5 Yard-Scheduled</t>
  </si>
  <si>
    <t>1.5 Yard-Special</t>
  </si>
  <si>
    <t>2 Yard-Scheduled</t>
  </si>
  <si>
    <t>2 Yard-Special</t>
  </si>
  <si>
    <t>1.5 Yard Rent</t>
  </si>
  <si>
    <t>2 Yard Rent</t>
  </si>
  <si>
    <t>3 Yard Rent</t>
  </si>
  <si>
    <t>4 Yard Rent</t>
  </si>
  <si>
    <t>5 Yard Rent</t>
  </si>
  <si>
    <t>6 Yard Rent</t>
  </si>
  <si>
    <t>8 Yard Rent</t>
  </si>
  <si>
    <t>10 Yard Rent</t>
  </si>
  <si>
    <t>1 Yard Rent</t>
  </si>
  <si>
    <t>32 gal cart WG (cust owned)</t>
  </si>
  <si>
    <t>96 gal cart WG (cust owned)</t>
  </si>
  <si>
    <t>Mini can WG (coll provided)</t>
  </si>
  <si>
    <t>32 gal cart MG (coll provided)</t>
  </si>
  <si>
    <t>29, 29A</t>
  </si>
  <si>
    <t>28B</t>
  </si>
  <si>
    <t>28, 28A</t>
  </si>
  <si>
    <t>Company        Calculated Rate</t>
  </si>
  <si>
    <t>Company    Current Tariff</t>
  </si>
  <si>
    <t>Company Calculated Revenue</t>
  </si>
  <si>
    <t>Walla Walla County</t>
  </si>
  <si>
    <t>28A</t>
  </si>
  <si>
    <t>29A</t>
  </si>
  <si>
    <t>6 Yard - Temporary</t>
  </si>
  <si>
    <t>Collector Owned</t>
  </si>
  <si>
    <t>Pre B&amp;O Increase</t>
  </si>
  <si>
    <t>B&amp;O Tax Increase</t>
  </si>
  <si>
    <t>Company Proposed Rate w/B&amp;O Increase</t>
  </si>
  <si>
    <t>Company Calculated Revenue (B&amp;O incorporated in grossup)</t>
  </si>
  <si>
    <t>Revised Revenue Increase B&amp;O Only</t>
  </si>
  <si>
    <t>Pct% Increase</t>
  </si>
  <si>
    <t>64 gal cart 1/MG (cust owned)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</si>
</sst>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0.000%"/>
  </numFmts>
  <fonts count="6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0625"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32" fillId="26" borderId="1" applyNumberFormat="0" applyAlignment="0" applyProtection="0"/>
    <xf numFmtId="0" fontId="47" fillId="26" borderId="1" applyNumberFormat="0" applyAlignment="0" applyProtection="0"/>
    <xf numFmtId="0" fontId="16" fillId="26" borderId="1" applyNumberFormat="0" applyAlignment="0" applyProtection="0"/>
    <xf numFmtId="0" fontId="47" fillId="4" borderId="1" applyNumberFormat="0" applyAlignment="0" applyProtection="0"/>
    <xf numFmtId="0" fontId="17" fillId="28" borderId="3" applyNumberFormat="0" applyAlignment="0" applyProtection="0"/>
    <xf numFmtId="0" fontId="17" fillId="27" borderId="2" applyNumberFormat="0" applyAlignment="0" applyProtection="0"/>
    <xf numFmtId="0" fontId="2" fillId="29" borderId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30" borderId="4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31" borderId="0">
      <alignment horizontal="right"/>
      <protection locked="0"/>
    </xf>
    <xf numFmtId="14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31" borderId="0">
      <alignment horizontal="right"/>
      <protection locked="0"/>
    </xf>
    <xf numFmtId="1" fontId="2" fillId="0" borderId="0">
      <alignment horizontal="center"/>
    </xf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36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49" fillId="0" borderId="5" applyNumberFormat="0" applyFill="0" applyAlignment="0" applyProtection="0"/>
    <xf numFmtId="0" fontId="37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0" applyNumberFormat="0" applyFill="0" applyAlignment="0" applyProtection="0"/>
    <xf numFmtId="0" fontId="50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51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13" borderId="1" applyNumberFormat="0" applyAlignment="0" applyProtection="0"/>
    <xf numFmtId="0" fontId="25" fillId="13" borderId="1" applyNumberFormat="0" applyAlignment="0" applyProtection="0"/>
    <xf numFmtId="3" fontId="10" fillId="32" borderId="0">
      <protection locked="0"/>
    </xf>
    <xf numFmtId="4" fontId="10" fillId="32" borderId="0">
      <protection locked="0"/>
    </xf>
    <xf numFmtId="0" fontId="42" fillId="0" borderId="16" applyNumberFormat="0" applyFill="0" applyAlignment="0" applyProtection="0"/>
    <xf numFmtId="0" fontId="52" fillId="0" borderId="15" applyNumberFormat="0" applyFill="0" applyAlignment="0" applyProtection="0"/>
    <xf numFmtId="0" fontId="26" fillId="0" borderId="17" applyNumberFormat="0" applyFill="0" applyAlignment="0" applyProtection="0"/>
    <xf numFmtId="0" fontId="43" fillId="13" borderId="0" applyNumberFormat="0" applyBorder="0" applyAlignment="0" applyProtection="0"/>
    <xf numFmtId="0" fontId="53" fillId="13" borderId="0" applyNumberFormat="0" applyBorder="0" applyAlignment="0" applyProtection="0"/>
    <xf numFmtId="0" fontId="27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9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9" borderId="18" applyNumberFormat="0" applyFont="0" applyAlignment="0" applyProtection="0"/>
    <xf numFmtId="0" fontId="8" fillId="9" borderId="18" applyNumberFormat="0" applyFont="0" applyAlignment="0" applyProtection="0"/>
    <xf numFmtId="0" fontId="28" fillId="9" borderId="18" applyNumberFormat="0" applyFont="0" applyAlignment="0" applyProtection="0"/>
    <xf numFmtId="0" fontId="48" fillId="9" borderId="18" applyNumberFormat="0" applyFont="0" applyAlignment="0" applyProtection="0"/>
    <xf numFmtId="171" fontId="44" fillId="0" borderId="0" applyNumberFormat="0"/>
    <xf numFmtId="0" fontId="24" fillId="26" borderId="20" applyNumberFormat="0" applyAlignment="0" applyProtection="0"/>
    <xf numFmtId="0" fontId="29" fillId="26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1">
      <alignment horizontal="center"/>
    </xf>
    <xf numFmtId="3" fontId="6" fillId="0" borderId="0" applyFont="0" applyFill="0" applyBorder="0" applyAlignment="0" applyProtection="0"/>
    <xf numFmtId="0" fontId="6" fillId="33" borderId="0" applyNumberFormat="0" applyFon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37" fontId="55" fillId="0" borderId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34" borderId="0" applyFont="0" applyFill="0" applyBorder="0" applyAlignment="0" applyProtection="0">
      <alignment wrapText="1"/>
    </xf>
    <xf numFmtId="0" fontId="61" fillId="0" borderId="0"/>
  </cellStyleXfs>
  <cellXfs count="189">
    <xf numFmtId="0" fontId="0" fillId="0" borderId="0" xfId="0"/>
    <xf numFmtId="43" fontId="0" fillId="0" borderId="0" xfId="82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35" borderId="0" xfId="126" applyNumberFormat="1" applyFont="1" applyFill="1"/>
    <xf numFmtId="44" fontId="0" fillId="35" borderId="0" xfId="126" applyFont="1" applyFill="1"/>
    <xf numFmtId="44" fontId="0" fillId="35" borderId="4" xfId="126" applyFont="1" applyFill="1" applyBorder="1"/>
    <xf numFmtId="165" fontId="0" fillId="35" borderId="4" xfId="126" applyNumberFormat="1" applyFont="1" applyFill="1" applyBorder="1"/>
    <xf numFmtId="167" fontId="0" fillId="0" borderId="4" xfId="82" applyNumberFormat="1" applyFont="1" applyBorder="1"/>
    <xf numFmtId="169" fontId="0" fillId="35" borderId="0" xfId="126" applyNumberFormat="1" applyFont="1" applyFill="1"/>
    <xf numFmtId="166" fontId="0" fillId="0" borderId="0" xfId="82" applyNumberFormat="1" applyFont="1"/>
    <xf numFmtId="166" fontId="0" fillId="0" borderId="4" xfId="8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3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/>
    <xf numFmtId="0" fontId="3" fillId="36" borderId="4" xfId="0" applyFont="1" applyFill="1" applyBorder="1"/>
    <xf numFmtId="43" fontId="0" fillId="0" borderId="0" xfId="82" applyFont="1" applyAlignment="1">
      <alignment horizontal="center"/>
    </xf>
    <xf numFmtId="164" fontId="0" fillId="0" borderId="0" xfId="126" applyNumberFormat="1" applyFont="1" applyBorder="1"/>
    <xf numFmtId="10" fontId="0" fillId="0" borderId="0" xfId="338" applyNumberFormat="1" applyFont="1" applyBorder="1"/>
    <xf numFmtId="43" fontId="0" fillId="0" borderId="0" xfId="82" applyFont="1" applyBorder="1"/>
    <xf numFmtId="165" fontId="0" fillId="0" borderId="0" xfId="126" applyNumberFormat="1" applyFont="1" applyBorder="1"/>
    <xf numFmtId="44" fontId="0" fillId="0" borderId="0" xfId="126" applyFont="1" applyBorder="1" applyAlignment="1">
      <alignment horizontal="right"/>
    </xf>
    <xf numFmtId="10" fontId="0" fillId="0" borderId="0" xfId="338" applyNumberFormat="1" applyFont="1" applyBorder="1" applyAlignment="1">
      <alignment horizontal="right"/>
    </xf>
    <xf numFmtId="166" fontId="0" fillId="0" borderId="0" xfId="8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330" applyFont="1" applyFill="1" applyBorder="1" applyAlignment="1">
      <alignment horizontal="left"/>
    </xf>
    <xf numFmtId="166" fontId="11" fillId="0" borderId="0" xfId="82" applyNumberFormat="1" applyFont="1" applyFill="1" applyBorder="1" applyAlignment="1">
      <alignment horizontal="left"/>
    </xf>
    <xf numFmtId="166" fontId="0" fillId="0" borderId="0" xfId="8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vertical="center" textRotation="90"/>
    </xf>
    <xf numFmtId="0" fontId="12" fillId="36" borderId="4" xfId="330" applyFont="1" applyFill="1" applyBorder="1" applyAlignment="1">
      <alignment horizontal="left"/>
    </xf>
    <xf numFmtId="44" fontId="0" fillId="0" borderId="0" xfId="0" applyNumberFormat="1" applyFont="1" applyFill="1" applyBorder="1"/>
    <xf numFmtId="3" fontId="3" fillId="36" borderId="4" xfId="0" applyNumberFormat="1" applyFont="1" applyFill="1" applyBorder="1" applyAlignment="1">
      <alignment horizontal="right"/>
    </xf>
    <xf numFmtId="43" fontId="0" fillId="36" borderId="4" xfId="82" applyFont="1" applyFill="1" applyBorder="1"/>
    <xf numFmtId="166" fontId="3" fillId="36" borderId="4" xfId="0" applyNumberFormat="1" applyFont="1" applyFill="1" applyBorder="1"/>
    <xf numFmtId="43" fontId="0" fillId="36" borderId="4" xfId="0" applyNumberFormat="1" applyFont="1" applyFill="1" applyBorder="1"/>
    <xf numFmtId="166" fontId="3" fillId="36" borderId="4" xfId="82" applyNumberFormat="1" applyFont="1" applyFill="1" applyBorder="1"/>
    <xf numFmtId="166" fontId="3" fillId="0" borderId="4" xfId="82" applyNumberFormat="1" applyFont="1" applyBorder="1" applyAlignment="1">
      <alignment horizontal="center"/>
    </xf>
    <xf numFmtId="44" fontId="0" fillId="0" borderId="0" xfId="82" applyNumberFormat="1" applyFont="1" applyFill="1" applyBorder="1"/>
    <xf numFmtId="166" fontId="0" fillId="0" borderId="0" xfId="82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330" applyFont="1" applyFill="1" applyBorder="1" applyAlignment="1">
      <alignment horizontal="left"/>
    </xf>
    <xf numFmtId="166" fontId="3" fillId="0" borderId="0" xfId="82" applyNumberFormat="1" applyFont="1" applyBorder="1" applyAlignment="1">
      <alignment horizontal="right"/>
    </xf>
    <xf numFmtId="0" fontId="9" fillId="0" borderId="0" xfId="319" applyFont="1" applyBorder="1" applyAlignment="1">
      <alignment horizontal="left"/>
    </xf>
    <xf numFmtId="166" fontId="0" fillId="35" borderId="0" xfId="82" applyNumberFormat="1" applyFont="1" applyFill="1" applyBorder="1" applyAlignment="1">
      <alignment horizontal="right"/>
    </xf>
    <xf numFmtId="44" fontId="0" fillId="0" borderId="0" xfId="126" applyFont="1" applyFill="1" applyBorder="1"/>
    <xf numFmtId="166" fontId="0" fillId="0" borderId="0" xfId="82" applyNumberFormat="1" applyFont="1" applyFill="1" applyBorder="1"/>
    <xf numFmtId="43" fontId="0" fillId="0" borderId="0" xfId="82" applyNumberFormat="1" applyFont="1" applyFill="1" applyBorder="1"/>
    <xf numFmtId="166" fontId="0" fillId="0" borderId="26" xfId="82" applyNumberFormat="1" applyFont="1" applyFill="1" applyBorder="1"/>
    <xf numFmtId="44" fontId="0" fillId="32" borderId="0" xfId="126" applyFont="1" applyFill="1" applyBorder="1"/>
    <xf numFmtId="44" fontId="0" fillId="0" borderId="26" xfId="126" applyFont="1" applyFill="1" applyBorder="1"/>
    <xf numFmtId="44" fontId="3" fillId="36" borderId="4" xfId="126" applyFont="1" applyFill="1" applyBorder="1"/>
    <xf numFmtId="44" fontId="0" fillId="36" borderId="4" xfId="126" applyFont="1" applyFill="1" applyBorder="1"/>
    <xf numFmtId="44" fontId="3" fillId="0" borderId="0" xfId="126" applyFont="1" applyBorder="1" applyAlignment="1">
      <alignment horizontal="right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right"/>
    </xf>
    <xf numFmtId="166" fontId="0" fillId="36" borderId="0" xfId="82" applyNumberFormat="1" applyFont="1" applyFill="1" applyBorder="1"/>
    <xf numFmtId="44" fontId="0" fillId="36" borderId="0" xfId="82" applyNumberFormat="1" applyFont="1" applyFill="1" applyBorder="1"/>
    <xf numFmtId="0" fontId="3" fillId="36" borderId="0" xfId="0" applyFont="1" applyFill="1" applyBorder="1"/>
    <xf numFmtId="0" fontId="3" fillId="36" borderId="4" xfId="0" applyFont="1" applyFill="1" applyBorder="1" applyAlignment="1">
      <alignment horizontal="center" wrapText="1"/>
    </xf>
    <xf numFmtId="0" fontId="3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vertical="center"/>
    </xf>
    <xf numFmtId="3" fontId="3" fillId="36" borderId="4" xfId="0" applyNumberFormat="1" applyFont="1" applyFill="1" applyBorder="1"/>
    <xf numFmtId="0" fontId="0" fillId="0" borderId="0" xfId="0" applyFont="1" applyFill="1" applyBorder="1" applyAlignment="1"/>
    <xf numFmtId="44" fontId="0" fillId="0" borderId="0" xfId="126" applyFont="1" applyBorder="1"/>
    <xf numFmtId="0" fontId="3" fillId="0" borderId="27" xfId="0" applyFont="1" applyBorder="1"/>
    <xf numFmtId="0" fontId="0" fillId="36" borderId="28" xfId="0" applyFont="1" applyFill="1" applyBorder="1" applyAlignment="1">
      <alignment horizontal="center"/>
    </xf>
    <xf numFmtId="0" fontId="0" fillId="0" borderId="29" xfId="0" applyFont="1" applyBorder="1"/>
    <xf numFmtId="44" fontId="0" fillId="0" borderId="30" xfId="126" applyFont="1" applyBorder="1"/>
    <xf numFmtId="0" fontId="0" fillId="0" borderId="30" xfId="0" applyFont="1" applyBorder="1"/>
    <xf numFmtId="0" fontId="3" fillId="0" borderId="29" xfId="0" applyFont="1" applyBorder="1"/>
    <xf numFmtId="0" fontId="0" fillId="36" borderId="31" xfId="0" applyFont="1" applyFill="1" applyBorder="1" applyAlignment="1">
      <alignment horizontal="center"/>
    </xf>
    <xf numFmtId="44" fontId="1" fillId="0" borderId="30" xfId="126" applyFont="1" applyBorder="1"/>
    <xf numFmtId="0" fontId="0" fillId="0" borderId="32" xfId="0" applyFont="1" applyBorder="1" applyAlignment="1">
      <alignment horizontal="left"/>
    </xf>
    <xf numFmtId="44" fontId="0" fillId="0" borderId="33" xfId="126" applyFont="1" applyBorder="1"/>
    <xf numFmtId="43" fontId="3" fillId="0" borderId="0" xfId="82" applyNumberFormat="1" applyFont="1" applyBorder="1" applyAlignment="1">
      <alignment horizontal="right"/>
    </xf>
    <xf numFmtId="0" fontId="11" fillId="0" borderId="0" xfId="329" applyFont="1" applyBorder="1"/>
    <xf numFmtId="166" fontId="11" fillId="0" borderId="0" xfId="82" applyNumberFormat="1" applyFont="1" applyFill="1" applyBorder="1"/>
    <xf numFmtId="0" fontId="11" fillId="0" borderId="4" xfId="329" applyFont="1" applyBorder="1"/>
    <xf numFmtId="0" fontId="3" fillId="36" borderId="4" xfId="0" applyFont="1" applyFill="1" applyBorder="1" applyAlignment="1">
      <alignment wrapText="1"/>
    </xf>
    <xf numFmtId="166" fontId="0" fillId="0" borderId="26" xfId="82" applyNumberFormat="1" applyFont="1" applyFill="1" applyBorder="1" applyAlignment="1">
      <alignment horizontal="center" wrapText="1"/>
    </xf>
    <xf numFmtId="166" fontId="3" fillId="36" borderId="4" xfId="82" applyNumberFormat="1" applyFont="1" applyFill="1" applyBorder="1" applyAlignment="1">
      <alignment horizontal="center" wrapText="1"/>
    </xf>
    <xf numFmtId="0" fontId="56" fillId="0" borderId="0" xfId="82" applyNumberFormat="1" applyFont="1" applyBorder="1" applyAlignment="1">
      <alignment horizontal="left"/>
    </xf>
    <xf numFmtId="0" fontId="0" fillId="0" borderId="0" xfId="82" applyNumberFormat="1" applyFont="1" applyBorder="1"/>
    <xf numFmtId="43" fontId="9" fillId="0" borderId="0" xfId="82" applyNumberFormat="1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4" fontId="0" fillId="0" borderId="0" xfId="0" applyNumberFormat="1" applyFont="1" applyBorder="1"/>
    <xf numFmtId="43" fontId="11" fillId="0" borderId="0" xfId="83" applyFont="1"/>
    <xf numFmtId="3" fontId="11" fillId="0" borderId="0" xfId="200" applyNumberFormat="1" applyFont="1" applyBorder="1"/>
    <xf numFmtId="166" fontId="11" fillId="0" borderId="0" xfId="322" applyNumberFormat="1" applyFont="1" applyBorder="1"/>
    <xf numFmtId="3" fontId="11" fillId="0" borderId="0" xfId="200" applyNumberFormat="1" applyFont="1"/>
    <xf numFmtId="166" fontId="11" fillId="0" borderId="0" xfId="82" applyNumberFormat="1" applyFont="1"/>
    <xf numFmtId="166" fontId="11" fillId="0" borderId="0" xfId="82" applyNumberFormat="1" applyFont="1" applyFill="1"/>
    <xf numFmtId="10" fontId="0" fillId="0" borderId="0" xfId="338" applyNumberFormat="1" applyFont="1" applyFill="1" applyBorder="1"/>
    <xf numFmtId="0" fontId="11" fillId="0" borderId="0" xfId="329" applyFont="1" applyBorder="1" applyAlignment="1">
      <alignment horizontal="left" indent="1"/>
    </xf>
    <xf numFmtId="0" fontId="0" fillId="0" borderId="34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center" vertical="center"/>
    </xf>
    <xf numFmtId="166" fontId="0" fillId="0" borderId="34" xfId="82" applyNumberFormat="1" applyFont="1" applyBorder="1"/>
    <xf numFmtId="43" fontId="0" fillId="0" borderId="34" xfId="82" applyNumberFormat="1" applyFont="1" applyFill="1" applyBorder="1"/>
    <xf numFmtId="166" fontId="0" fillId="0" borderId="34" xfId="82" applyNumberFormat="1" applyFont="1" applyFill="1" applyBorder="1"/>
    <xf numFmtId="166" fontId="0" fillId="0" borderId="34" xfId="82" applyNumberFormat="1" applyFont="1" applyFill="1" applyBorder="1" applyAlignment="1">
      <alignment horizontal="center" wrapText="1"/>
    </xf>
    <xf numFmtId="44" fontId="0" fillId="0" borderId="34" xfId="126" applyFont="1" applyFill="1" applyBorder="1"/>
    <xf numFmtId="44" fontId="0" fillId="0" borderId="34" xfId="126" applyFont="1" applyBorder="1"/>
    <xf numFmtId="0" fontId="0" fillId="0" borderId="0" xfId="0" applyFont="1" applyFill="1" applyBorder="1" applyAlignment="1">
      <alignment horizontal="center" vertical="center" textRotation="90"/>
    </xf>
    <xf numFmtId="44" fontId="3" fillId="36" borderId="4" xfId="126" applyFont="1" applyFill="1" applyBorder="1" applyAlignment="1">
      <alignment horizontal="right"/>
    </xf>
    <xf numFmtId="3" fontId="12" fillId="0" borderId="0" xfId="200" applyNumberFormat="1" applyFont="1"/>
    <xf numFmtId="0" fontId="0" fillId="0" borderId="0" xfId="0" applyFont="1" applyFill="1"/>
    <xf numFmtId="3" fontId="11" fillId="37" borderId="0" xfId="200" applyNumberFormat="1" applyFont="1" applyFill="1"/>
    <xf numFmtId="4" fontId="0" fillId="37" borderId="0" xfId="0" applyNumberFormat="1" applyFont="1" applyFill="1" applyBorder="1"/>
    <xf numFmtId="43" fontId="0" fillId="37" borderId="0" xfId="82" applyNumberFormat="1" applyFont="1" applyFill="1" applyBorder="1"/>
    <xf numFmtId="166" fontId="11" fillId="37" borderId="0" xfId="82" applyNumberFormat="1" applyFont="1" applyFill="1"/>
    <xf numFmtId="166" fontId="0" fillId="37" borderId="0" xfId="82" applyNumberFormat="1" applyFont="1" applyFill="1" applyBorder="1"/>
    <xf numFmtId="166" fontId="0" fillId="37" borderId="0" xfId="82" applyNumberFormat="1" applyFont="1" applyFill="1" applyBorder="1" applyAlignment="1">
      <alignment horizontal="center" wrapText="1"/>
    </xf>
    <xf numFmtId="44" fontId="0" fillId="37" borderId="0" xfId="126" applyFont="1" applyFill="1" applyBorder="1"/>
    <xf numFmtId="166" fontId="11" fillId="37" borderId="0" xfId="82" applyNumberFormat="1" applyFont="1" applyFill="1" applyBorder="1"/>
    <xf numFmtId="166" fontId="11" fillId="0" borderId="0" xfId="83" applyNumberFormat="1" applyFont="1"/>
    <xf numFmtId="166" fontId="11" fillId="37" borderId="0" xfId="83" applyNumberFormat="1" applyFont="1" applyFill="1"/>
    <xf numFmtId="166" fontId="11" fillId="0" borderId="0" xfId="83" applyNumberFormat="1" applyFont="1" applyFill="1"/>
    <xf numFmtId="166" fontId="3" fillId="36" borderId="4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166" fontId="0" fillId="36" borderId="0" xfId="0" applyNumberFormat="1" applyFont="1" applyFill="1" applyBorder="1"/>
    <xf numFmtId="3" fontId="11" fillId="0" borderId="0" xfId="200" applyNumberFormat="1" applyFont="1" applyFill="1"/>
    <xf numFmtId="0" fontId="11" fillId="0" borderId="0" xfId="329" applyFont="1" applyBorder="1" applyAlignment="1">
      <alignment horizontal="left"/>
    </xf>
    <xf numFmtId="44" fontId="0" fillId="38" borderId="0" xfId="126" applyFont="1" applyFill="1" applyBorder="1"/>
    <xf numFmtId="0" fontId="11" fillId="0" borderId="34" xfId="329" applyFont="1" applyBorder="1" applyAlignment="1">
      <alignment horizontal="left"/>
    </xf>
    <xf numFmtId="166" fontId="11" fillId="0" borderId="34" xfId="82" applyNumberFormat="1" applyFont="1" applyFill="1" applyBorder="1"/>
    <xf numFmtId="44" fontId="0" fillId="38" borderId="34" xfId="126" applyFont="1" applyFill="1" applyBorder="1"/>
    <xf numFmtId="44" fontId="0" fillId="38" borderId="0" xfId="126" applyNumberFormat="1" applyFont="1" applyFill="1" applyBorder="1"/>
    <xf numFmtId="44" fontId="11" fillId="39" borderId="0" xfId="129" applyFont="1" applyFill="1"/>
    <xf numFmtId="44" fontId="0" fillId="39" borderId="0" xfId="126" applyFont="1" applyFill="1" applyBorder="1"/>
    <xf numFmtId="44" fontId="0" fillId="39" borderId="34" xfId="126" applyFont="1" applyFill="1" applyBorder="1"/>
    <xf numFmtId="44" fontId="11" fillId="40" borderId="0" xfId="126" applyFont="1" applyFill="1" applyBorder="1"/>
    <xf numFmtId="44" fontId="0" fillId="40" borderId="0" xfId="126" applyFont="1" applyFill="1" applyBorder="1"/>
    <xf numFmtId="44" fontId="0" fillId="40" borderId="0" xfId="126" applyNumberFormat="1" applyFont="1" applyFill="1" applyBorder="1"/>
    <xf numFmtId="43" fontId="0" fillId="0" borderId="0" xfId="82" applyNumberFormat="1" applyFont="1" applyBorder="1"/>
    <xf numFmtId="0" fontId="0" fillId="0" borderId="0" xfId="0" quotePrefix="1" applyFont="1" applyBorder="1"/>
    <xf numFmtId="0" fontId="60" fillId="0" borderId="0" xfId="0" applyFont="1" applyBorder="1"/>
    <xf numFmtId="44" fontId="0" fillId="0" borderId="0" xfId="126" applyNumberFormat="1" applyFont="1" applyBorder="1"/>
    <xf numFmtId="167" fontId="0" fillId="41" borderId="0" xfId="82" applyNumberFormat="1" applyFont="1" applyFill="1"/>
    <xf numFmtId="167" fontId="0" fillId="41" borderId="0" xfId="82" applyNumberFormat="1" applyFont="1" applyFill="1" applyBorder="1"/>
    <xf numFmtId="44" fontId="3" fillId="36" borderId="0" xfId="126" applyFont="1" applyFill="1" applyBorder="1"/>
    <xf numFmtId="44" fontId="3" fillId="36" borderId="0" xfId="126" applyFont="1" applyFill="1" applyBorder="1" applyAlignment="1">
      <alignment horizontal="right"/>
    </xf>
    <xf numFmtId="0" fontId="3" fillId="42" borderId="0" xfId="0" applyFont="1" applyFill="1" applyBorder="1" applyAlignment="1">
      <alignment horizontal="center" wrapText="1"/>
    </xf>
    <xf numFmtId="44" fontId="0" fillId="42" borderId="0" xfId="126" applyFont="1" applyFill="1" applyBorder="1"/>
    <xf numFmtId="44" fontId="3" fillId="42" borderId="0" xfId="126" applyFont="1" applyFill="1" applyBorder="1"/>
    <xf numFmtId="44" fontId="3" fillId="42" borderId="0" xfId="126" applyFont="1" applyFill="1" applyBorder="1" applyAlignment="1">
      <alignment horizontal="right"/>
    </xf>
    <xf numFmtId="0" fontId="0" fillId="42" borderId="0" xfId="0" applyFont="1" applyFill="1" applyBorder="1"/>
    <xf numFmtId="10" fontId="3" fillId="36" borderId="0" xfId="338" applyNumberFormat="1" applyFont="1" applyFill="1" applyBorder="1" applyAlignment="1">
      <alignment horizontal="center" wrapText="1"/>
    </xf>
    <xf numFmtId="165" fontId="0" fillId="32" borderId="0" xfId="126" applyNumberFormat="1" applyFont="1" applyFill="1" applyBorder="1"/>
    <xf numFmtId="44" fontId="0" fillId="41" borderId="0" xfId="126" applyFont="1" applyFill="1" applyBorder="1"/>
    <xf numFmtId="166" fontId="61" fillId="37" borderId="0" xfId="83" applyNumberFormat="1" applyFont="1" applyFill="1"/>
    <xf numFmtId="166" fontId="61" fillId="0" borderId="0" xfId="83" applyNumberFormat="1" applyFont="1"/>
    <xf numFmtId="164" fontId="0" fillId="32" borderId="0" xfId="126" applyNumberFormat="1" applyFont="1" applyFill="1" applyBorder="1"/>
    <xf numFmtId="164" fontId="3" fillId="36" borderId="4" xfId="126" applyNumberFormat="1" applyFont="1" applyFill="1" applyBorder="1"/>
    <xf numFmtId="172" fontId="0" fillId="0" borderId="0" xfId="338" applyNumberFormat="1" applyFont="1" applyBorder="1"/>
    <xf numFmtId="0" fontId="0" fillId="36" borderId="0" xfId="0" applyFont="1" applyFill="1" applyAlignment="1">
      <alignment horizontal="center"/>
    </xf>
    <xf numFmtId="0" fontId="3" fillId="36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62" fillId="41" borderId="0" xfId="0" applyFont="1" applyFill="1" applyBorder="1" applyAlignment="1">
      <alignment horizontal="center" vertical="center"/>
    </xf>
    <xf numFmtId="0" fontId="62" fillId="41" borderId="0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36" borderId="0" xfId="0" applyFont="1" applyFill="1" applyBorder="1" applyAlignment="1">
      <alignment horizontal="center"/>
    </xf>
    <xf numFmtId="172" fontId="0" fillId="0" borderId="0" xfId="0" applyNumberFormat="1" applyFont="1" applyBorder="1"/>
    <xf numFmtId="164" fontId="0" fillId="0" borderId="0" xfId="0" applyNumberFormat="1" applyFont="1" applyFill="1" applyBorder="1"/>
  </cellXfs>
  <cellStyles count="391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3 2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3 2" xfId="7" xr:uid="{00000000-0005-0000-0000-000006000000}"/>
    <cellStyle name="20% - Accent3 3" xfId="8" xr:uid="{00000000-0005-0000-0000-000007000000}"/>
    <cellStyle name="20% - Accent4 2" xfId="9" xr:uid="{00000000-0005-0000-0000-000008000000}"/>
    <cellStyle name="20% - Accent4 2 2" xfId="10" xr:uid="{00000000-0005-0000-0000-000009000000}"/>
    <cellStyle name="20% - Accent4 3" xfId="11" xr:uid="{00000000-0005-0000-0000-00000A000000}"/>
    <cellStyle name="20% - Accent4 3 2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40% - Accent1 2" xfId="17" xr:uid="{00000000-0005-0000-0000-000010000000}"/>
    <cellStyle name="40% - Accent1 3" xfId="18" xr:uid="{00000000-0005-0000-0000-000011000000}"/>
    <cellStyle name="40% - Accent1 3 2" xfId="19" xr:uid="{00000000-0005-0000-0000-000012000000}"/>
    <cellStyle name="40% - Accent2 2" xfId="20" xr:uid="{00000000-0005-0000-0000-000013000000}"/>
    <cellStyle name="40% - Accent2 3" xfId="21" xr:uid="{00000000-0005-0000-0000-000014000000}"/>
    <cellStyle name="40% - Accent3 2" xfId="22" xr:uid="{00000000-0005-0000-0000-000015000000}"/>
    <cellStyle name="40% - Accent3 3" xfId="23" xr:uid="{00000000-0005-0000-0000-000016000000}"/>
    <cellStyle name="40% - Accent4 2" xfId="24" xr:uid="{00000000-0005-0000-0000-000017000000}"/>
    <cellStyle name="40% - Accent4 3" xfId="25" xr:uid="{00000000-0005-0000-0000-000018000000}"/>
    <cellStyle name="40% - Accent4 3 2" xfId="26" xr:uid="{00000000-0005-0000-0000-000019000000}"/>
    <cellStyle name="40% - Accent5 2" xfId="27" xr:uid="{00000000-0005-0000-0000-00001A000000}"/>
    <cellStyle name="40% - Accent5 3" xfId="28" xr:uid="{00000000-0005-0000-0000-00001B000000}"/>
    <cellStyle name="40% - Accent6 2" xfId="29" xr:uid="{00000000-0005-0000-0000-00001C000000}"/>
    <cellStyle name="40% - Accent6 3" xfId="30" xr:uid="{00000000-0005-0000-0000-00001D000000}"/>
    <cellStyle name="40% - Accent6 3 2" xfId="31" xr:uid="{00000000-0005-0000-0000-00001E000000}"/>
    <cellStyle name="60% - Accent1 2" xfId="32" xr:uid="{00000000-0005-0000-0000-00001F000000}"/>
    <cellStyle name="60% - Accent1 2 2" xfId="33" xr:uid="{00000000-0005-0000-0000-000020000000}"/>
    <cellStyle name="60% - Accent1 3" xfId="34" xr:uid="{00000000-0005-0000-0000-000021000000}"/>
    <cellStyle name="60% - Accent1 3 2" xfId="35" xr:uid="{00000000-0005-0000-0000-000022000000}"/>
    <cellStyle name="60% - Accent2 2" xfId="36" xr:uid="{00000000-0005-0000-0000-000023000000}"/>
    <cellStyle name="60% - Accent2 3" xfId="37" xr:uid="{00000000-0005-0000-0000-000024000000}"/>
    <cellStyle name="60% - Accent3 2" xfId="38" xr:uid="{00000000-0005-0000-0000-000025000000}"/>
    <cellStyle name="60% - Accent3 3" xfId="39" xr:uid="{00000000-0005-0000-0000-000026000000}"/>
    <cellStyle name="60% - Accent3 3 2" xfId="40" xr:uid="{00000000-0005-0000-0000-000027000000}"/>
    <cellStyle name="60% - Accent4 2" xfId="41" xr:uid="{00000000-0005-0000-0000-000028000000}"/>
    <cellStyle name="60% - Accent4 3" xfId="42" xr:uid="{00000000-0005-0000-0000-000029000000}"/>
    <cellStyle name="60% - Accent4 3 2" xfId="43" xr:uid="{00000000-0005-0000-0000-00002A000000}"/>
    <cellStyle name="60% - Accent5 2" xfId="44" xr:uid="{00000000-0005-0000-0000-00002B000000}"/>
    <cellStyle name="60% - Accent5 2 2" xfId="45" xr:uid="{00000000-0005-0000-0000-00002C000000}"/>
    <cellStyle name="60% - Accent5 3" xfId="46" xr:uid="{00000000-0005-0000-0000-00002D000000}"/>
    <cellStyle name="60% - Accent6 2" xfId="47" xr:uid="{00000000-0005-0000-0000-00002E000000}"/>
    <cellStyle name="60% - Accent6 3" xfId="48" xr:uid="{00000000-0005-0000-0000-00002F000000}"/>
    <cellStyle name="Accent1 2" xfId="49" xr:uid="{00000000-0005-0000-0000-000030000000}"/>
    <cellStyle name="Accent1 2 2" xfId="50" xr:uid="{00000000-0005-0000-0000-000031000000}"/>
    <cellStyle name="Accent1 3" xfId="51" xr:uid="{00000000-0005-0000-0000-000032000000}"/>
    <cellStyle name="Accent1 3 2" xfId="52" xr:uid="{00000000-0005-0000-0000-000033000000}"/>
    <cellStyle name="Accent2 2" xfId="53" xr:uid="{00000000-0005-0000-0000-000034000000}"/>
    <cellStyle name="Accent2 3" xfId="54" xr:uid="{00000000-0005-0000-0000-000035000000}"/>
    <cellStyle name="Accent3 2" xfId="55" xr:uid="{00000000-0005-0000-0000-000036000000}"/>
    <cellStyle name="Accent3 2 2" xfId="56" xr:uid="{00000000-0005-0000-0000-000037000000}"/>
    <cellStyle name="Accent3 3" xfId="57" xr:uid="{00000000-0005-0000-0000-000038000000}"/>
    <cellStyle name="Accent4 2" xfId="58" xr:uid="{00000000-0005-0000-0000-000039000000}"/>
    <cellStyle name="Accent4 3" xfId="59" xr:uid="{00000000-0005-0000-0000-00003A000000}"/>
    <cellStyle name="Accent5 2" xfId="60" xr:uid="{00000000-0005-0000-0000-00003B000000}"/>
    <cellStyle name="Accent5 3" xfId="61" xr:uid="{00000000-0005-0000-0000-00003C000000}"/>
    <cellStyle name="Accent6 2" xfId="62" xr:uid="{00000000-0005-0000-0000-00003D000000}"/>
    <cellStyle name="Accent6 2 2" xfId="63" xr:uid="{00000000-0005-0000-0000-00003E000000}"/>
    <cellStyle name="Accent6 3" xfId="64" xr:uid="{00000000-0005-0000-0000-00003F000000}"/>
    <cellStyle name="Accounting" xfId="65" xr:uid="{00000000-0005-0000-0000-000040000000}"/>
    <cellStyle name="Accounting 2" xfId="66" xr:uid="{00000000-0005-0000-0000-000041000000}"/>
    <cellStyle name="Accounting 3" xfId="67" xr:uid="{00000000-0005-0000-0000-000042000000}"/>
    <cellStyle name="Accounting_2011-11" xfId="68" xr:uid="{00000000-0005-0000-0000-000043000000}"/>
    <cellStyle name="Bad 2" xfId="69" xr:uid="{00000000-0005-0000-0000-000044000000}"/>
    <cellStyle name="Bad 3" xfId="70" xr:uid="{00000000-0005-0000-0000-000045000000}"/>
    <cellStyle name="Budget" xfId="71" xr:uid="{00000000-0005-0000-0000-000046000000}"/>
    <cellStyle name="Budget 2" xfId="72" xr:uid="{00000000-0005-0000-0000-000047000000}"/>
    <cellStyle name="Budget 3" xfId="73" xr:uid="{00000000-0005-0000-0000-000048000000}"/>
    <cellStyle name="Budget_2011-11" xfId="74" xr:uid="{00000000-0005-0000-0000-000049000000}"/>
    <cellStyle name="Calculation 2" xfId="75" xr:uid="{00000000-0005-0000-0000-00004A000000}"/>
    <cellStyle name="Calculation 2 2" xfId="76" xr:uid="{00000000-0005-0000-0000-00004B000000}"/>
    <cellStyle name="Calculation 3" xfId="77" xr:uid="{00000000-0005-0000-0000-00004C000000}"/>
    <cellStyle name="Calculation 3 2" xfId="78" xr:uid="{00000000-0005-0000-0000-00004D000000}"/>
    <cellStyle name="Check Cell 2" xfId="79" xr:uid="{00000000-0005-0000-0000-00004E000000}"/>
    <cellStyle name="Check Cell 3" xfId="80" xr:uid="{00000000-0005-0000-0000-00004F000000}"/>
    <cellStyle name="combo" xfId="81" xr:uid="{00000000-0005-0000-0000-000050000000}"/>
    <cellStyle name="Comma" xfId="82" builtinId="3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2 2" xfId="86" xr:uid="{00000000-0005-0000-0000-000055000000}"/>
    <cellStyle name="Comma 12 3" xfId="87" xr:uid="{00000000-0005-0000-0000-000056000000}"/>
    <cellStyle name="Comma 13" xfId="88" xr:uid="{00000000-0005-0000-0000-000057000000}"/>
    <cellStyle name="Comma 14" xfId="89" xr:uid="{00000000-0005-0000-0000-000058000000}"/>
    <cellStyle name="Comma 15" xfId="90" xr:uid="{00000000-0005-0000-0000-000059000000}"/>
    <cellStyle name="Comma 16" xfId="91" xr:uid="{00000000-0005-0000-0000-00005A000000}"/>
    <cellStyle name="Comma 17" xfId="92" xr:uid="{00000000-0005-0000-0000-00005B000000}"/>
    <cellStyle name="Comma 18" xfId="93" xr:uid="{00000000-0005-0000-0000-00005C000000}"/>
    <cellStyle name="Comma 19" xfId="94" xr:uid="{00000000-0005-0000-0000-00005D000000}"/>
    <cellStyle name="Comma 2" xfId="95" xr:uid="{00000000-0005-0000-0000-00005E000000}"/>
    <cellStyle name="Comma 2 2" xfId="96" xr:uid="{00000000-0005-0000-0000-00005F000000}"/>
    <cellStyle name="Comma 2 2 2" xfId="97" xr:uid="{00000000-0005-0000-0000-000060000000}"/>
    <cellStyle name="Comma 2 3" xfId="98" xr:uid="{00000000-0005-0000-0000-000061000000}"/>
    <cellStyle name="Comma 2 4" xfId="99" xr:uid="{00000000-0005-0000-0000-000062000000}"/>
    <cellStyle name="Comma 2 6" xfId="100" xr:uid="{00000000-0005-0000-0000-000063000000}"/>
    <cellStyle name="Comma 2 6 2" xfId="101" xr:uid="{00000000-0005-0000-0000-000064000000}"/>
    <cellStyle name="Comma 20" xfId="102" xr:uid="{00000000-0005-0000-0000-000065000000}"/>
    <cellStyle name="Comma 3" xfId="103" xr:uid="{00000000-0005-0000-0000-000066000000}"/>
    <cellStyle name="Comma 3 2" xfId="104" xr:uid="{00000000-0005-0000-0000-000067000000}"/>
    <cellStyle name="Comma 3 2 2" xfId="105" xr:uid="{00000000-0005-0000-0000-000068000000}"/>
    <cellStyle name="Comma 3 3" xfId="106" xr:uid="{00000000-0005-0000-0000-000069000000}"/>
    <cellStyle name="Comma 3 4" xfId="107" xr:uid="{00000000-0005-0000-0000-00006A000000}"/>
    <cellStyle name="Comma 4" xfId="108" xr:uid="{00000000-0005-0000-0000-00006B000000}"/>
    <cellStyle name="Comma 4 2" xfId="109" xr:uid="{00000000-0005-0000-0000-00006C000000}"/>
    <cellStyle name="Comma 4 2 2" xfId="110" xr:uid="{00000000-0005-0000-0000-00006D000000}"/>
    <cellStyle name="Comma 4 3" xfId="111" xr:uid="{00000000-0005-0000-0000-00006E000000}"/>
    <cellStyle name="Comma 4 3 2" xfId="112" xr:uid="{00000000-0005-0000-0000-00006F000000}"/>
    <cellStyle name="Comma 4 4" xfId="113" xr:uid="{00000000-0005-0000-0000-000070000000}"/>
    <cellStyle name="Comma 4 5" xfId="114" xr:uid="{00000000-0005-0000-0000-000071000000}"/>
    <cellStyle name="Comma 4 6" xfId="115" xr:uid="{00000000-0005-0000-0000-000072000000}"/>
    <cellStyle name="Comma 5" xfId="116" xr:uid="{00000000-0005-0000-0000-000073000000}"/>
    <cellStyle name="Comma 6" xfId="117" xr:uid="{00000000-0005-0000-0000-000074000000}"/>
    <cellStyle name="Comma 6 2" xfId="118" xr:uid="{00000000-0005-0000-0000-000075000000}"/>
    <cellStyle name="Comma 7" xfId="119" xr:uid="{00000000-0005-0000-0000-000076000000}"/>
    <cellStyle name="Comma 8" xfId="120" xr:uid="{00000000-0005-0000-0000-000077000000}"/>
    <cellStyle name="Comma 9" xfId="121" xr:uid="{00000000-0005-0000-0000-000078000000}"/>
    <cellStyle name="Comma(2)" xfId="122" xr:uid="{00000000-0005-0000-0000-000079000000}"/>
    <cellStyle name="Comma0 - Style2" xfId="123" xr:uid="{00000000-0005-0000-0000-00007A000000}"/>
    <cellStyle name="Comma1 - Style1" xfId="124" xr:uid="{00000000-0005-0000-0000-00007B000000}"/>
    <cellStyle name="Comments" xfId="125" xr:uid="{00000000-0005-0000-0000-00007C000000}"/>
    <cellStyle name="Currency" xfId="126" builtinId="4"/>
    <cellStyle name="Currency 10" xfId="127" xr:uid="{00000000-0005-0000-0000-00007E000000}"/>
    <cellStyle name="Currency 11" xfId="128" xr:uid="{00000000-0005-0000-0000-00007F000000}"/>
    <cellStyle name="Currency 2" xfId="129" xr:uid="{00000000-0005-0000-0000-000080000000}"/>
    <cellStyle name="Currency 2 2" xfId="130" xr:uid="{00000000-0005-0000-0000-000081000000}"/>
    <cellStyle name="Currency 2 2 2" xfId="131" xr:uid="{00000000-0005-0000-0000-000082000000}"/>
    <cellStyle name="Currency 2 3" xfId="132" xr:uid="{00000000-0005-0000-0000-000083000000}"/>
    <cellStyle name="Currency 2 3 2" xfId="133" xr:uid="{00000000-0005-0000-0000-000084000000}"/>
    <cellStyle name="Currency 2 6" xfId="134" xr:uid="{00000000-0005-0000-0000-000085000000}"/>
    <cellStyle name="Currency 2 6 2" xfId="135" xr:uid="{00000000-0005-0000-0000-000086000000}"/>
    <cellStyle name="Currency 3" xfId="136" xr:uid="{00000000-0005-0000-0000-000087000000}"/>
    <cellStyle name="Currency 3 2" xfId="137" xr:uid="{00000000-0005-0000-0000-000088000000}"/>
    <cellStyle name="Currency 3 3" xfId="138" xr:uid="{00000000-0005-0000-0000-000089000000}"/>
    <cellStyle name="Currency 3 4" xfId="139" xr:uid="{00000000-0005-0000-0000-00008A000000}"/>
    <cellStyle name="Currency 4" xfId="140" xr:uid="{00000000-0005-0000-0000-00008B000000}"/>
    <cellStyle name="Currency 4 2" xfId="141" xr:uid="{00000000-0005-0000-0000-00008C000000}"/>
    <cellStyle name="Currency 5" xfId="142" xr:uid="{00000000-0005-0000-0000-00008D000000}"/>
    <cellStyle name="Currency 5 2" xfId="143" xr:uid="{00000000-0005-0000-0000-00008E000000}"/>
    <cellStyle name="Currency 5 3" xfId="144" xr:uid="{00000000-0005-0000-0000-00008F000000}"/>
    <cellStyle name="Currency 6" xfId="145" xr:uid="{00000000-0005-0000-0000-000090000000}"/>
    <cellStyle name="Currency 7" xfId="146" xr:uid="{00000000-0005-0000-0000-000091000000}"/>
    <cellStyle name="Currency 8" xfId="147" xr:uid="{00000000-0005-0000-0000-000092000000}"/>
    <cellStyle name="Currency 9" xfId="148" xr:uid="{00000000-0005-0000-0000-000093000000}"/>
    <cellStyle name="Data Enter" xfId="149" xr:uid="{00000000-0005-0000-0000-000094000000}"/>
    <cellStyle name="date" xfId="150" xr:uid="{00000000-0005-0000-0000-000095000000}"/>
    <cellStyle name="Explanatory Text 2" xfId="151" xr:uid="{00000000-0005-0000-0000-000096000000}"/>
    <cellStyle name="Explanatory Text 3" xfId="152" xr:uid="{00000000-0005-0000-0000-000097000000}"/>
    <cellStyle name="FactSheet" xfId="153" xr:uid="{00000000-0005-0000-0000-000098000000}"/>
    <cellStyle name="fish" xfId="154" xr:uid="{00000000-0005-0000-0000-000099000000}"/>
    <cellStyle name="Good 2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3" xfId="159" xr:uid="{00000000-0005-0000-0000-00009E000000}"/>
    <cellStyle name="Heading 1 3 2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3" xfId="163" xr:uid="{00000000-0005-0000-0000-0000A2000000}"/>
    <cellStyle name="Heading 2 3 2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3" xfId="167" xr:uid="{00000000-0005-0000-0000-0000A6000000}"/>
    <cellStyle name="Heading 3 3 2" xfId="168" xr:uid="{00000000-0005-0000-0000-0000A7000000}"/>
    <cellStyle name="Heading 4 2" xfId="169" xr:uid="{00000000-0005-0000-0000-0000A8000000}"/>
    <cellStyle name="Heading 4 3" xfId="170" xr:uid="{00000000-0005-0000-0000-0000A9000000}"/>
    <cellStyle name="Hyperlink 2" xfId="171" xr:uid="{00000000-0005-0000-0000-0000AA000000}"/>
    <cellStyle name="Hyperlink 3" xfId="172" xr:uid="{00000000-0005-0000-0000-0000AB000000}"/>
    <cellStyle name="Hyperlink 3 2" xfId="173" xr:uid="{00000000-0005-0000-0000-0000AC000000}"/>
    <cellStyle name="Input 2" xfId="174" xr:uid="{00000000-0005-0000-0000-0000AD000000}"/>
    <cellStyle name="Input 3" xfId="175" xr:uid="{00000000-0005-0000-0000-0000AE000000}"/>
    <cellStyle name="input(0)" xfId="176" xr:uid="{00000000-0005-0000-0000-0000AF000000}"/>
    <cellStyle name="Input(2)" xfId="177" xr:uid="{00000000-0005-0000-0000-0000B0000000}"/>
    <cellStyle name="Linked Cell 2" xfId="178" xr:uid="{00000000-0005-0000-0000-0000B1000000}"/>
    <cellStyle name="Linked Cell 2 2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3" xfId="183" xr:uid="{00000000-0005-0000-0000-0000B6000000}"/>
    <cellStyle name="New_normal" xfId="184" xr:uid="{00000000-0005-0000-0000-0000B7000000}"/>
    <cellStyle name="Normal" xfId="0" builtinId="0"/>
    <cellStyle name="Normal - Style1" xfId="185" xr:uid="{00000000-0005-0000-0000-0000B9000000}"/>
    <cellStyle name="Normal - Style2" xfId="186" xr:uid="{00000000-0005-0000-0000-0000BA000000}"/>
    <cellStyle name="Normal - Style3" xfId="187" xr:uid="{00000000-0005-0000-0000-0000BB000000}"/>
    <cellStyle name="Normal - Style4" xfId="188" xr:uid="{00000000-0005-0000-0000-0000BC000000}"/>
    <cellStyle name="Normal - Style5" xfId="189" xr:uid="{00000000-0005-0000-0000-0000BD000000}"/>
    <cellStyle name="Normal 10" xfId="190" xr:uid="{00000000-0005-0000-0000-0000BE000000}"/>
    <cellStyle name="Normal 10 2" xfId="191" xr:uid="{00000000-0005-0000-0000-0000BF000000}"/>
    <cellStyle name="Normal 10 2 2" xfId="192" xr:uid="{00000000-0005-0000-0000-0000C0000000}"/>
    <cellStyle name="Normal 10 2 3" xfId="193" xr:uid="{00000000-0005-0000-0000-0000C1000000}"/>
    <cellStyle name="Normal 10_2112 DF Schedule" xfId="194" xr:uid="{00000000-0005-0000-0000-0000C2000000}"/>
    <cellStyle name="Normal 100" xfId="195" xr:uid="{00000000-0005-0000-0000-0000C3000000}"/>
    <cellStyle name="Normal 101" xfId="196" xr:uid="{00000000-0005-0000-0000-0000C4000000}"/>
    <cellStyle name="Normal 102" xfId="197" xr:uid="{00000000-0005-0000-0000-0000C5000000}"/>
    <cellStyle name="Normal 103" xfId="198" xr:uid="{00000000-0005-0000-0000-0000C6000000}"/>
    <cellStyle name="Normal 104" xfId="199" xr:uid="{00000000-0005-0000-0000-0000C7000000}"/>
    <cellStyle name="Normal 105" xfId="200" xr:uid="{00000000-0005-0000-0000-0000C8000000}"/>
    <cellStyle name="Normal 106" xfId="201" xr:uid="{00000000-0005-0000-0000-0000C9000000}"/>
    <cellStyle name="Normal 107" xfId="202" xr:uid="{00000000-0005-0000-0000-0000CA000000}"/>
    <cellStyle name="Normal 108" xfId="203" xr:uid="{00000000-0005-0000-0000-0000CB000000}"/>
    <cellStyle name="Normal 109" xfId="390" xr:uid="{00000000-0005-0000-0000-0000CC000000}"/>
    <cellStyle name="Normal 11" xfId="204" xr:uid="{00000000-0005-0000-0000-0000CD000000}"/>
    <cellStyle name="Normal 12" xfId="205" xr:uid="{00000000-0005-0000-0000-0000CE000000}"/>
    <cellStyle name="Normal 12 2" xfId="206" xr:uid="{00000000-0005-0000-0000-0000CF000000}"/>
    <cellStyle name="Normal 13" xfId="207" xr:uid="{00000000-0005-0000-0000-0000D0000000}"/>
    <cellStyle name="Normal 13 2" xfId="208" xr:uid="{00000000-0005-0000-0000-0000D1000000}"/>
    <cellStyle name="Normal 14" xfId="209" xr:uid="{00000000-0005-0000-0000-0000D2000000}"/>
    <cellStyle name="Normal 14 2" xfId="210" xr:uid="{00000000-0005-0000-0000-0000D3000000}"/>
    <cellStyle name="Normal 15" xfId="211" xr:uid="{00000000-0005-0000-0000-0000D4000000}"/>
    <cellStyle name="Normal 15 2" xfId="212" xr:uid="{00000000-0005-0000-0000-0000D5000000}"/>
    <cellStyle name="Normal 16" xfId="213" xr:uid="{00000000-0005-0000-0000-0000D6000000}"/>
    <cellStyle name="Normal 16 2" xfId="214" xr:uid="{00000000-0005-0000-0000-0000D7000000}"/>
    <cellStyle name="Normal 17" xfId="215" xr:uid="{00000000-0005-0000-0000-0000D8000000}"/>
    <cellStyle name="Normal 17 2" xfId="216" xr:uid="{00000000-0005-0000-0000-0000D9000000}"/>
    <cellStyle name="Normal 18" xfId="217" xr:uid="{00000000-0005-0000-0000-0000DA000000}"/>
    <cellStyle name="Normal 18 2" xfId="218" xr:uid="{00000000-0005-0000-0000-0000DB000000}"/>
    <cellStyle name="Normal 19" xfId="219" xr:uid="{00000000-0005-0000-0000-0000DC000000}"/>
    <cellStyle name="Normal 19 2" xfId="220" xr:uid="{00000000-0005-0000-0000-0000DD000000}"/>
    <cellStyle name="Normal 2" xfId="221" xr:uid="{00000000-0005-0000-0000-0000DE000000}"/>
    <cellStyle name="Normal 2 2" xfId="222" xr:uid="{00000000-0005-0000-0000-0000DF000000}"/>
    <cellStyle name="Normal 2 2 2" xfId="223" xr:uid="{00000000-0005-0000-0000-0000E0000000}"/>
    <cellStyle name="Normal 2 2 3" xfId="224" xr:uid="{00000000-0005-0000-0000-0000E1000000}"/>
    <cellStyle name="Normal 2 2_Actual_Fuel" xfId="225" xr:uid="{00000000-0005-0000-0000-0000E2000000}"/>
    <cellStyle name="Normal 2 3" xfId="226" xr:uid="{00000000-0005-0000-0000-0000E3000000}"/>
    <cellStyle name="Normal 2 3 2" xfId="227" xr:uid="{00000000-0005-0000-0000-0000E4000000}"/>
    <cellStyle name="Normal 2 3 3" xfId="228" xr:uid="{00000000-0005-0000-0000-0000E5000000}"/>
    <cellStyle name="Normal 2 4" xfId="229" xr:uid="{00000000-0005-0000-0000-0000E6000000}"/>
    <cellStyle name="Normal 2 5" xfId="230" xr:uid="{00000000-0005-0000-0000-0000E7000000}"/>
    <cellStyle name="Normal 2_2012-10" xfId="231" xr:uid="{00000000-0005-0000-0000-0000E8000000}"/>
    <cellStyle name="Normal 20" xfId="232" xr:uid="{00000000-0005-0000-0000-0000E9000000}"/>
    <cellStyle name="Normal 21" xfId="233" xr:uid="{00000000-0005-0000-0000-0000EA000000}"/>
    <cellStyle name="Normal 22" xfId="234" xr:uid="{00000000-0005-0000-0000-0000EB000000}"/>
    <cellStyle name="Normal 23" xfId="235" xr:uid="{00000000-0005-0000-0000-0000EC000000}"/>
    <cellStyle name="Normal 24" xfId="236" xr:uid="{00000000-0005-0000-0000-0000ED000000}"/>
    <cellStyle name="Normal 25" xfId="237" xr:uid="{00000000-0005-0000-0000-0000EE000000}"/>
    <cellStyle name="Normal 26" xfId="238" xr:uid="{00000000-0005-0000-0000-0000EF000000}"/>
    <cellStyle name="Normal 27" xfId="239" xr:uid="{00000000-0005-0000-0000-0000F0000000}"/>
    <cellStyle name="Normal 28" xfId="240" xr:uid="{00000000-0005-0000-0000-0000F1000000}"/>
    <cellStyle name="Normal 29" xfId="241" xr:uid="{00000000-0005-0000-0000-0000F2000000}"/>
    <cellStyle name="Normal 3" xfId="242" xr:uid="{00000000-0005-0000-0000-0000F3000000}"/>
    <cellStyle name="Normal 3 2" xfId="243" xr:uid="{00000000-0005-0000-0000-0000F4000000}"/>
    <cellStyle name="Normal 3 3" xfId="244" xr:uid="{00000000-0005-0000-0000-0000F5000000}"/>
    <cellStyle name="Normal 3 4" xfId="245" xr:uid="{00000000-0005-0000-0000-0000F6000000}"/>
    <cellStyle name="Normal 3_2012 PR" xfId="246" xr:uid="{00000000-0005-0000-0000-0000F7000000}"/>
    <cellStyle name="Normal 30" xfId="247" xr:uid="{00000000-0005-0000-0000-0000F8000000}"/>
    <cellStyle name="Normal 31" xfId="248" xr:uid="{00000000-0005-0000-0000-0000F9000000}"/>
    <cellStyle name="Normal 32" xfId="249" xr:uid="{00000000-0005-0000-0000-0000FA000000}"/>
    <cellStyle name="Normal 33" xfId="250" xr:uid="{00000000-0005-0000-0000-0000FB000000}"/>
    <cellStyle name="Normal 34" xfId="251" xr:uid="{00000000-0005-0000-0000-0000FC000000}"/>
    <cellStyle name="Normal 35" xfId="252" xr:uid="{00000000-0005-0000-0000-0000FD000000}"/>
    <cellStyle name="Normal 36" xfId="253" xr:uid="{00000000-0005-0000-0000-0000FE000000}"/>
    <cellStyle name="Normal 37" xfId="254" xr:uid="{00000000-0005-0000-0000-0000FF000000}"/>
    <cellStyle name="Normal 38" xfId="255" xr:uid="{00000000-0005-0000-0000-000000010000}"/>
    <cellStyle name="Normal 39" xfId="256" xr:uid="{00000000-0005-0000-0000-000001010000}"/>
    <cellStyle name="Normal 4" xfId="257" xr:uid="{00000000-0005-0000-0000-000002010000}"/>
    <cellStyle name="Normal 4 2" xfId="258" xr:uid="{00000000-0005-0000-0000-000003010000}"/>
    <cellStyle name="Normal 40" xfId="259" xr:uid="{00000000-0005-0000-0000-000004010000}"/>
    <cellStyle name="Normal 41" xfId="260" xr:uid="{00000000-0005-0000-0000-000005010000}"/>
    <cellStyle name="Normal 42" xfId="261" xr:uid="{00000000-0005-0000-0000-000006010000}"/>
    <cellStyle name="Normal 43" xfId="262" xr:uid="{00000000-0005-0000-0000-000007010000}"/>
    <cellStyle name="Normal 44" xfId="263" xr:uid="{00000000-0005-0000-0000-000008010000}"/>
    <cellStyle name="Normal 45" xfId="264" xr:uid="{00000000-0005-0000-0000-000009010000}"/>
    <cellStyle name="Normal 46" xfId="265" xr:uid="{00000000-0005-0000-0000-00000A010000}"/>
    <cellStyle name="Normal 47" xfId="266" xr:uid="{00000000-0005-0000-0000-00000B010000}"/>
    <cellStyle name="Normal 48" xfId="267" xr:uid="{00000000-0005-0000-0000-00000C010000}"/>
    <cellStyle name="Normal 49" xfId="268" xr:uid="{00000000-0005-0000-0000-00000D010000}"/>
    <cellStyle name="Normal 5" xfId="269" xr:uid="{00000000-0005-0000-0000-00000E010000}"/>
    <cellStyle name="Normal 5 2" xfId="270" xr:uid="{00000000-0005-0000-0000-00000F010000}"/>
    <cellStyle name="Normal 5_2112 DF Schedule" xfId="271" xr:uid="{00000000-0005-0000-0000-000010010000}"/>
    <cellStyle name="Normal 50" xfId="272" xr:uid="{00000000-0005-0000-0000-000011010000}"/>
    <cellStyle name="Normal 51" xfId="273" xr:uid="{00000000-0005-0000-0000-000012010000}"/>
    <cellStyle name="Normal 52" xfId="274" xr:uid="{00000000-0005-0000-0000-000013010000}"/>
    <cellStyle name="Normal 53" xfId="275" xr:uid="{00000000-0005-0000-0000-000014010000}"/>
    <cellStyle name="Normal 54" xfId="276" xr:uid="{00000000-0005-0000-0000-000015010000}"/>
    <cellStyle name="Normal 55" xfId="277" xr:uid="{00000000-0005-0000-0000-000016010000}"/>
    <cellStyle name="Normal 56" xfId="278" xr:uid="{00000000-0005-0000-0000-000017010000}"/>
    <cellStyle name="Normal 57" xfId="279" xr:uid="{00000000-0005-0000-0000-000018010000}"/>
    <cellStyle name="Normal 58" xfId="280" xr:uid="{00000000-0005-0000-0000-000019010000}"/>
    <cellStyle name="Normal 59" xfId="281" xr:uid="{00000000-0005-0000-0000-00001A010000}"/>
    <cellStyle name="Normal 6" xfId="282" xr:uid="{00000000-0005-0000-0000-00001B010000}"/>
    <cellStyle name="Normal 6 2" xfId="283" xr:uid="{00000000-0005-0000-0000-00001C010000}"/>
    <cellStyle name="Normal 60" xfId="284" xr:uid="{00000000-0005-0000-0000-00001D010000}"/>
    <cellStyle name="Normal 61" xfId="285" xr:uid="{00000000-0005-0000-0000-00001E010000}"/>
    <cellStyle name="Normal 62" xfId="286" xr:uid="{00000000-0005-0000-0000-00001F010000}"/>
    <cellStyle name="Normal 63" xfId="287" xr:uid="{00000000-0005-0000-0000-000020010000}"/>
    <cellStyle name="Normal 64" xfId="288" xr:uid="{00000000-0005-0000-0000-000021010000}"/>
    <cellStyle name="Normal 65" xfId="289" xr:uid="{00000000-0005-0000-0000-000022010000}"/>
    <cellStyle name="Normal 66" xfId="290" xr:uid="{00000000-0005-0000-0000-000023010000}"/>
    <cellStyle name="Normal 67" xfId="291" xr:uid="{00000000-0005-0000-0000-000024010000}"/>
    <cellStyle name="Normal 68" xfId="292" xr:uid="{00000000-0005-0000-0000-000025010000}"/>
    <cellStyle name="Normal 69" xfId="293" xr:uid="{00000000-0005-0000-0000-000026010000}"/>
    <cellStyle name="Normal 7" xfId="294" xr:uid="{00000000-0005-0000-0000-000027010000}"/>
    <cellStyle name="Normal 70" xfId="295" xr:uid="{00000000-0005-0000-0000-000028010000}"/>
    <cellStyle name="Normal 71" xfId="296" xr:uid="{00000000-0005-0000-0000-000029010000}"/>
    <cellStyle name="Normal 72" xfId="297" xr:uid="{00000000-0005-0000-0000-00002A010000}"/>
    <cellStyle name="Normal 73" xfId="298" xr:uid="{00000000-0005-0000-0000-00002B010000}"/>
    <cellStyle name="Normal 74" xfId="299" xr:uid="{00000000-0005-0000-0000-00002C010000}"/>
    <cellStyle name="Normal 75" xfId="300" xr:uid="{00000000-0005-0000-0000-00002D010000}"/>
    <cellStyle name="Normal 76" xfId="301" xr:uid="{00000000-0005-0000-0000-00002E010000}"/>
    <cellStyle name="Normal 77" xfId="302" xr:uid="{00000000-0005-0000-0000-00002F010000}"/>
    <cellStyle name="Normal 78" xfId="303" xr:uid="{00000000-0005-0000-0000-000030010000}"/>
    <cellStyle name="Normal 79" xfId="304" xr:uid="{00000000-0005-0000-0000-000031010000}"/>
    <cellStyle name="Normal 8" xfId="305" xr:uid="{00000000-0005-0000-0000-000032010000}"/>
    <cellStyle name="Normal 80" xfId="306" xr:uid="{00000000-0005-0000-0000-000033010000}"/>
    <cellStyle name="Normal 81" xfId="307" xr:uid="{00000000-0005-0000-0000-000034010000}"/>
    <cellStyle name="Normal 82" xfId="308" xr:uid="{00000000-0005-0000-0000-000035010000}"/>
    <cellStyle name="Normal 83" xfId="309" xr:uid="{00000000-0005-0000-0000-000036010000}"/>
    <cellStyle name="Normal 84" xfId="310" xr:uid="{00000000-0005-0000-0000-000037010000}"/>
    <cellStyle name="Normal 84 2" xfId="311" xr:uid="{00000000-0005-0000-0000-000038010000}"/>
    <cellStyle name="Normal 84 3" xfId="312" xr:uid="{00000000-0005-0000-0000-000039010000}"/>
    <cellStyle name="Normal 85" xfId="313" xr:uid="{00000000-0005-0000-0000-00003A010000}"/>
    <cellStyle name="Normal 86" xfId="314" xr:uid="{00000000-0005-0000-0000-00003B010000}"/>
    <cellStyle name="Normal 87" xfId="315" xr:uid="{00000000-0005-0000-0000-00003C010000}"/>
    <cellStyle name="Normal 88" xfId="316" xr:uid="{00000000-0005-0000-0000-00003D010000}"/>
    <cellStyle name="Normal 89" xfId="317" xr:uid="{00000000-0005-0000-0000-00003E010000}"/>
    <cellStyle name="Normal 9" xfId="318" xr:uid="{00000000-0005-0000-0000-00003F010000}"/>
    <cellStyle name="Normal 90" xfId="319" xr:uid="{00000000-0005-0000-0000-000040010000}"/>
    <cellStyle name="Normal 91" xfId="320" xr:uid="{00000000-0005-0000-0000-000041010000}"/>
    <cellStyle name="Normal 92" xfId="321" xr:uid="{00000000-0005-0000-0000-000042010000}"/>
    <cellStyle name="Normal 93" xfId="322" xr:uid="{00000000-0005-0000-0000-000043010000}"/>
    <cellStyle name="Normal 94" xfId="323" xr:uid="{00000000-0005-0000-0000-000044010000}"/>
    <cellStyle name="Normal 95" xfId="324" xr:uid="{00000000-0005-0000-0000-000045010000}"/>
    <cellStyle name="Normal 96" xfId="325" xr:uid="{00000000-0005-0000-0000-000046010000}"/>
    <cellStyle name="Normal 97" xfId="326" xr:uid="{00000000-0005-0000-0000-000047010000}"/>
    <cellStyle name="Normal 98" xfId="327" xr:uid="{00000000-0005-0000-0000-000048010000}"/>
    <cellStyle name="Normal 99" xfId="328" xr:uid="{00000000-0005-0000-0000-000049010000}"/>
    <cellStyle name="Normal_Murrey's Jan-Dec 2012" xfId="329" xr:uid="{00000000-0005-0000-0000-00004A010000}"/>
    <cellStyle name="Normal_Price out" xfId="330" xr:uid="{00000000-0005-0000-0000-00004B010000}"/>
    <cellStyle name="Note 2" xfId="331" xr:uid="{00000000-0005-0000-0000-00004C010000}"/>
    <cellStyle name="Note 2 2" xfId="332" xr:uid="{00000000-0005-0000-0000-00004D010000}"/>
    <cellStyle name="Note 3" xfId="333" xr:uid="{00000000-0005-0000-0000-00004E010000}"/>
    <cellStyle name="Note 3 2" xfId="334" xr:uid="{00000000-0005-0000-0000-00004F010000}"/>
    <cellStyle name="Notes" xfId="335" xr:uid="{00000000-0005-0000-0000-000050010000}"/>
    <cellStyle name="Output 2" xfId="336" xr:uid="{00000000-0005-0000-0000-000051010000}"/>
    <cellStyle name="Output 3" xfId="337" xr:uid="{00000000-0005-0000-0000-000052010000}"/>
    <cellStyle name="Percent" xfId="338" builtinId="5"/>
    <cellStyle name="Percent 2" xfId="339" xr:uid="{00000000-0005-0000-0000-000054010000}"/>
    <cellStyle name="Percent 2 2" xfId="340" xr:uid="{00000000-0005-0000-0000-000055010000}"/>
    <cellStyle name="Percent 2 2 2" xfId="341" xr:uid="{00000000-0005-0000-0000-000056010000}"/>
    <cellStyle name="Percent 2 3" xfId="342" xr:uid="{00000000-0005-0000-0000-000057010000}"/>
    <cellStyle name="Percent 2 6" xfId="343" xr:uid="{00000000-0005-0000-0000-000058010000}"/>
    <cellStyle name="Percent 3" xfId="344" xr:uid="{00000000-0005-0000-0000-000059010000}"/>
    <cellStyle name="Percent 3 2" xfId="345" xr:uid="{00000000-0005-0000-0000-00005A010000}"/>
    <cellStyle name="Percent 4" xfId="346" xr:uid="{00000000-0005-0000-0000-00005B010000}"/>
    <cellStyle name="Percent 4 2" xfId="347" xr:uid="{00000000-0005-0000-0000-00005C010000}"/>
    <cellStyle name="Percent 4 3" xfId="348" xr:uid="{00000000-0005-0000-0000-00005D010000}"/>
    <cellStyle name="Percent 5" xfId="349" xr:uid="{00000000-0005-0000-0000-00005E010000}"/>
    <cellStyle name="Percent 6" xfId="350" xr:uid="{00000000-0005-0000-0000-00005F010000}"/>
    <cellStyle name="Percent 7" xfId="351" xr:uid="{00000000-0005-0000-0000-000060010000}"/>
    <cellStyle name="Percent 7 2" xfId="352" xr:uid="{00000000-0005-0000-0000-000061010000}"/>
    <cellStyle name="Percent 7 3" xfId="353" xr:uid="{00000000-0005-0000-0000-000062010000}"/>
    <cellStyle name="Percent 8" xfId="354" xr:uid="{00000000-0005-0000-0000-000063010000}"/>
    <cellStyle name="Percent 9" xfId="355" xr:uid="{00000000-0005-0000-0000-000064010000}"/>
    <cellStyle name="Percent(1)" xfId="356" xr:uid="{00000000-0005-0000-0000-000065010000}"/>
    <cellStyle name="Percent(2)" xfId="357" xr:uid="{00000000-0005-0000-0000-000066010000}"/>
    <cellStyle name="PRM" xfId="358" xr:uid="{00000000-0005-0000-0000-000067010000}"/>
    <cellStyle name="PRM 2" xfId="359" xr:uid="{00000000-0005-0000-0000-000068010000}"/>
    <cellStyle name="PRM 3" xfId="360" xr:uid="{00000000-0005-0000-0000-000069010000}"/>
    <cellStyle name="PRM_2011-11" xfId="361" xr:uid="{00000000-0005-0000-0000-00006A010000}"/>
    <cellStyle name="PS_Comma" xfId="362" xr:uid="{00000000-0005-0000-0000-00006B010000}"/>
    <cellStyle name="PSChar" xfId="363" xr:uid="{00000000-0005-0000-0000-00006C010000}"/>
    <cellStyle name="PSDate" xfId="364" xr:uid="{00000000-0005-0000-0000-00006D010000}"/>
    <cellStyle name="PSDec" xfId="365" xr:uid="{00000000-0005-0000-0000-00006E010000}"/>
    <cellStyle name="PSHeading" xfId="366" xr:uid="{00000000-0005-0000-0000-00006F010000}"/>
    <cellStyle name="PSInt" xfId="367" xr:uid="{00000000-0005-0000-0000-000070010000}"/>
    <cellStyle name="PSSpacer" xfId="368" xr:uid="{00000000-0005-0000-0000-000071010000}"/>
    <cellStyle name="STYL0 - Style1" xfId="369" xr:uid="{00000000-0005-0000-0000-000072010000}"/>
    <cellStyle name="STYL1 - Style2" xfId="370" xr:uid="{00000000-0005-0000-0000-000073010000}"/>
    <cellStyle name="STYL2 - Style3" xfId="371" xr:uid="{00000000-0005-0000-0000-000074010000}"/>
    <cellStyle name="STYL3 - Style4" xfId="372" xr:uid="{00000000-0005-0000-0000-000075010000}"/>
    <cellStyle name="STYL4 - Style5" xfId="373" xr:uid="{00000000-0005-0000-0000-000076010000}"/>
    <cellStyle name="STYL5 - Style6" xfId="374" xr:uid="{00000000-0005-0000-0000-000077010000}"/>
    <cellStyle name="STYL6 - Style7" xfId="375" xr:uid="{00000000-0005-0000-0000-000078010000}"/>
    <cellStyle name="STYL7 - Style8" xfId="376" xr:uid="{00000000-0005-0000-0000-000079010000}"/>
    <cellStyle name="Style 1" xfId="377" xr:uid="{00000000-0005-0000-0000-00007A010000}"/>
    <cellStyle name="Style 1 2" xfId="378" xr:uid="{00000000-0005-0000-0000-00007B010000}"/>
    <cellStyle name="STYLE1" xfId="379" xr:uid="{00000000-0005-0000-0000-00007C010000}"/>
    <cellStyle name="sub heading" xfId="380" xr:uid="{00000000-0005-0000-0000-00007D010000}"/>
    <cellStyle name="Title 2" xfId="381" xr:uid="{00000000-0005-0000-0000-00007E010000}"/>
    <cellStyle name="Title 3" xfId="382" xr:uid="{00000000-0005-0000-0000-00007F010000}"/>
    <cellStyle name="Total 2" xfId="383" xr:uid="{00000000-0005-0000-0000-000080010000}"/>
    <cellStyle name="Total 2 2" xfId="384" xr:uid="{00000000-0005-0000-0000-000081010000}"/>
    <cellStyle name="Total 3" xfId="385" xr:uid="{00000000-0005-0000-0000-000082010000}"/>
    <cellStyle name="Total 3 2" xfId="386" xr:uid="{00000000-0005-0000-0000-000083010000}"/>
    <cellStyle name="Warning Text 2" xfId="387" xr:uid="{00000000-0005-0000-0000-000084010000}"/>
    <cellStyle name="Warning Text 3" xfId="388" xr:uid="{00000000-0005-0000-0000-000085010000}"/>
    <cellStyle name="WM_STANDARD" xfId="389" xr:uid="{00000000-0005-0000-0000-00008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465067</xdr:colOff>
      <xdr:row>25</xdr:row>
      <xdr:rowOff>37500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66667" cy="4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workbookViewId="0">
      <selection activeCell="E30" sqref="E30"/>
    </sheetView>
  </sheetViews>
  <sheetFormatPr defaultColWidth="9.140625" defaultRowHeight="15"/>
  <cols>
    <col min="1" max="1" width="36.28515625" style="3" bestFit="1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79" t="s">
        <v>18</v>
      </c>
      <c r="B1" s="179"/>
      <c r="C1" s="179"/>
      <c r="D1" s="179"/>
      <c r="E1" s="179"/>
      <c r="F1" s="179"/>
      <c r="G1" s="179"/>
      <c r="H1" s="179"/>
    </row>
    <row r="2" spans="1:8">
      <c r="A2" s="3" t="s">
        <v>54</v>
      </c>
      <c r="B2" s="15" t="s">
        <v>40</v>
      </c>
      <c r="C2" s="15" t="s">
        <v>41</v>
      </c>
      <c r="D2" s="15" t="s">
        <v>42</v>
      </c>
      <c r="E2" s="16" t="s">
        <v>45</v>
      </c>
      <c r="F2" s="16" t="s">
        <v>46</v>
      </c>
      <c r="G2" s="16" t="s">
        <v>47</v>
      </c>
      <c r="H2" s="15" t="s">
        <v>50</v>
      </c>
    </row>
    <row r="3" spans="1:8">
      <c r="A3" s="3" t="s">
        <v>51</v>
      </c>
      <c r="B3" s="1">
        <f>52*5/12</f>
        <v>21.666666666666668</v>
      </c>
      <c r="C3" s="17">
        <f>$B$3*2</f>
        <v>43.333333333333336</v>
      </c>
      <c r="D3" s="17">
        <f>$B$3*3</f>
        <v>65</v>
      </c>
      <c r="E3" s="17">
        <f>$B$3*4</f>
        <v>86.666666666666671</v>
      </c>
      <c r="F3" s="17">
        <f>$B$3*5</f>
        <v>108.33333333333334</v>
      </c>
      <c r="G3" s="17">
        <f>$B$3*6</f>
        <v>130</v>
      </c>
      <c r="H3" s="17">
        <f>$B$3*7</f>
        <v>151.66666666666669</v>
      </c>
    </row>
    <row r="4" spans="1:8">
      <c r="A4" s="3" t="s">
        <v>87</v>
      </c>
      <c r="B4" s="1">
        <f>52*4/12</f>
        <v>17.333333333333332</v>
      </c>
      <c r="C4" s="17">
        <f>$B$4*2</f>
        <v>34.666666666666664</v>
      </c>
      <c r="D4" s="17">
        <f>$B$4*3</f>
        <v>52</v>
      </c>
      <c r="E4" s="17">
        <f>$B$4*4</f>
        <v>69.333333333333329</v>
      </c>
      <c r="F4" s="17">
        <f>$B$4*5</f>
        <v>86.666666666666657</v>
      </c>
      <c r="G4" s="17">
        <f>$B$4*6</f>
        <v>104</v>
      </c>
      <c r="H4" s="17">
        <f>$B$4*7</f>
        <v>121.33333333333333</v>
      </c>
    </row>
    <row r="5" spans="1:8">
      <c r="A5" s="3" t="s">
        <v>52</v>
      </c>
      <c r="B5" s="1">
        <f>52*3/12</f>
        <v>13</v>
      </c>
      <c r="C5" s="17">
        <f>$B$5*2</f>
        <v>26</v>
      </c>
      <c r="D5" s="17">
        <f>$B$5*3</f>
        <v>39</v>
      </c>
      <c r="E5" s="17">
        <f>$B$5*4</f>
        <v>52</v>
      </c>
      <c r="F5" s="17">
        <f>$B$5*5</f>
        <v>65</v>
      </c>
      <c r="G5" s="17">
        <f>$B$5*6</f>
        <v>78</v>
      </c>
      <c r="H5" s="17">
        <f>$B$5*7</f>
        <v>91</v>
      </c>
    </row>
    <row r="6" spans="1:8">
      <c r="A6" s="3" t="s">
        <v>53</v>
      </c>
      <c r="B6" s="1">
        <f>52*2/12</f>
        <v>8.6666666666666661</v>
      </c>
      <c r="C6" s="18">
        <f>$B$6*2</f>
        <v>17.333333333333332</v>
      </c>
      <c r="D6" s="18">
        <f>$B$6*3</f>
        <v>26</v>
      </c>
      <c r="E6" s="18">
        <f>$B$6*4</f>
        <v>34.666666666666664</v>
      </c>
      <c r="F6" s="18">
        <f>$B$6*5</f>
        <v>43.333333333333329</v>
      </c>
      <c r="G6" s="18">
        <f>$B$6*6</f>
        <v>52</v>
      </c>
      <c r="H6" s="18">
        <f>$B$6*7</f>
        <v>60.666666666666664</v>
      </c>
    </row>
    <row r="7" spans="1:8">
      <c r="A7" s="3" t="s">
        <v>21</v>
      </c>
      <c r="B7" s="1">
        <f>52/12</f>
        <v>4.333333333333333</v>
      </c>
      <c r="C7" s="18">
        <f>$B$7*2</f>
        <v>8.6666666666666661</v>
      </c>
      <c r="D7" s="18">
        <f>$B$7*3</f>
        <v>13</v>
      </c>
      <c r="E7" s="18">
        <f>$B$7*4</f>
        <v>17.333333333333332</v>
      </c>
      <c r="F7" s="18">
        <f>$B$7*5</f>
        <v>21.666666666666664</v>
      </c>
      <c r="G7" s="18">
        <f>$B$7*6</f>
        <v>26</v>
      </c>
      <c r="H7" s="18">
        <f>$B$7*7</f>
        <v>30.333333333333332</v>
      </c>
    </row>
    <row r="8" spans="1:8">
      <c r="A8" s="3" t="s">
        <v>23</v>
      </c>
      <c r="B8" s="1">
        <f>26/12</f>
        <v>2.1666666666666665</v>
      </c>
      <c r="C8" s="18">
        <f>$B$8*2</f>
        <v>4.333333333333333</v>
      </c>
      <c r="D8" s="18">
        <f>$B$8*3</f>
        <v>6.5</v>
      </c>
      <c r="E8" s="18">
        <f>$B$8*4</f>
        <v>8.6666666666666661</v>
      </c>
      <c r="F8" s="18">
        <f>$B$8*5</f>
        <v>10.833333333333332</v>
      </c>
      <c r="G8" s="18">
        <f>$B$8*6</f>
        <v>13</v>
      </c>
      <c r="H8" s="18">
        <f>$B$8*7</f>
        <v>15.166666666666666</v>
      </c>
    </row>
    <row r="9" spans="1:8">
      <c r="A9" s="3" t="s">
        <v>22</v>
      </c>
      <c r="B9" s="1">
        <f>12/12</f>
        <v>1</v>
      </c>
      <c r="C9" s="18">
        <f>$B$9*2</f>
        <v>2</v>
      </c>
      <c r="D9" s="18">
        <f>$B$9*3</f>
        <v>3</v>
      </c>
      <c r="E9" s="18">
        <f>$B$9*4</f>
        <v>4</v>
      </c>
      <c r="F9" s="18">
        <f>$B$9*5</f>
        <v>5</v>
      </c>
      <c r="G9" s="18">
        <f>$B$9*6</f>
        <v>6</v>
      </c>
      <c r="H9" s="18">
        <f>$B$9*7</f>
        <v>7</v>
      </c>
    </row>
    <row r="10" spans="1:8">
      <c r="B10" s="1"/>
      <c r="C10" s="18"/>
      <c r="D10" s="18"/>
      <c r="E10" s="18"/>
      <c r="F10" s="18"/>
      <c r="G10" s="18"/>
      <c r="H10" s="18"/>
    </row>
    <row r="11" spans="1:8">
      <c r="A11" s="179" t="s">
        <v>10</v>
      </c>
      <c r="B11" s="179"/>
      <c r="C11" s="18"/>
      <c r="D11" s="18"/>
      <c r="E11" s="18"/>
      <c r="F11" s="18"/>
      <c r="G11" s="18"/>
      <c r="H11" s="18"/>
    </row>
    <row r="12" spans="1:8">
      <c r="A12" s="2" t="s">
        <v>49</v>
      </c>
      <c r="B12" s="28" t="s">
        <v>79</v>
      </c>
      <c r="C12" s="18"/>
      <c r="D12" s="18"/>
      <c r="E12" s="18"/>
      <c r="F12" s="18"/>
      <c r="G12" s="18"/>
      <c r="H12" s="18"/>
    </row>
    <row r="13" spans="1:8">
      <c r="A13" s="19" t="s">
        <v>80</v>
      </c>
      <c r="B13" s="11">
        <v>20</v>
      </c>
      <c r="C13" s="18"/>
      <c r="D13" s="18"/>
      <c r="E13" s="18"/>
      <c r="F13" s="18"/>
      <c r="G13" s="18"/>
      <c r="H13" s="18"/>
    </row>
    <row r="14" spans="1:8">
      <c r="A14" s="19" t="s">
        <v>55</v>
      </c>
      <c r="B14" s="11">
        <v>34</v>
      </c>
      <c r="C14" s="18"/>
      <c r="D14" s="18"/>
      <c r="E14" s="18"/>
      <c r="F14" s="18"/>
      <c r="G14" s="18"/>
      <c r="H14" s="18"/>
    </row>
    <row r="15" spans="1:8">
      <c r="A15" s="19" t="s">
        <v>56</v>
      </c>
      <c r="B15" s="11">
        <v>51</v>
      </c>
      <c r="C15" s="18"/>
      <c r="D15" s="18"/>
      <c r="E15" s="18"/>
      <c r="F15" s="18"/>
      <c r="G15" s="18"/>
      <c r="H15" s="18"/>
    </row>
    <row r="16" spans="1:8">
      <c r="A16" s="19" t="s">
        <v>57</v>
      </c>
      <c r="B16" s="11">
        <v>77</v>
      </c>
      <c r="C16" s="18"/>
      <c r="D16" s="18"/>
      <c r="E16" s="18"/>
      <c r="F16" s="3" t="s">
        <v>19</v>
      </c>
      <c r="G16" s="11">
        <v>2000</v>
      </c>
      <c r="H16" s="18"/>
    </row>
    <row r="17" spans="1:8">
      <c r="A17" s="19" t="s">
        <v>58</v>
      </c>
      <c r="B17" s="11">
        <v>97</v>
      </c>
      <c r="C17" s="18"/>
      <c r="D17" s="18"/>
      <c r="E17" s="18"/>
      <c r="F17" s="3" t="s">
        <v>20</v>
      </c>
      <c r="G17" s="20" t="s">
        <v>43</v>
      </c>
      <c r="H17" s="18"/>
    </row>
    <row r="18" spans="1:8">
      <c r="A18" s="19" t="s">
        <v>59</v>
      </c>
      <c r="B18" s="11">
        <v>117</v>
      </c>
      <c r="C18" s="18"/>
      <c r="D18" s="18"/>
      <c r="E18" s="18"/>
      <c r="H18" s="18"/>
    </row>
    <row r="19" spans="1:8">
      <c r="A19" s="19" t="s">
        <v>60</v>
      </c>
      <c r="B19" s="11">
        <v>157</v>
      </c>
      <c r="C19" s="18"/>
      <c r="D19" s="18"/>
      <c r="E19" s="18"/>
      <c r="F19" s="13"/>
      <c r="G19" s="14"/>
      <c r="H19" s="18"/>
    </row>
    <row r="20" spans="1:8">
      <c r="A20" s="19" t="s">
        <v>94</v>
      </c>
      <c r="B20" s="11">
        <v>37</v>
      </c>
      <c r="C20" s="18" t="s">
        <v>81</v>
      </c>
      <c r="D20" s="18"/>
      <c r="E20" s="18"/>
      <c r="F20" s="13"/>
      <c r="G20" s="14"/>
      <c r="H20" s="18"/>
    </row>
    <row r="21" spans="1:8">
      <c r="A21" s="19" t="s">
        <v>61</v>
      </c>
      <c r="B21" s="11">
        <v>47</v>
      </c>
      <c r="C21" s="18"/>
      <c r="D21" s="18"/>
      <c r="E21" s="18"/>
      <c r="F21" s="18"/>
      <c r="G21" s="18"/>
      <c r="H21" s="18"/>
    </row>
    <row r="22" spans="1:8">
      <c r="A22" s="19" t="s">
        <v>62</v>
      </c>
      <c r="B22" s="11">
        <v>68</v>
      </c>
      <c r="C22" s="18"/>
      <c r="D22" s="18"/>
      <c r="E22" s="18"/>
      <c r="F22" s="18"/>
      <c r="G22" s="18"/>
      <c r="H22" s="18"/>
    </row>
    <row r="23" spans="1:8">
      <c r="A23" s="19" t="s">
        <v>63</v>
      </c>
      <c r="B23" s="11">
        <v>34</v>
      </c>
      <c r="C23" s="18"/>
      <c r="D23" s="18"/>
      <c r="E23" s="18"/>
      <c r="F23" s="18"/>
      <c r="G23" s="18"/>
      <c r="H23" s="18"/>
    </row>
    <row r="24" spans="1:8">
      <c r="A24" s="19" t="s">
        <v>31</v>
      </c>
      <c r="B24" s="11">
        <v>34</v>
      </c>
      <c r="C24" s="18"/>
      <c r="D24" s="18"/>
      <c r="E24" s="18"/>
      <c r="F24" s="18"/>
      <c r="G24" s="18"/>
      <c r="H24" s="18"/>
    </row>
    <row r="25" spans="1:8">
      <c r="A25" s="2" t="s">
        <v>64</v>
      </c>
      <c r="B25" s="11"/>
      <c r="C25" s="18"/>
      <c r="D25" s="18"/>
      <c r="E25" s="18"/>
      <c r="F25" s="18"/>
      <c r="G25" s="18"/>
      <c r="H25" s="18"/>
    </row>
    <row r="26" spans="1:8">
      <c r="A26" s="19" t="s">
        <v>65</v>
      </c>
      <c r="B26" s="11">
        <v>29</v>
      </c>
      <c r="C26" s="18"/>
      <c r="D26" s="18"/>
      <c r="E26" s="18"/>
      <c r="F26" s="18"/>
      <c r="G26" s="18"/>
      <c r="H26" s="18"/>
    </row>
    <row r="27" spans="1:8">
      <c r="A27" s="19" t="s">
        <v>66</v>
      </c>
      <c r="B27" s="11">
        <v>175</v>
      </c>
      <c r="C27" s="18"/>
      <c r="D27" s="18"/>
      <c r="E27" s="18"/>
      <c r="F27" s="18"/>
      <c r="G27" s="18"/>
      <c r="H27" s="18"/>
    </row>
    <row r="28" spans="1:8">
      <c r="A28" s="19" t="s">
        <v>67</v>
      </c>
      <c r="B28" s="11">
        <v>250</v>
      </c>
      <c r="C28" s="18"/>
      <c r="D28" s="18"/>
      <c r="E28" s="18"/>
      <c r="F28" s="18"/>
      <c r="G28" s="18"/>
      <c r="H28" s="18"/>
    </row>
    <row r="29" spans="1:8">
      <c r="A29" s="19" t="s">
        <v>68</v>
      </c>
      <c r="B29" s="11">
        <v>324</v>
      </c>
      <c r="C29" s="18"/>
      <c r="D29" s="18"/>
      <c r="E29" s="18"/>
      <c r="F29" s="18"/>
      <c r="G29" s="18"/>
      <c r="H29" s="18"/>
    </row>
    <row r="30" spans="1:8">
      <c r="A30" s="19" t="s">
        <v>69</v>
      </c>
      <c r="B30" s="11">
        <v>473</v>
      </c>
      <c r="C30" s="18"/>
      <c r="D30" s="18"/>
      <c r="E30" s="18"/>
      <c r="F30" s="18"/>
      <c r="G30" s="18"/>
      <c r="H30" s="18"/>
    </row>
    <row r="31" spans="1:8">
      <c r="A31" s="19" t="s">
        <v>70</v>
      </c>
      <c r="B31" s="11">
        <v>613</v>
      </c>
      <c r="C31" s="18"/>
      <c r="D31" s="18"/>
      <c r="E31" s="18"/>
      <c r="F31" s="18"/>
      <c r="G31" s="18"/>
      <c r="H31" s="18"/>
    </row>
    <row r="32" spans="1:8">
      <c r="A32" s="19" t="s">
        <v>71</v>
      </c>
      <c r="B32" s="11">
        <v>840</v>
      </c>
      <c r="C32" s="18"/>
      <c r="D32" s="18"/>
      <c r="E32" s="18"/>
      <c r="F32" s="18"/>
      <c r="G32" s="18"/>
      <c r="H32" s="18"/>
    </row>
    <row r="33" spans="1:8">
      <c r="A33" s="19" t="s">
        <v>72</v>
      </c>
      <c r="B33" s="11">
        <v>980</v>
      </c>
      <c r="C33" s="18"/>
      <c r="D33" s="18"/>
      <c r="E33" s="18"/>
      <c r="F33" s="18"/>
      <c r="G33" s="18"/>
      <c r="H33" s="18"/>
    </row>
    <row r="34" spans="1:8">
      <c r="A34" s="19" t="s">
        <v>88</v>
      </c>
      <c r="B34" s="11">
        <v>482</v>
      </c>
      <c r="C34" s="18" t="s">
        <v>81</v>
      </c>
      <c r="D34" s="18"/>
      <c r="E34" s="18"/>
      <c r="F34" s="18"/>
      <c r="G34" s="18"/>
      <c r="H34" s="18"/>
    </row>
    <row r="35" spans="1:8">
      <c r="A35" s="19" t="s">
        <v>89</v>
      </c>
      <c r="B35" s="11">
        <v>689</v>
      </c>
      <c r="C35" s="18" t="s">
        <v>81</v>
      </c>
      <c r="D35" s="18"/>
      <c r="E35" s="18"/>
      <c r="F35" s="18"/>
      <c r="G35" s="18"/>
      <c r="H35" s="18"/>
    </row>
    <row r="36" spans="1:8">
      <c r="A36" s="19" t="s">
        <v>74</v>
      </c>
      <c r="B36" s="11">
        <v>892</v>
      </c>
      <c r="C36" s="18" t="s">
        <v>81</v>
      </c>
      <c r="D36" s="18"/>
      <c r="E36" s="18"/>
      <c r="F36" s="18"/>
      <c r="G36" s="18"/>
      <c r="H36" s="18"/>
    </row>
    <row r="37" spans="1:8">
      <c r="A37" s="19" t="s">
        <v>73</v>
      </c>
      <c r="B37" s="11">
        <v>1301</v>
      </c>
      <c r="C37" s="18"/>
      <c r="D37" s="18"/>
      <c r="E37" s="18"/>
      <c r="F37" s="18"/>
      <c r="G37" s="18"/>
      <c r="H37" s="18"/>
    </row>
    <row r="38" spans="1:8">
      <c r="A38" s="19" t="s">
        <v>75</v>
      </c>
      <c r="B38" s="11">
        <v>1686</v>
      </c>
      <c r="C38" s="18"/>
      <c r="D38" s="18"/>
      <c r="E38" s="18"/>
      <c r="F38" s="18"/>
      <c r="G38" s="18"/>
      <c r="H38" s="18"/>
    </row>
    <row r="39" spans="1:8">
      <c r="A39" s="19" t="s">
        <v>76</v>
      </c>
      <c r="B39" s="11">
        <v>2046</v>
      </c>
      <c r="C39" s="18"/>
      <c r="D39" s="18"/>
      <c r="E39" s="18"/>
      <c r="F39" s="18"/>
      <c r="G39" s="18"/>
      <c r="H39" s="18"/>
    </row>
    <row r="40" spans="1:8">
      <c r="A40" s="19" t="s">
        <v>77</v>
      </c>
      <c r="B40" s="11">
        <v>2310</v>
      </c>
      <c r="C40" s="18"/>
      <c r="D40" s="18"/>
      <c r="E40" s="18"/>
      <c r="F40" s="18"/>
      <c r="G40" s="18"/>
      <c r="H40" s="18"/>
    </row>
    <row r="41" spans="1:8">
      <c r="A41" s="19" t="s">
        <v>90</v>
      </c>
      <c r="B41" s="11">
        <v>2800</v>
      </c>
      <c r="C41" s="18" t="s">
        <v>81</v>
      </c>
      <c r="D41" s="18"/>
      <c r="E41" s="18"/>
      <c r="F41" s="18"/>
      <c r="G41" s="18"/>
      <c r="H41" s="18"/>
    </row>
    <row r="42" spans="1:8">
      <c r="A42" s="19" t="s">
        <v>78</v>
      </c>
      <c r="B42" s="11">
        <v>125</v>
      </c>
      <c r="C42" s="18"/>
      <c r="D42" s="18"/>
      <c r="E42" s="18"/>
      <c r="F42" s="18"/>
      <c r="G42" s="18"/>
      <c r="H42" s="18"/>
    </row>
    <row r="43" spans="1:8">
      <c r="B43" s="181" t="s">
        <v>92</v>
      </c>
      <c r="C43" s="181"/>
    </row>
    <row r="46" spans="1:8">
      <c r="A46" s="27" t="s">
        <v>191</v>
      </c>
      <c r="B46" s="25" t="s">
        <v>5</v>
      </c>
      <c r="C46" s="25" t="s">
        <v>6</v>
      </c>
      <c r="F46" s="180" t="s">
        <v>26</v>
      </c>
      <c r="G46" s="180"/>
    </row>
    <row r="47" spans="1:8">
      <c r="A47" s="21" t="s">
        <v>7</v>
      </c>
      <c r="B47" s="6">
        <v>96.3</v>
      </c>
      <c r="C47" s="5">
        <f>B47/2000</f>
        <v>4.8149999999999998E-2</v>
      </c>
      <c r="F47" s="3" t="s">
        <v>27</v>
      </c>
      <c r="G47" s="162">
        <f>0.015</f>
        <v>1.4999999999999999E-2</v>
      </c>
    </row>
    <row r="48" spans="1:8">
      <c r="A48" s="21" t="s">
        <v>8</v>
      </c>
      <c r="B48" s="7">
        <v>99.2</v>
      </c>
      <c r="C48" s="8">
        <f>B48/2000</f>
        <v>4.9599999999999998E-2</v>
      </c>
      <c r="F48" s="3" t="s">
        <v>28</v>
      </c>
      <c r="G48" s="163">
        <f>0.0051</f>
        <v>5.1000000000000004E-3</v>
      </c>
    </row>
    <row r="49" spans="1:7">
      <c r="A49" s="19" t="s">
        <v>9</v>
      </c>
      <c r="B49" s="6">
        <f>B48-B47</f>
        <v>2.9000000000000057</v>
      </c>
      <c r="C49" s="10">
        <f>C48-C47</f>
        <v>1.4499999999999999E-3</v>
      </c>
      <c r="F49" s="3" t="s">
        <v>48</v>
      </c>
      <c r="G49" s="9"/>
    </row>
    <row r="50" spans="1:7">
      <c r="F50" s="3" t="s">
        <v>16</v>
      </c>
      <c r="G50" s="22">
        <f>SUM(G47:G49)</f>
        <v>2.01E-2</v>
      </c>
    </row>
    <row r="51" spans="1:7">
      <c r="B51" s="26" t="s">
        <v>93</v>
      </c>
    </row>
    <row r="52" spans="1:7">
      <c r="A52" s="3" t="s">
        <v>3</v>
      </c>
      <c r="B52" s="23">
        <f>B49</f>
        <v>2.9000000000000057</v>
      </c>
      <c r="F52" s="3" t="s">
        <v>29</v>
      </c>
      <c r="G52" s="24">
        <f>1-G50</f>
        <v>0.97989999999999999</v>
      </c>
    </row>
    <row r="53" spans="1:7">
      <c r="A53" s="3" t="s">
        <v>25</v>
      </c>
      <c r="B53" s="23">
        <f>B52/$G$52</f>
        <v>2.9594856618022307</v>
      </c>
    </row>
    <row r="54" spans="1:7">
      <c r="A54" s="3" t="s">
        <v>24</v>
      </c>
      <c r="B54" s="12">
        <f>'Disposal Increase Calculations'!D119</f>
        <v>6618.43</v>
      </c>
    </row>
    <row r="55" spans="1:7">
      <c r="A55" s="2" t="s">
        <v>30</v>
      </c>
      <c r="B55" s="4">
        <f>B53*B54</f>
        <v>19587.148688641737</v>
      </c>
    </row>
    <row r="58" spans="1:7" ht="15.75" thickBot="1"/>
    <row r="59" spans="1:7">
      <c r="A59" s="88" t="s">
        <v>84</v>
      </c>
      <c r="B59" s="89" t="s">
        <v>82</v>
      </c>
      <c r="D59" s="23"/>
    </row>
    <row r="60" spans="1:7">
      <c r="A60" s="90" t="s">
        <v>83</v>
      </c>
      <c r="B60" s="91">
        <f>+'Disposal Increase Calculations'!Q76</f>
        <v>19587.14868864177</v>
      </c>
    </row>
    <row r="61" spans="1:7">
      <c r="A61" s="90" t="s">
        <v>12</v>
      </c>
      <c r="B61" s="91">
        <f>B60-B55</f>
        <v>3.2741809263825417E-11</v>
      </c>
    </row>
    <row r="62" spans="1:7">
      <c r="A62" s="90"/>
      <c r="B62" s="92"/>
    </row>
    <row r="63" spans="1:7">
      <c r="A63" s="93" t="s">
        <v>85</v>
      </c>
      <c r="B63" s="94" t="s">
        <v>82</v>
      </c>
    </row>
    <row r="64" spans="1:7">
      <c r="A64" s="90" t="s">
        <v>44</v>
      </c>
      <c r="B64" s="95">
        <f>'Disposal Increase Calculations'!Q76</f>
        <v>19587.14868864177</v>
      </c>
    </row>
    <row r="65" spans="1:3" ht="15.75" thickBot="1">
      <c r="A65" s="96" t="s">
        <v>12</v>
      </c>
      <c r="B65" s="97">
        <f>B64-B55</f>
        <v>3.2741809263825417E-11</v>
      </c>
      <c r="C65" s="23">
        <f>B61-B65</f>
        <v>0</v>
      </c>
    </row>
  </sheetData>
  <mergeCells count="4">
    <mergeCell ref="A1:H1"/>
    <mergeCell ref="F46:G46"/>
    <mergeCell ref="A11:B11"/>
    <mergeCell ref="B43:C43"/>
  </mergeCells>
  <phoneticPr fontId="0" type="noConversion"/>
  <pageMargins left="0.28000000000000003" right="0.52" top="0.75" bottom="0.75" header="0.3" footer="0.3"/>
  <pageSetup scale="72" orientation="portrait" r:id="rId1"/>
  <headerFooter>
    <oddHeader>&amp;C&amp;"-,Bold"&amp;12Basin Disposal of Walla Walla 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148"/>
  <sheetViews>
    <sheetView tabSelected="1" zoomScale="70" zoomScaleNormal="70" workbookViewId="0">
      <pane xSplit="3" ySplit="4" topLeftCell="F5" activePane="bottomRight" state="frozen"/>
      <selection pane="topRight" activeCell="D1" sqref="D1"/>
      <selection pane="bottomLeft" activeCell="A6" sqref="A6"/>
      <selection pane="bottomRight" activeCell="Y87" sqref="Y87"/>
    </sheetView>
  </sheetViews>
  <sheetFormatPr defaultColWidth="8.85546875" defaultRowHeight="15"/>
  <cols>
    <col min="1" max="1" width="4.5703125" style="57" customWidth="1"/>
    <col min="2" max="2" width="10.85546875" style="61" bestFit="1" customWidth="1"/>
    <col min="3" max="3" width="35.5703125" style="57" bestFit="1" customWidth="1"/>
    <col min="4" max="4" width="18.85546875" style="58" customWidth="1"/>
    <col min="5" max="5" width="10.42578125" style="57" customWidth="1"/>
    <col min="6" max="6" width="18.7109375" style="57" bestFit="1" customWidth="1"/>
    <col min="7" max="7" width="15.140625" style="57" customWidth="1"/>
    <col min="8" max="8" width="21.42578125" style="57" customWidth="1"/>
    <col min="9" max="9" width="16.28515625" style="56" customWidth="1"/>
    <col min="10" max="11" width="12.28515625" style="57" customWidth="1"/>
    <col min="12" max="12" width="10.7109375" style="57" customWidth="1"/>
    <col min="13" max="13" width="16.5703125" style="57" customWidth="1"/>
    <col min="14" max="14" width="15.42578125" style="57" customWidth="1"/>
    <col min="15" max="15" width="21.140625" style="57" bestFit="1" customWidth="1"/>
    <col min="16" max="16" width="23.85546875" style="57" bestFit="1" customWidth="1"/>
    <col min="17" max="17" width="16" style="57" customWidth="1"/>
    <col min="18" max="18" width="3.7109375" style="57" customWidth="1"/>
    <col min="19" max="19" width="13" style="57" customWidth="1"/>
    <col min="20" max="20" width="16" style="57" customWidth="1"/>
    <col min="21" max="21" width="25" style="57" bestFit="1" customWidth="1"/>
    <col min="22" max="22" width="16" style="57" customWidth="1"/>
    <col min="23" max="23" width="8.85546875" style="57"/>
    <col min="24" max="24" width="13.5703125" style="57" customWidth="1"/>
    <col min="25" max="27" width="8.85546875" style="57"/>
    <col min="28" max="28" width="10.7109375" style="57" bestFit="1" customWidth="1"/>
    <col min="29" max="16384" width="8.85546875" style="57"/>
  </cols>
  <sheetData>
    <row r="2" spans="1:25">
      <c r="M2" s="182" t="s">
        <v>196</v>
      </c>
      <c r="N2" s="182"/>
      <c r="O2" s="182"/>
      <c r="P2" s="182"/>
      <c r="Q2" s="182"/>
      <c r="S2" s="183" t="s">
        <v>197</v>
      </c>
    </row>
    <row r="3" spans="1:25">
      <c r="M3" s="182"/>
      <c r="N3" s="182"/>
      <c r="O3" s="182"/>
      <c r="P3" s="182"/>
      <c r="Q3" s="182"/>
      <c r="S3" s="183"/>
    </row>
    <row r="4" spans="1:25" ht="75">
      <c r="A4" s="27"/>
      <c r="B4" s="82" t="s">
        <v>15</v>
      </c>
      <c r="C4" s="83" t="s">
        <v>17</v>
      </c>
      <c r="D4" s="82" t="s">
        <v>37</v>
      </c>
      <c r="E4" s="82" t="s">
        <v>0</v>
      </c>
      <c r="F4" s="27" t="s">
        <v>1</v>
      </c>
      <c r="G4" s="82" t="s">
        <v>10</v>
      </c>
      <c r="H4" s="82" t="s">
        <v>34</v>
      </c>
      <c r="I4" s="104" t="s">
        <v>35</v>
      </c>
      <c r="J4" s="102" t="s">
        <v>9</v>
      </c>
      <c r="K4" s="82" t="s">
        <v>2</v>
      </c>
      <c r="L4" s="82" t="s">
        <v>38</v>
      </c>
      <c r="M4" s="82" t="s">
        <v>189</v>
      </c>
      <c r="N4" s="82" t="s">
        <v>188</v>
      </c>
      <c r="O4" s="82" t="s">
        <v>36</v>
      </c>
      <c r="P4" s="82" t="s">
        <v>190</v>
      </c>
      <c r="Q4" s="82" t="s">
        <v>39</v>
      </c>
      <c r="R4" s="166"/>
      <c r="S4" s="171">
        <f>0.0175-0.015</f>
        <v>2.5000000000000022E-3</v>
      </c>
      <c r="T4" s="82" t="s">
        <v>198</v>
      </c>
      <c r="U4" s="82" t="s">
        <v>199</v>
      </c>
      <c r="V4" s="82" t="s">
        <v>200</v>
      </c>
    </row>
    <row r="5" spans="1:25" s="59" customFormat="1" ht="15" customHeight="1">
      <c r="A5" s="184" t="s">
        <v>13</v>
      </c>
      <c r="B5" s="108">
        <v>20</v>
      </c>
      <c r="C5" s="63" t="s">
        <v>195</v>
      </c>
      <c r="D5" s="109"/>
      <c r="E5" s="69"/>
      <c r="F5" s="68"/>
      <c r="G5" s="139"/>
      <c r="H5" s="70"/>
      <c r="I5" s="103"/>
      <c r="J5" s="72"/>
      <c r="K5" s="72"/>
      <c r="L5" s="67"/>
      <c r="M5" s="153"/>
      <c r="N5" s="147"/>
      <c r="O5" s="67"/>
      <c r="P5" s="67"/>
      <c r="Q5" s="67"/>
      <c r="R5" s="167"/>
      <c r="S5" s="71"/>
      <c r="T5" s="173"/>
      <c r="U5" s="71"/>
      <c r="V5" s="71"/>
    </row>
    <row r="6" spans="1:25" s="59" customFormat="1" ht="15" customHeight="1">
      <c r="A6" s="185"/>
      <c r="B6" s="108">
        <v>20</v>
      </c>
      <c r="C6" s="42" t="s">
        <v>95</v>
      </c>
      <c r="D6" s="109">
        <v>1125</v>
      </c>
      <c r="E6" s="69">
        <f>References!$B$7</f>
        <v>4.333333333333333</v>
      </c>
      <c r="F6" s="68">
        <f>D6*E6*12</f>
        <v>58500</v>
      </c>
      <c r="G6" s="139">
        <f>References!B21</f>
        <v>47</v>
      </c>
      <c r="H6" s="70">
        <f>F6*G6</f>
        <v>2749500</v>
      </c>
      <c r="I6" s="103">
        <f>$D$122*H6</f>
        <v>1763516.5056267735</v>
      </c>
      <c r="J6" s="72">
        <f>(References!$C$49*I6)</f>
        <v>2557.0989331588212</v>
      </c>
      <c r="K6" s="72">
        <f>J6/References!$G$52</f>
        <v>2609.5509063769987</v>
      </c>
      <c r="L6" s="67">
        <f>K6/F6*E6</f>
        <v>0.19330006713903694</v>
      </c>
      <c r="M6" s="153">
        <v>21.5</v>
      </c>
      <c r="N6" s="147">
        <f>L6+M6</f>
        <v>21.693300067139038</v>
      </c>
      <c r="O6" s="67">
        <f>D6*M6*12</f>
        <v>290250</v>
      </c>
      <c r="P6" s="67">
        <f>D6*N6*12</f>
        <v>292859.55090637703</v>
      </c>
      <c r="Q6" s="67">
        <f>+P6-O6</f>
        <v>2609.5509063770296</v>
      </c>
      <c r="R6" s="167"/>
      <c r="S6" s="172">
        <f>N6/(1-$S$4)-N6</f>
        <v>5.4369173100596413E-2</v>
      </c>
      <c r="T6" s="173">
        <f>N6+S6</f>
        <v>21.747669240239635</v>
      </c>
      <c r="U6" s="176">
        <f>D6*T6*12</f>
        <v>293593.5347432351</v>
      </c>
      <c r="V6" s="176">
        <f>U6-P6</f>
        <v>733.98383685806766</v>
      </c>
      <c r="W6" s="48"/>
    </row>
    <row r="7" spans="1:25" s="59" customFormat="1">
      <c r="A7" s="185"/>
      <c r="B7" s="108">
        <v>20</v>
      </c>
      <c r="C7" s="42" t="s">
        <v>96</v>
      </c>
      <c r="D7" s="109">
        <v>195</v>
      </c>
      <c r="E7" s="69">
        <f>References!$B$7</f>
        <v>4.333333333333333</v>
      </c>
      <c r="F7" s="68">
        <f t="shared" ref="F7:F13" si="0">D7*E7*12</f>
        <v>10139.999999999998</v>
      </c>
      <c r="G7" s="139">
        <f>References!B14</f>
        <v>34</v>
      </c>
      <c r="H7" s="68">
        <f t="shared" ref="H7:H13" si="1">F7*G7</f>
        <v>344759.99999999994</v>
      </c>
      <c r="I7" s="44">
        <f>$D$122*H7</f>
        <v>221127.45971263369</v>
      </c>
      <c r="J7" s="67">
        <f>(References!$C$49*I7)</f>
        <v>320.63481658331881</v>
      </c>
      <c r="K7" s="67">
        <f>J7/References!$G$52</f>
        <v>327.21177322514421</v>
      </c>
      <c r="L7" s="67">
        <f>K7/F7*E7</f>
        <v>0.13983409112185652</v>
      </c>
      <c r="M7" s="153">
        <v>16.25</v>
      </c>
      <c r="N7" s="147">
        <f>L7+M7</f>
        <v>16.389834091121855</v>
      </c>
      <c r="O7" s="67">
        <f>D7*M7*12</f>
        <v>38025</v>
      </c>
      <c r="P7" s="67">
        <f>D7*N7*12</f>
        <v>38352.211773225143</v>
      </c>
      <c r="Q7" s="67">
        <f t="shared" ref="Q7:Q13" si="2">+P7-O7</f>
        <v>327.21177322514268</v>
      </c>
      <c r="R7" s="167"/>
      <c r="S7" s="172">
        <f t="shared" ref="S7:S13" si="3">N7/(1-$S$4)-N7</f>
        <v>4.1077278423863106E-2</v>
      </c>
      <c r="T7" s="173">
        <f t="shared" ref="T7:T13" si="4">N7+S7</f>
        <v>16.430911369545719</v>
      </c>
      <c r="U7" s="176">
        <f>D7*T7*12</f>
        <v>38448.332604736977</v>
      </c>
      <c r="V7" s="176">
        <f t="shared" ref="V7:V13" si="5">U7-P7</f>
        <v>96.120831511834695</v>
      </c>
      <c r="W7" s="48"/>
    </row>
    <row r="8" spans="1:25" s="59" customFormat="1">
      <c r="A8" s="185"/>
      <c r="B8" s="108">
        <v>20</v>
      </c>
      <c r="C8" s="42" t="s">
        <v>97</v>
      </c>
      <c r="D8" s="109">
        <v>1</v>
      </c>
      <c r="E8" s="69">
        <f>References!$B$9</f>
        <v>1</v>
      </c>
      <c r="F8" s="68">
        <f t="shared" si="0"/>
        <v>12</v>
      </c>
      <c r="G8" s="139">
        <f>References!B21</f>
        <v>47</v>
      </c>
      <c r="H8" s="68">
        <f t="shared" si="1"/>
        <v>564</v>
      </c>
      <c r="I8" s="44">
        <f>$D$122*H8</f>
        <v>361.74697551318428</v>
      </c>
      <c r="J8" s="67">
        <f>(References!$C$49*I8)</f>
        <v>0.52453311449411721</v>
      </c>
      <c r="K8" s="67">
        <f>J8/References!$G$52</f>
        <v>0.53529249361579467</v>
      </c>
      <c r="L8" s="67">
        <f t="shared" ref="L8:L13" si="6">K8/F8*E8</f>
        <v>4.4607707801316225E-2</v>
      </c>
      <c r="M8" s="153">
        <v>6.12</v>
      </c>
      <c r="N8" s="147">
        <f t="shared" ref="N8:N43" si="7">L8+M8</f>
        <v>6.1646077078013164</v>
      </c>
      <c r="O8" s="67">
        <f>D8*M8*12</f>
        <v>73.44</v>
      </c>
      <c r="P8" s="67">
        <f>D8*N8*12</f>
        <v>73.975292493615797</v>
      </c>
      <c r="Q8" s="67">
        <f t="shared" si="2"/>
        <v>0.535292493615799</v>
      </c>
      <c r="R8" s="167"/>
      <c r="S8" s="172">
        <f t="shared" si="3"/>
        <v>1.5450144631080853E-2</v>
      </c>
      <c r="T8" s="173">
        <f t="shared" si="4"/>
        <v>6.1800578524323972</v>
      </c>
      <c r="U8" s="176">
        <f>D8*T8*12</f>
        <v>74.160694229188763</v>
      </c>
      <c r="V8" s="176">
        <f t="shared" si="5"/>
        <v>0.18540173557296669</v>
      </c>
      <c r="W8" s="48"/>
    </row>
    <row r="9" spans="1:25" s="59" customFormat="1">
      <c r="A9" s="185"/>
      <c r="B9" s="108">
        <v>20</v>
      </c>
      <c r="C9" s="42" t="s">
        <v>98</v>
      </c>
      <c r="D9" s="109">
        <v>1</v>
      </c>
      <c r="E9" s="69">
        <f>References!$B$9</f>
        <v>1</v>
      </c>
      <c r="F9" s="68">
        <f t="shared" si="0"/>
        <v>12</v>
      </c>
      <c r="G9" s="139">
        <f>References!B22</f>
        <v>68</v>
      </c>
      <c r="H9" s="68">
        <f t="shared" si="1"/>
        <v>816</v>
      </c>
      <c r="I9" s="44">
        <f>$D$122*H9</f>
        <v>523.37860287013893</v>
      </c>
      <c r="J9" s="67">
        <f>(References!$C$49*I9)</f>
        <v>0.75889897416170138</v>
      </c>
      <c r="K9" s="67">
        <f>J9/References!$G$52</f>
        <v>0.77446573544412833</v>
      </c>
      <c r="L9" s="67">
        <f>K9/F9*E9</f>
        <v>6.4538811287010694E-2</v>
      </c>
      <c r="M9" s="153">
        <v>6.42</v>
      </c>
      <c r="N9" s="147">
        <f>L9+M9</f>
        <v>6.4845388112870106</v>
      </c>
      <c r="O9" s="67">
        <f>D9*M9*12</f>
        <v>77.039999999999992</v>
      </c>
      <c r="P9" s="67">
        <f>D9*N9*12</f>
        <v>77.814465735444131</v>
      </c>
      <c r="Q9" s="67">
        <f t="shared" si="2"/>
        <v>0.77446573544413866</v>
      </c>
      <c r="R9" s="167"/>
      <c r="S9" s="172">
        <f t="shared" si="3"/>
        <v>1.6251976970643511E-2</v>
      </c>
      <c r="T9" s="173">
        <f t="shared" si="4"/>
        <v>6.5007907882576541</v>
      </c>
      <c r="U9" s="176">
        <f t="shared" ref="U9:U13" si="8">D9*T9*12</f>
        <v>78.009489459091853</v>
      </c>
      <c r="V9" s="176">
        <f t="shared" si="5"/>
        <v>0.19502372364772214</v>
      </c>
      <c r="W9" s="48"/>
    </row>
    <row r="10" spans="1:25" s="59" customFormat="1">
      <c r="A10" s="185"/>
      <c r="B10" s="108">
        <v>20</v>
      </c>
      <c r="C10" s="42" t="s">
        <v>99</v>
      </c>
      <c r="D10" s="109">
        <v>2086</v>
      </c>
      <c r="E10" s="69">
        <f>References!$B$7</f>
        <v>4.333333333333333</v>
      </c>
      <c r="F10" s="68">
        <f t="shared" si="0"/>
        <v>108471.99999999999</v>
      </c>
      <c r="G10" s="139">
        <f>References!B22</f>
        <v>68</v>
      </c>
      <c r="H10" s="68">
        <f t="shared" si="1"/>
        <v>7376095.9999999991</v>
      </c>
      <c r="I10" s="44">
        <f>$D$122*H10</f>
        <v>4730993.6508774757</v>
      </c>
      <c r="J10" s="67">
        <f>(References!$C$49*I10)</f>
        <v>6859.940793772339</v>
      </c>
      <c r="K10" s="67">
        <f>J10/References!$G$52</f>
        <v>7000.6539379246242</v>
      </c>
      <c r="L10" s="67">
        <f>K10/F10*E10</f>
        <v>0.27966818224371304</v>
      </c>
      <c r="M10" s="153">
        <v>27.16</v>
      </c>
      <c r="N10" s="147">
        <f t="shared" si="7"/>
        <v>27.439668182243715</v>
      </c>
      <c r="O10" s="67">
        <f>D10*M10*12</f>
        <v>679869.12</v>
      </c>
      <c r="P10" s="67">
        <f>D10*N10*12</f>
        <v>686869.77393792465</v>
      </c>
      <c r="Q10" s="67">
        <f t="shared" si="2"/>
        <v>7000.6539379246533</v>
      </c>
      <c r="R10" s="167"/>
      <c r="S10" s="172">
        <f t="shared" si="3"/>
        <v>6.8771098201111158E-2</v>
      </c>
      <c r="T10" s="173">
        <f t="shared" si="4"/>
        <v>27.508439280444826</v>
      </c>
      <c r="U10" s="176">
        <f t="shared" si="8"/>
        <v>688591.25206809491</v>
      </c>
      <c r="V10" s="176">
        <f t="shared" si="5"/>
        <v>1721.4781301702606</v>
      </c>
      <c r="W10" s="48"/>
    </row>
    <row r="11" spans="1:25" s="59" customFormat="1">
      <c r="A11" s="185"/>
      <c r="B11" s="108">
        <v>20</v>
      </c>
      <c r="C11" s="63" t="s">
        <v>123</v>
      </c>
      <c r="D11" s="109"/>
      <c r="E11" s="69"/>
      <c r="F11" s="68"/>
      <c r="G11" s="139"/>
      <c r="H11" s="68"/>
      <c r="I11" s="44"/>
      <c r="J11" s="67"/>
      <c r="K11" s="67"/>
      <c r="L11" s="67"/>
      <c r="M11" s="152"/>
      <c r="N11" s="147"/>
      <c r="O11" s="67"/>
      <c r="P11" s="67"/>
      <c r="Q11" s="67"/>
      <c r="R11" s="167"/>
      <c r="S11" s="172"/>
      <c r="T11" s="173"/>
      <c r="U11" s="176"/>
      <c r="V11" s="176"/>
      <c r="W11" s="48"/>
    </row>
    <row r="12" spans="1:25" s="59" customFormat="1">
      <c r="A12" s="185"/>
      <c r="B12" s="108">
        <v>20</v>
      </c>
      <c r="C12" s="42" t="s">
        <v>95</v>
      </c>
      <c r="D12" s="109">
        <v>1</v>
      </c>
      <c r="E12" s="69">
        <f>References!$B$7</f>
        <v>4.333333333333333</v>
      </c>
      <c r="F12" s="68">
        <f t="shared" si="0"/>
        <v>52</v>
      </c>
      <c r="G12" s="139">
        <f>References!B21</f>
        <v>47</v>
      </c>
      <c r="H12" s="68">
        <f t="shared" si="1"/>
        <v>2444</v>
      </c>
      <c r="I12" s="44">
        <f>$D$122*H12</f>
        <v>1567.5702272237986</v>
      </c>
      <c r="J12" s="67">
        <f>(References!$C$49*I12)</f>
        <v>2.2729768294745076</v>
      </c>
      <c r="K12" s="67">
        <f>J12/References!$G$52</f>
        <v>2.3196008056684434</v>
      </c>
      <c r="L12" s="67">
        <f t="shared" si="6"/>
        <v>0.19330006713903694</v>
      </c>
      <c r="M12" s="153">
        <v>18.07</v>
      </c>
      <c r="N12" s="147">
        <f t="shared" si="7"/>
        <v>18.263300067139038</v>
      </c>
      <c r="O12" s="67">
        <f>D12*M12*12</f>
        <v>216.84</v>
      </c>
      <c r="P12" s="67">
        <f>D12*N12*12</f>
        <v>219.15960080566845</v>
      </c>
      <c r="Q12" s="67">
        <f t="shared" si="2"/>
        <v>2.3196008056684434</v>
      </c>
      <c r="R12" s="167"/>
      <c r="S12" s="172">
        <f t="shared" si="3"/>
        <v>4.5772681872527698E-2</v>
      </c>
      <c r="T12" s="173">
        <f t="shared" si="4"/>
        <v>18.309072749011566</v>
      </c>
      <c r="U12" s="176">
        <f t="shared" si="8"/>
        <v>219.70887298813881</v>
      </c>
      <c r="V12" s="176">
        <f t="shared" si="5"/>
        <v>0.5492721824703608</v>
      </c>
      <c r="W12" s="48"/>
    </row>
    <row r="13" spans="1:25" s="59" customFormat="1">
      <c r="A13" s="185"/>
      <c r="B13" s="108">
        <v>20</v>
      </c>
      <c r="C13" s="42" t="s">
        <v>97</v>
      </c>
      <c r="D13" s="109">
        <v>1</v>
      </c>
      <c r="E13" s="69">
        <f>References!$B$9</f>
        <v>1</v>
      </c>
      <c r="F13" s="68">
        <f t="shared" si="0"/>
        <v>12</v>
      </c>
      <c r="G13" s="139">
        <f>References!B21</f>
        <v>47</v>
      </c>
      <c r="H13" s="68">
        <f t="shared" si="1"/>
        <v>564</v>
      </c>
      <c r="I13" s="44">
        <f>$D$122*H13</f>
        <v>361.74697551318428</v>
      </c>
      <c r="J13" s="67">
        <f>(References!$C$49*I13)</f>
        <v>0.52453311449411721</v>
      </c>
      <c r="K13" s="67">
        <f>J13/References!$G$52</f>
        <v>0.53529249361579467</v>
      </c>
      <c r="L13" s="67">
        <f t="shared" si="6"/>
        <v>4.4607707801316225E-2</v>
      </c>
      <c r="M13" s="153">
        <v>4.09</v>
      </c>
      <c r="N13" s="147">
        <f t="shared" si="7"/>
        <v>4.1346077078013161</v>
      </c>
      <c r="O13" s="67">
        <f>D13*M13*12</f>
        <v>49.08</v>
      </c>
      <c r="P13" s="67">
        <f>D13*N13*12</f>
        <v>49.615292493615797</v>
      </c>
      <c r="Q13" s="67">
        <f t="shared" si="2"/>
        <v>0.535292493615799</v>
      </c>
      <c r="R13" s="167"/>
      <c r="S13" s="172">
        <f t="shared" si="3"/>
        <v>1.0362425332835379E-2</v>
      </c>
      <c r="T13" s="173">
        <f t="shared" si="4"/>
        <v>4.1449701331341515</v>
      </c>
      <c r="U13" s="176">
        <f t="shared" si="8"/>
        <v>49.739641597609818</v>
      </c>
      <c r="V13" s="176">
        <f t="shared" si="5"/>
        <v>0.12434910399402099</v>
      </c>
      <c r="W13" s="48"/>
    </row>
    <row r="14" spans="1:25" s="59" customFormat="1">
      <c r="A14" s="185"/>
      <c r="B14" s="45"/>
      <c r="C14" s="112"/>
      <c r="D14" s="113"/>
      <c r="E14" s="107"/>
      <c r="F14" s="68"/>
      <c r="G14" s="111"/>
      <c r="H14" s="68"/>
      <c r="I14" s="44"/>
      <c r="J14" s="67"/>
      <c r="K14" s="67"/>
      <c r="L14" s="67"/>
      <c r="M14" s="152"/>
      <c r="N14" s="147"/>
      <c r="O14" s="67"/>
      <c r="P14" s="67"/>
      <c r="Q14" s="67"/>
      <c r="R14" s="167"/>
      <c r="S14" s="71"/>
      <c r="T14" s="173"/>
      <c r="U14" s="176"/>
      <c r="V14" s="71"/>
      <c r="W14" s="48"/>
    </row>
    <row r="15" spans="1:25" s="59" customFormat="1">
      <c r="A15" s="46"/>
      <c r="B15" s="84"/>
      <c r="C15" s="47" t="s">
        <v>16</v>
      </c>
      <c r="D15" s="49">
        <f>SUM(D6:D14)</f>
        <v>3410</v>
      </c>
      <c r="E15" s="50"/>
      <c r="F15" s="51">
        <f>SUM(F6:F14)</f>
        <v>177200</v>
      </c>
      <c r="G15" s="52"/>
      <c r="H15" s="85">
        <f>SUM(H6:H14)</f>
        <v>10474744</v>
      </c>
      <c r="I15" s="53">
        <f>SUM(I6:I14)</f>
        <v>6718452.0589980027</v>
      </c>
      <c r="J15" s="74"/>
      <c r="K15" s="74"/>
      <c r="L15" s="74"/>
      <c r="M15" s="74"/>
      <c r="N15" s="74"/>
      <c r="O15" s="73">
        <f>SUM(O6:O14)</f>
        <v>1008560.5199999999</v>
      </c>
      <c r="P15" s="73">
        <f>SUM(P6:P14)</f>
        <v>1018502.1012690553</v>
      </c>
      <c r="Q15" s="73">
        <f>SUM(Q6:Q14)</f>
        <v>9941.581269055172</v>
      </c>
      <c r="R15" s="168"/>
      <c r="S15" s="164"/>
      <c r="T15" s="164"/>
      <c r="U15" s="177">
        <f>SUM(U6:U14)</f>
        <v>1021054.738114341</v>
      </c>
      <c r="V15" s="73">
        <f>SUM(V6:V14)</f>
        <v>2552.6368452858478</v>
      </c>
      <c r="W15" s="48"/>
      <c r="X15" s="178">
        <f>U15/O15-1</f>
        <v>1.2388168946312783E-2</v>
      </c>
      <c r="Y15" s="59" t="s">
        <v>201</v>
      </c>
    </row>
    <row r="16" spans="1:25" s="59" customFormat="1" ht="15" customHeight="1">
      <c r="A16" s="184" t="s">
        <v>14</v>
      </c>
      <c r="B16" s="45" t="s">
        <v>192</v>
      </c>
      <c r="C16" s="114" t="s">
        <v>101</v>
      </c>
      <c r="D16" s="56"/>
      <c r="E16" s="69"/>
      <c r="F16" s="115">
        <v>1872</v>
      </c>
      <c r="G16" s="139">
        <f>References!B26</f>
        <v>29</v>
      </c>
      <c r="H16" s="68">
        <f t="shared" ref="H16:H37" si="9">F16*G16</f>
        <v>54288</v>
      </c>
      <c r="I16" s="44">
        <f>$D$122*H16</f>
        <v>34820.07057918395</v>
      </c>
      <c r="J16" s="67">
        <f>(References!$C$49*I16)</f>
        <v>50.489102339816725</v>
      </c>
      <c r="K16" s="67">
        <f>J16/References!$G$52</f>
        <v>51.524749811018189</v>
      </c>
      <c r="L16" s="67">
        <f>K16/F16</f>
        <v>2.7523904813578092E-2</v>
      </c>
      <c r="M16" s="153">
        <v>3.35</v>
      </c>
      <c r="N16" s="147">
        <f t="shared" si="7"/>
        <v>3.3775239048135783</v>
      </c>
      <c r="O16" s="67">
        <f>F16*M16</f>
        <v>6271.2</v>
      </c>
      <c r="P16" s="67">
        <f>F16*N16</f>
        <v>6322.7247498110182</v>
      </c>
      <c r="Q16" s="67">
        <f t="shared" ref="Q16:Q58" si="10">+P16-O16</f>
        <v>51.52474981101841</v>
      </c>
      <c r="R16" s="167"/>
      <c r="S16" s="172">
        <f t="shared" ref="S16:S73" si="11">N16/(1-$S$4)-N16</f>
        <v>8.4649721925149635E-3</v>
      </c>
      <c r="T16" s="173">
        <f t="shared" ref="T16:T73" si="12">N16+S16</f>
        <v>3.3859888770060933</v>
      </c>
      <c r="U16" s="71">
        <f>F16*T16</f>
        <v>6338.571177755407</v>
      </c>
      <c r="V16" s="176">
        <f t="shared" ref="V16:V73" si="13">U16-P16</f>
        <v>15.846427944388779</v>
      </c>
      <c r="W16" s="48"/>
      <c r="X16" s="188">
        <f>U15-O15</f>
        <v>12494.218114341144</v>
      </c>
    </row>
    <row r="17" spans="1:23" s="59" customFormat="1">
      <c r="A17" s="185"/>
      <c r="B17" s="45" t="s">
        <v>192</v>
      </c>
      <c r="C17" s="114" t="s">
        <v>102</v>
      </c>
      <c r="D17" s="56"/>
      <c r="E17" s="69"/>
      <c r="F17" s="116">
        <v>23036</v>
      </c>
      <c r="G17" s="139">
        <f>References!B21</f>
        <v>47</v>
      </c>
      <c r="H17" s="100">
        <f t="shared" si="9"/>
        <v>1082692</v>
      </c>
      <c r="I17" s="44">
        <f>$D$122*H17</f>
        <v>694433.61066014285</v>
      </c>
      <c r="J17" s="67">
        <f>(References!$C$49*I17)</f>
        <v>1006.928735457207</v>
      </c>
      <c r="K17" s="67">
        <f>J17/References!$G$52</f>
        <v>1027.5831569111206</v>
      </c>
      <c r="L17" s="67">
        <f t="shared" ref="L17:L43" si="14">K17/F17</f>
        <v>4.4607707801316225E-2</v>
      </c>
      <c r="M17" s="153">
        <v>4.6399999999999997</v>
      </c>
      <c r="N17" s="147">
        <f t="shared" si="7"/>
        <v>4.684607707801316</v>
      </c>
      <c r="O17" s="67">
        <f t="shared" ref="O17:O43" si="15">F17*M17</f>
        <v>106887.03999999999</v>
      </c>
      <c r="P17" s="67">
        <f t="shared" ref="P17:P43" si="16">F17*N17</f>
        <v>107914.62315691111</v>
      </c>
      <c r="Q17" s="67">
        <f t="shared" si="10"/>
        <v>1027.5831569111178</v>
      </c>
      <c r="R17" s="167"/>
      <c r="S17" s="172">
        <f t="shared" si="11"/>
        <v>1.174087144812308E-2</v>
      </c>
      <c r="T17" s="173">
        <f t="shared" si="12"/>
        <v>4.696348579249439</v>
      </c>
      <c r="U17" s="71">
        <f t="shared" ref="U17:U74" si="17">F17*T17</f>
        <v>108185.08587159008</v>
      </c>
      <c r="V17" s="176">
        <f t="shared" si="13"/>
        <v>270.46271467897168</v>
      </c>
      <c r="W17" s="48"/>
    </row>
    <row r="18" spans="1:23" s="59" customFormat="1">
      <c r="A18" s="185"/>
      <c r="B18" s="45" t="s">
        <v>192</v>
      </c>
      <c r="C18" s="114" t="s">
        <v>103</v>
      </c>
      <c r="D18" s="110"/>
      <c r="E18" s="69"/>
      <c r="F18" s="116">
        <v>33592</v>
      </c>
      <c r="G18" s="139">
        <f>References!B22</f>
        <v>68</v>
      </c>
      <c r="H18" s="100">
        <f t="shared" si="9"/>
        <v>2284256</v>
      </c>
      <c r="I18" s="44">
        <f>$D$122*H18</f>
        <v>1465111.1689678091</v>
      </c>
      <c r="J18" s="67">
        <f>(References!$C$49*I18)</f>
        <v>2124.411195003323</v>
      </c>
      <c r="K18" s="67">
        <f>J18/References!$G$52</f>
        <v>2167.9877487532635</v>
      </c>
      <c r="L18" s="67">
        <f t="shared" si="14"/>
        <v>6.4538811287010708E-2</v>
      </c>
      <c r="M18" s="153">
        <v>5.91</v>
      </c>
      <c r="N18" s="147">
        <f t="shared" si="7"/>
        <v>5.9745388112870108</v>
      </c>
      <c r="O18" s="67">
        <f t="shared" si="15"/>
        <v>198528.72</v>
      </c>
      <c r="P18" s="67">
        <f t="shared" si="16"/>
        <v>200696.70774875328</v>
      </c>
      <c r="Q18" s="67">
        <f t="shared" si="10"/>
        <v>2167.9877487532794</v>
      </c>
      <c r="R18" s="167"/>
      <c r="S18" s="172">
        <f t="shared" si="11"/>
        <v>1.4973781481922188E-2</v>
      </c>
      <c r="T18" s="173">
        <f t="shared" si="12"/>
        <v>5.989512592768933</v>
      </c>
      <c r="U18" s="71">
        <f t="shared" si="17"/>
        <v>201199.70701629401</v>
      </c>
      <c r="V18" s="176">
        <f t="shared" si="13"/>
        <v>502.99926754072658</v>
      </c>
      <c r="W18" s="48"/>
    </row>
    <row r="19" spans="1:23" s="59" customFormat="1">
      <c r="A19" s="185"/>
      <c r="B19" s="45" t="s">
        <v>186</v>
      </c>
      <c r="C19" s="114" t="s">
        <v>124</v>
      </c>
      <c r="D19" s="110"/>
      <c r="E19" s="69"/>
      <c r="F19" s="115">
        <v>1296</v>
      </c>
      <c r="G19" s="141">
        <f>References!B28</f>
        <v>250</v>
      </c>
      <c r="H19" s="68">
        <f>F19*G19</f>
        <v>324000</v>
      </c>
      <c r="I19" s="44">
        <f>$D$122*H19</f>
        <v>207812.0923160846</v>
      </c>
      <c r="J19" s="67">
        <f>(References!$C$49*I19)</f>
        <v>301.32753385832262</v>
      </c>
      <c r="K19" s="67">
        <f>J19/References!$G$52</f>
        <v>307.5084537792863</v>
      </c>
      <c r="L19" s="67">
        <f>K19/F19</f>
        <v>0.23727504149636289</v>
      </c>
      <c r="M19" s="153">
        <v>43.26</v>
      </c>
      <c r="N19" s="147">
        <f>L19+M19</f>
        <v>43.497275041496358</v>
      </c>
      <c r="O19" s="67">
        <f>F19*M19</f>
        <v>56064.959999999999</v>
      </c>
      <c r="P19" s="67">
        <f>F19*N19</f>
        <v>56372.468453779278</v>
      </c>
      <c r="Q19" s="67">
        <f t="shared" si="10"/>
        <v>307.50845377927908</v>
      </c>
      <c r="R19" s="167"/>
      <c r="S19" s="172">
        <f t="shared" si="11"/>
        <v>0.10901572692104367</v>
      </c>
      <c r="T19" s="173">
        <f t="shared" si="12"/>
        <v>43.606290768417402</v>
      </c>
      <c r="U19" s="71">
        <f t="shared" si="17"/>
        <v>56513.752835868952</v>
      </c>
      <c r="V19" s="176">
        <f t="shared" si="13"/>
        <v>141.28438208967418</v>
      </c>
      <c r="W19" s="48"/>
    </row>
    <row r="20" spans="1:23" s="59" customFormat="1">
      <c r="A20" s="185"/>
      <c r="B20" s="45">
        <v>28</v>
      </c>
      <c r="C20" s="131" t="s">
        <v>180</v>
      </c>
      <c r="D20" s="132"/>
      <c r="E20" s="133"/>
      <c r="F20" s="134">
        <v>120</v>
      </c>
      <c r="G20" s="140"/>
      <c r="H20" s="135"/>
      <c r="I20" s="136"/>
      <c r="J20" s="137"/>
      <c r="K20" s="137"/>
      <c r="L20" s="137"/>
      <c r="M20" s="155">
        <v>11.38</v>
      </c>
      <c r="N20" s="156">
        <f>L20+M20</f>
        <v>11.38</v>
      </c>
      <c r="O20" s="137">
        <f>F20*M20</f>
        <v>1365.6000000000001</v>
      </c>
      <c r="P20" s="137">
        <f>F20*N20</f>
        <v>1365.6000000000001</v>
      </c>
      <c r="Q20" s="67">
        <f t="shared" si="10"/>
        <v>0</v>
      </c>
      <c r="R20" s="167"/>
      <c r="S20" s="172">
        <f t="shared" si="11"/>
        <v>2.8521303258145281E-2</v>
      </c>
      <c r="T20" s="156">
        <f>N20</f>
        <v>11.38</v>
      </c>
      <c r="U20" s="71">
        <f t="shared" si="17"/>
        <v>1365.6000000000001</v>
      </c>
      <c r="V20" s="176">
        <f t="shared" si="13"/>
        <v>0</v>
      </c>
      <c r="W20" s="48"/>
    </row>
    <row r="21" spans="1:23" s="59" customFormat="1">
      <c r="A21" s="185"/>
      <c r="B21" s="45">
        <v>28</v>
      </c>
      <c r="C21" s="131" t="s">
        <v>125</v>
      </c>
      <c r="D21" s="132"/>
      <c r="E21" s="133"/>
      <c r="F21" s="134">
        <v>120</v>
      </c>
      <c r="G21" s="140">
        <f>References!B27</f>
        <v>175</v>
      </c>
      <c r="H21" s="135">
        <f>F21*G21</f>
        <v>21000</v>
      </c>
      <c r="I21" s="136">
        <f>$D$122*H21</f>
        <v>13469.302279746224</v>
      </c>
      <c r="J21" s="137">
        <f>(References!$C$49*I21)</f>
        <v>19.530488305632023</v>
      </c>
      <c r="K21" s="137">
        <f>J21/References!$G$52</f>
        <v>19.931103485694482</v>
      </c>
      <c r="L21" s="137">
        <f>K21/F21</f>
        <v>0.16609252904745403</v>
      </c>
      <c r="M21" s="155">
        <v>14.97</v>
      </c>
      <c r="N21" s="156">
        <f>L21+M21</f>
        <v>15.136092529047454</v>
      </c>
      <c r="O21" s="137">
        <f>F21*M21</f>
        <v>1796.4</v>
      </c>
      <c r="P21" s="137">
        <f>F21*N21</f>
        <v>1816.3311034856945</v>
      </c>
      <c r="Q21" s="67">
        <f t="shared" si="10"/>
        <v>19.931103485694393</v>
      </c>
      <c r="R21" s="167"/>
      <c r="S21" s="172">
        <f t="shared" si="11"/>
        <v>3.7935068995105681E-2</v>
      </c>
      <c r="T21" s="156">
        <f t="shared" si="12"/>
        <v>15.17402759804256</v>
      </c>
      <c r="U21" s="71">
        <f t="shared" si="17"/>
        <v>1820.8833117651072</v>
      </c>
      <c r="V21" s="176">
        <f t="shared" si="13"/>
        <v>4.5522082794127527</v>
      </c>
      <c r="W21" s="48"/>
    </row>
    <row r="22" spans="1:23" s="59" customFormat="1">
      <c r="A22" s="185"/>
      <c r="B22" s="45">
        <v>28</v>
      </c>
      <c r="C22" s="114" t="s">
        <v>126</v>
      </c>
      <c r="D22" s="110"/>
      <c r="E22" s="69"/>
      <c r="F22" s="115">
        <v>1478.52</v>
      </c>
      <c r="G22" s="141">
        <f>References!B27</f>
        <v>175</v>
      </c>
      <c r="H22" s="68">
        <f>F22*G22</f>
        <v>258741</v>
      </c>
      <c r="I22" s="44">
        <f>$D$122*H22</f>
        <v>165955.27338875324</v>
      </c>
      <c r="J22" s="67">
        <f>(References!$C$49*I22)</f>
        <v>240.63514641369218</v>
      </c>
      <c r="K22" s="67">
        <f>J22/References!$G$52</f>
        <v>245.57112604724173</v>
      </c>
      <c r="L22" s="67">
        <f>K22/F22</f>
        <v>0.16609252904745403</v>
      </c>
      <c r="M22" s="153">
        <v>14.97</v>
      </c>
      <c r="N22" s="147">
        <f>L22+M22</f>
        <v>15.136092529047454</v>
      </c>
      <c r="O22" s="67">
        <f>F22*M22</f>
        <v>22133.4444</v>
      </c>
      <c r="P22" s="67">
        <f>F22*N22</f>
        <v>22379.015526047242</v>
      </c>
      <c r="Q22" s="67">
        <f t="shared" si="10"/>
        <v>245.57112604724171</v>
      </c>
      <c r="R22" s="167"/>
      <c r="S22" s="172">
        <f t="shared" si="11"/>
        <v>3.7935068995105681E-2</v>
      </c>
      <c r="T22" s="173">
        <f t="shared" si="12"/>
        <v>15.17402759804256</v>
      </c>
      <c r="U22" s="71">
        <f t="shared" si="17"/>
        <v>22435.103284257886</v>
      </c>
      <c r="V22" s="176">
        <f t="shared" si="13"/>
        <v>56.087758210644097</v>
      </c>
      <c r="W22" s="48"/>
    </row>
    <row r="23" spans="1:23" s="59" customFormat="1">
      <c r="A23" s="185"/>
      <c r="B23" s="45">
        <v>28</v>
      </c>
      <c r="C23" s="114" t="s">
        <v>127</v>
      </c>
      <c r="D23" s="56"/>
      <c r="E23" s="69"/>
      <c r="F23" s="116">
        <v>24</v>
      </c>
      <c r="G23" s="141">
        <f>References!B27</f>
        <v>175</v>
      </c>
      <c r="H23" s="68">
        <f t="shared" si="9"/>
        <v>4200</v>
      </c>
      <c r="I23" s="44">
        <f>$D$122*H23</f>
        <v>2693.8604559492446</v>
      </c>
      <c r="J23" s="67">
        <f>(References!$C$49*I23)</f>
        <v>3.9060976611264042</v>
      </c>
      <c r="K23" s="67">
        <f>J23/References!$G$52</f>
        <v>3.9862206971388963</v>
      </c>
      <c r="L23" s="67">
        <f t="shared" si="14"/>
        <v>0.166092529047454</v>
      </c>
      <c r="M23" s="153">
        <v>18.350000000000001</v>
      </c>
      <c r="N23" s="147">
        <f t="shared" si="7"/>
        <v>18.516092529047455</v>
      </c>
      <c r="O23" s="67">
        <f t="shared" si="15"/>
        <v>440.40000000000003</v>
      </c>
      <c r="P23" s="67">
        <f t="shared" si="16"/>
        <v>444.38622069713892</v>
      </c>
      <c r="Q23" s="67">
        <f t="shared" si="10"/>
        <v>3.98622069713889</v>
      </c>
      <c r="R23" s="167"/>
      <c r="S23" s="172">
        <f t="shared" si="11"/>
        <v>4.6406246939966422E-2</v>
      </c>
      <c r="T23" s="173">
        <f t="shared" si="12"/>
        <v>18.562498775987422</v>
      </c>
      <c r="U23" s="71">
        <f t="shared" si="17"/>
        <v>445.49997062369812</v>
      </c>
      <c r="V23" s="176">
        <f t="shared" si="13"/>
        <v>1.1137499265591941</v>
      </c>
      <c r="W23" s="48"/>
    </row>
    <row r="24" spans="1:23" s="59" customFormat="1">
      <c r="A24" s="185"/>
      <c r="B24" s="45">
        <v>28</v>
      </c>
      <c r="C24" s="114" t="s">
        <v>128</v>
      </c>
      <c r="D24" s="56"/>
      <c r="E24" s="69"/>
      <c r="F24" s="115">
        <v>120</v>
      </c>
      <c r="G24" s="139">
        <f>References!B27</f>
        <v>175</v>
      </c>
      <c r="H24" s="68">
        <f t="shared" si="9"/>
        <v>21000</v>
      </c>
      <c r="I24" s="44">
        <f>$D$122*H24</f>
        <v>13469.302279746224</v>
      </c>
      <c r="J24" s="67">
        <f>(References!$C$49*I24)</f>
        <v>19.530488305632023</v>
      </c>
      <c r="K24" s="67">
        <f>J24/References!$G$52</f>
        <v>19.931103485694482</v>
      </c>
      <c r="L24" s="67">
        <f t="shared" si="14"/>
        <v>0.16609252904745403</v>
      </c>
      <c r="M24" s="153">
        <v>16.37</v>
      </c>
      <c r="N24" s="147">
        <f t="shared" si="7"/>
        <v>16.536092529047455</v>
      </c>
      <c r="O24" s="67">
        <f t="shared" si="15"/>
        <v>1964.4</v>
      </c>
      <c r="P24" s="67">
        <f t="shared" si="16"/>
        <v>1984.3311034856945</v>
      </c>
      <c r="Q24" s="67">
        <f t="shared" si="10"/>
        <v>19.931103485694393</v>
      </c>
      <c r="R24" s="167"/>
      <c r="S24" s="172">
        <f t="shared" si="11"/>
        <v>4.1443840924930697E-2</v>
      </c>
      <c r="T24" s="173">
        <f t="shared" si="12"/>
        <v>16.577536369972385</v>
      </c>
      <c r="U24" s="71">
        <f t="shared" si="17"/>
        <v>1989.3043643966862</v>
      </c>
      <c r="V24" s="176">
        <f t="shared" si="13"/>
        <v>4.9732609109917121</v>
      </c>
      <c r="W24" s="48"/>
    </row>
    <row r="25" spans="1:23" s="59" customFormat="1">
      <c r="A25" s="185"/>
      <c r="B25" s="45">
        <v>28</v>
      </c>
      <c r="C25" s="131" t="s">
        <v>172</v>
      </c>
      <c r="D25" s="135"/>
      <c r="E25" s="133"/>
      <c r="F25" s="134">
        <v>1644</v>
      </c>
      <c r="G25" s="140"/>
      <c r="H25" s="135"/>
      <c r="I25" s="136"/>
      <c r="J25" s="137"/>
      <c r="K25" s="137"/>
      <c r="L25" s="137"/>
      <c r="M25" s="155">
        <v>11.93</v>
      </c>
      <c r="N25" s="156">
        <f>L25+M25</f>
        <v>11.93</v>
      </c>
      <c r="O25" s="137">
        <f>F25*M25</f>
        <v>19612.919999999998</v>
      </c>
      <c r="P25" s="137">
        <f>F25*N25</f>
        <v>19612.919999999998</v>
      </c>
      <c r="Q25" s="67">
        <f t="shared" si="10"/>
        <v>0</v>
      </c>
      <c r="R25" s="167"/>
      <c r="S25" s="172">
        <f t="shared" si="11"/>
        <v>2.9899749373432982E-2</v>
      </c>
      <c r="T25" s="156">
        <f>N25</f>
        <v>11.93</v>
      </c>
      <c r="U25" s="71">
        <f t="shared" si="17"/>
        <v>19612.919999999998</v>
      </c>
      <c r="V25" s="176">
        <f t="shared" si="13"/>
        <v>0</v>
      </c>
      <c r="W25" s="48"/>
    </row>
    <row r="26" spans="1:23" s="59" customFormat="1">
      <c r="A26" s="185"/>
      <c r="B26" s="45">
        <v>28</v>
      </c>
      <c r="C26" s="131" t="s">
        <v>129</v>
      </c>
      <c r="D26" s="135"/>
      <c r="E26" s="133"/>
      <c r="F26" s="134">
        <v>1644</v>
      </c>
      <c r="G26" s="140">
        <f>References!$B$28</f>
        <v>250</v>
      </c>
      <c r="H26" s="135">
        <f t="shared" si="9"/>
        <v>411000</v>
      </c>
      <c r="I26" s="136">
        <f>$D$122*H26</f>
        <v>263613.48747503321</v>
      </c>
      <c r="J26" s="137">
        <f>(References!$C$49*I26)</f>
        <v>382.23955683879814</v>
      </c>
      <c r="K26" s="137">
        <f>J26/References!$G$52</f>
        <v>390.08016822002054</v>
      </c>
      <c r="L26" s="137">
        <f t="shared" si="14"/>
        <v>0.23727504149636286</v>
      </c>
      <c r="M26" s="155">
        <v>23.28</v>
      </c>
      <c r="N26" s="156">
        <f t="shared" si="7"/>
        <v>23.517275041496365</v>
      </c>
      <c r="O26" s="137">
        <f t="shared" si="15"/>
        <v>38272.32</v>
      </c>
      <c r="P26" s="137">
        <f t="shared" si="16"/>
        <v>38662.400168220025</v>
      </c>
      <c r="Q26" s="67">
        <f t="shared" si="10"/>
        <v>390.08016822002537</v>
      </c>
      <c r="R26" s="167"/>
      <c r="S26" s="172">
        <f t="shared" si="11"/>
        <v>5.8940538951116395E-2</v>
      </c>
      <c r="T26" s="156">
        <f t="shared" si="12"/>
        <v>23.576215580447482</v>
      </c>
      <c r="U26" s="71">
        <f t="shared" si="17"/>
        <v>38759.29841425566</v>
      </c>
      <c r="V26" s="176">
        <f t="shared" si="13"/>
        <v>96.898246035634656</v>
      </c>
      <c r="W26" s="48"/>
    </row>
    <row r="27" spans="1:23" s="59" customFormat="1">
      <c r="A27" s="185"/>
      <c r="B27" s="45">
        <v>28</v>
      </c>
      <c r="C27" s="114" t="s">
        <v>130</v>
      </c>
      <c r="D27" s="56"/>
      <c r="E27" s="69"/>
      <c r="F27" s="115">
        <v>16263.72</v>
      </c>
      <c r="G27" s="139">
        <f>References!$B$28</f>
        <v>250</v>
      </c>
      <c r="H27" s="68">
        <f t="shared" si="9"/>
        <v>4065930</v>
      </c>
      <c r="I27" s="44">
        <f>$D$122*H27</f>
        <v>2607868.5818232652</v>
      </c>
      <c r="J27" s="67">
        <f>(References!$C$49*I27)</f>
        <v>3781.4094436437344</v>
      </c>
      <c r="K27" s="67">
        <f>J27/References!$G$52</f>
        <v>3858.9748378852278</v>
      </c>
      <c r="L27" s="67">
        <f t="shared" si="14"/>
        <v>0.23727504149636294</v>
      </c>
      <c r="M27" s="153">
        <v>23.28</v>
      </c>
      <c r="N27" s="147">
        <f t="shared" si="7"/>
        <v>23.517275041496365</v>
      </c>
      <c r="O27" s="67">
        <f t="shared" si="15"/>
        <v>378619.40159999998</v>
      </c>
      <c r="P27" s="67">
        <f t="shared" si="16"/>
        <v>382478.37643788522</v>
      </c>
      <c r="Q27" s="67">
        <f t="shared" si="10"/>
        <v>3858.9748378852382</v>
      </c>
      <c r="R27" s="167"/>
      <c r="S27" s="172">
        <f t="shared" si="11"/>
        <v>5.8940538951116395E-2</v>
      </c>
      <c r="T27" s="173">
        <f t="shared" si="12"/>
        <v>23.576215580447482</v>
      </c>
      <c r="U27" s="71">
        <f t="shared" si="17"/>
        <v>383436.9688600353</v>
      </c>
      <c r="V27" s="176">
        <f t="shared" si="13"/>
        <v>958.59242215007544</v>
      </c>
      <c r="W27" s="48"/>
    </row>
    <row r="28" spans="1:23" s="59" customFormat="1">
      <c r="A28" s="185"/>
      <c r="B28" s="45">
        <v>28</v>
      </c>
      <c r="C28" s="131" t="s">
        <v>173</v>
      </c>
      <c r="D28" s="135"/>
      <c r="E28" s="133"/>
      <c r="F28" s="134">
        <v>204</v>
      </c>
      <c r="G28" s="140"/>
      <c r="H28" s="135"/>
      <c r="I28" s="136"/>
      <c r="J28" s="137"/>
      <c r="K28" s="137"/>
      <c r="L28" s="137"/>
      <c r="M28" s="155">
        <v>14.91</v>
      </c>
      <c r="N28" s="156">
        <f>L28+M28</f>
        <v>14.91</v>
      </c>
      <c r="O28" s="137">
        <f>F28*M28</f>
        <v>3041.64</v>
      </c>
      <c r="P28" s="137">
        <f>F28*N28</f>
        <v>3041.64</v>
      </c>
      <c r="Q28" s="67">
        <f t="shared" si="10"/>
        <v>0</v>
      </c>
      <c r="R28" s="167"/>
      <c r="S28" s="172">
        <f t="shared" si="11"/>
        <v>3.7368421052629941E-2</v>
      </c>
      <c r="T28" s="156">
        <f>N28</f>
        <v>14.91</v>
      </c>
      <c r="U28" s="71">
        <f t="shared" si="17"/>
        <v>3041.64</v>
      </c>
      <c r="V28" s="176">
        <f t="shared" si="13"/>
        <v>0</v>
      </c>
      <c r="W28" s="48"/>
    </row>
    <row r="29" spans="1:23" s="59" customFormat="1">
      <c r="A29" s="185"/>
      <c r="B29" s="45">
        <v>28</v>
      </c>
      <c r="C29" s="131" t="s">
        <v>133</v>
      </c>
      <c r="D29" s="135"/>
      <c r="E29" s="133"/>
      <c r="F29" s="134">
        <v>204</v>
      </c>
      <c r="G29" s="140">
        <f>References!$B$29</f>
        <v>324</v>
      </c>
      <c r="H29" s="135">
        <f t="shared" si="9"/>
        <v>66096</v>
      </c>
      <c r="I29" s="136">
        <f>$D$122*H29</f>
        <v>42393.666832481256</v>
      </c>
      <c r="J29" s="137">
        <f>(References!$C$49*I29)</f>
        <v>61.47081690709782</v>
      </c>
      <c r="K29" s="137">
        <f>J29/References!$G$52</f>
        <v>62.731724570974407</v>
      </c>
      <c r="L29" s="137">
        <f t="shared" si="14"/>
        <v>0.30750845377928632</v>
      </c>
      <c r="M29" s="155">
        <v>27.11</v>
      </c>
      <c r="N29" s="156">
        <f t="shared" si="7"/>
        <v>27.417508453779284</v>
      </c>
      <c r="O29" s="137">
        <f t="shared" si="15"/>
        <v>5530.44</v>
      </c>
      <c r="P29" s="137">
        <f t="shared" si="16"/>
        <v>5593.1717245709742</v>
      </c>
      <c r="Q29" s="67">
        <f t="shared" si="10"/>
        <v>62.73172457097462</v>
      </c>
      <c r="R29" s="167"/>
      <c r="S29" s="172">
        <f t="shared" si="11"/>
        <v>6.8715560034533496E-2</v>
      </c>
      <c r="T29" s="156">
        <f t="shared" si="12"/>
        <v>27.486224013813818</v>
      </c>
      <c r="U29" s="71">
        <f t="shared" si="17"/>
        <v>5607.1896988180188</v>
      </c>
      <c r="V29" s="176">
        <f t="shared" si="13"/>
        <v>14.017974247044549</v>
      </c>
      <c r="W29" s="48"/>
    </row>
    <row r="30" spans="1:23" s="59" customFormat="1">
      <c r="A30" s="185"/>
      <c r="B30" s="45">
        <v>28</v>
      </c>
      <c r="C30" s="114" t="s">
        <v>134</v>
      </c>
      <c r="D30" s="56"/>
      <c r="E30" s="69"/>
      <c r="F30" s="115">
        <v>2917.08</v>
      </c>
      <c r="G30" s="139">
        <f>References!$B$29</f>
        <v>324</v>
      </c>
      <c r="H30" s="68">
        <f t="shared" si="9"/>
        <v>945133.91999999993</v>
      </c>
      <c r="I30" s="44">
        <f>$D$122*H30</f>
        <v>606204.49825340405</v>
      </c>
      <c r="J30" s="67">
        <f>(References!$C$49*I30)</f>
        <v>878.99652246743585</v>
      </c>
      <c r="K30" s="67">
        <f>J30/References!$G$52</f>
        <v>897.02676035048057</v>
      </c>
      <c r="L30" s="67">
        <f t="shared" si="14"/>
        <v>0.30750845377928632</v>
      </c>
      <c r="M30" s="153">
        <v>27.11</v>
      </c>
      <c r="N30" s="147">
        <f t="shared" si="7"/>
        <v>27.417508453779284</v>
      </c>
      <c r="O30" s="67">
        <f t="shared" si="15"/>
        <v>79082.038799999995</v>
      </c>
      <c r="P30" s="67">
        <f t="shared" si="16"/>
        <v>79979.065560350471</v>
      </c>
      <c r="Q30" s="67">
        <f t="shared" si="10"/>
        <v>897.02676035047625</v>
      </c>
      <c r="R30" s="167"/>
      <c r="S30" s="172">
        <f t="shared" si="11"/>
        <v>6.8715560034533496E-2</v>
      </c>
      <c r="T30" s="173">
        <f t="shared" si="12"/>
        <v>27.486224013813818</v>
      </c>
      <c r="U30" s="71">
        <f t="shared" si="17"/>
        <v>80179.514346216005</v>
      </c>
      <c r="V30" s="176">
        <f t="shared" si="13"/>
        <v>200.44878586553386</v>
      </c>
      <c r="W30" s="48"/>
    </row>
    <row r="31" spans="1:23" s="59" customFormat="1">
      <c r="A31" s="185"/>
      <c r="B31" s="45">
        <v>28</v>
      </c>
      <c r="C31" s="131" t="s">
        <v>174</v>
      </c>
      <c r="D31" s="135"/>
      <c r="E31" s="133"/>
      <c r="F31" s="134">
        <v>36</v>
      </c>
      <c r="G31" s="140"/>
      <c r="H31" s="135"/>
      <c r="I31" s="136"/>
      <c r="J31" s="137"/>
      <c r="K31" s="137"/>
      <c r="L31" s="137"/>
      <c r="M31" s="155">
        <v>16.96</v>
      </c>
      <c r="N31" s="156">
        <f>L31+M31</f>
        <v>16.96</v>
      </c>
      <c r="O31" s="137">
        <f>F31*M31</f>
        <v>610.56000000000006</v>
      </c>
      <c r="P31" s="137">
        <f>F31*N31</f>
        <v>610.56000000000006</v>
      </c>
      <c r="Q31" s="67">
        <f t="shared" si="10"/>
        <v>0</v>
      </c>
      <c r="R31" s="167"/>
      <c r="S31" s="172">
        <f t="shared" si="11"/>
        <v>4.2506265664158605E-2</v>
      </c>
      <c r="T31" s="156">
        <f>N31</f>
        <v>16.96</v>
      </c>
      <c r="U31" s="71">
        <f t="shared" si="17"/>
        <v>610.56000000000006</v>
      </c>
      <c r="V31" s="176">
        <f t="shared" si="13"/>
        <v>0</v>
      </c>
      <c r="W31" s="48"/>
    </row>
    <row r="32" spans="1:23" s="59" customFormat="1">
      <c r="A32" s="185"/>
      <c r="B32" s="45">
        <v>28</v>
      </c>
      <c r="C32" s="131" t="s">
        <v>137</v>
      </c>
      <c r="D32" s="135"/>
      <c r="E32" s="133"/>
      <c r="F32" s="134">
        <v>36</v>
      </c>
      <c r="G32" s="140">
        <f>References!$B$30</f>
        <v>473</v>
      </c>
      <c r="H32" s="135">
        <f t="shared" si="9"/>
        <v>17028</v>
      </c>
      <c r="I32" s="136">
        <f>$D$122*H32</f>
        <v>10921.679962834223</v>
      </c>
      <c r="J32" s="137">
        <f>(References!$C$49*I32)</f>
        <v>15.836435946109622</v>
      </c>
      <c r="K32" s="137">
        <f>J32/References!$G$52</f>
        <v>16.161277626400267</v>
      </c>
      <c r="L32" s="137">
        <f t="shared" si="14"/>
        <v>0.44892437851111855</v>
      </c>
      <c r="M32" s="155">
        <v>40</v>
      </c>
      <c r="N32" s="156">
        <f t="shared" si="7"/>
        <v>40.448924378511116</v>
      </c>
      <c r="O32" s="137">
        <f t="shared" si="15"/>
        <v>1440</v>
      </c>
      <c r="P32" s="137">
        <f t="shared" si="16"/>
        <v>1456.1612776264001</v>
      </c>
      <c r="Q32" s="67">
        <f t="shared" si="10"/>
        <v>16.161277626400079</v>
      </c>
      <c r="R32" s="167"/>
      <c r="S32" s="172">
        <f t="shared" si="11"/>
        <v>0.10137575032207735</v>
      </c>
      <c r="T32" s="156">
        <f t="shared" si="12"/>
        <v>40.550300128833193</v>
      </c>
      <c r="U32" s="71">
        <f t="shared" si="17"/>
        <v>1459.810804637995</v>
      </c>
      <c r="V32" s="176">
        <f t="shared" si="13"/>
        <v>3.6495270115949552</v>
      </c>
      <c r="W32" s="48"/>
    </row>
    <row r="33" spans="1:23" s="59" customFormat="1">
      <c r="A33" s="185"/>
      <c r="B33" s="45">
        <v>28</v>
      </c>
      <c r="C33" s="114" t="s">
        <v>138</v>
      </c>
      <c r="D33" s="56"/>
      <c r="E33" s="69"/>
      <c r="F33" s="116">
        <v>399.59999999999997</v>
      </c>
      <c r="G33" s="139">
        <f>References!$B$30</f>
        <v>473</v>
      </c>
      <c r="H33" s="68">
        <f t="shared" si="9"/>
        <v>189010.8</v>
      </c>
      <c r="I33" s="44">
        <f>$D$122*H33</f>
        <v>121230.64758745988</v>
      </c>
      <c r="J33" s="67">
        <f>(References!$C$49*I33)</f>
        <v>175.78443900181682</v>
      </c>
      <c r="K33" s="67">
        <f>J33/References!$G$52</f>
        <v>179.39018165304299</v>
      </c>
      <c r="L33" s="67">
        <f t="shared" si="14"/>
        <v>0.4489243785111186</v>
      </c>
      <c r="M33" s="153">
        <v>40</v>
      </c>
      <c r="N33" s="147">
        <f t="shared" si="7"/>
        <v>40.448924378511116</v>
      </c>
      <c r="O33" s="67">
        <f t="shared" si="15"/>
        <v>15983.999999999998</v>
      </c>
      <c r="P33" s="67">
        <f t="shared" si="16"/>
        <v>16163.39018165304</v>
      </c>
      <c r="Q33" s="67">
        <f t="shared" si="10"/>
        <v>179.39018165304151</v>
      </c>
      <c r="R33" s="167"/>
      <c r="S33" s="172">
        <f t="shared" si="11"/>
        <v>0.10137575032207735</v>
      </c>
      <c r="T33" s="173">
        <f t="shared" si="12"/>
        <v>40.550300128833193</v>
      </c>
      <c r="U33" s="71">
        <f t="shared" si="17"/>
        <v>16203.899931481743</v>
      </c>
      <c r="V33" s="176">
        <f t="shared" si="13"/>
        <v>40.509749828703207</v>
      </c>
      <c r="W33" s="48"/>
    </row>
    <row r="34" spans="1:23" s="59" customFormat="1">
      <c r="A34" s="185"/>
      <c r="B34" s="45">
        <v>28</v>
      </c>
      <c r="C34" s="114" t="s">
        <v>140</v>
      </c>
      <c r="D34" s="56"/>
      <c r="E34" s="69"/>
      <c r="F34" s="115">
        <v>12</v>
      </c>
      <c r="G34" s="139">
        <f>References!$B$30</f>
        <v>473</v>
      </c>
      <c r="H34" s="68">
        <f t="shared" si="9"/>
        <v>5676</v>
      </c>
      <c r="I34" s="44">
        <f>$D$122*H34</f>
        <v>3640.5599876114079</v>
      </c>
      <c r="J34" s="67">
        <f>(References!$C$49*I34)</f>
        <v>5.2788119820365411</v>
      </c>
      <c r="K34" s="67">
        <f>J34/References!$G$52</f>
        <v>5.3870925421334226</v>
      </c>
      <c r="L34" s="67">
        <f t="shared" si="14"/>
        <v>0.44892437851111855</v>
      </c>
      <c r="M34" s="153">
        <v>42.9</v>
      </c>
      <c r="N34" s="147">
        <f t="shared" si="7"/>
        <v>43.348924378511114</v>
      </c>
      <c r="O34" s="67">
        <f t="shared" si="15"/>
        <v>514.79999999999995</v>
      </c>
      <c r="P34" s="67">
        <f t="shared" si="16"/>
        <v>520.18709254213331</v>
      </c>
      <c r="Q34" s="67">
        <f t="shared" si="10"/>
        <v>5.3870925421333595</v>
      </c>
      <c r="R34" s="167"/>
      <c r="S34" s="172">
        <f t="shared" si="11"/>
        <v>0.10864392074814333</v>
      </c>
      <c r="T34" s="173">
        <f t="shared" si="12"/>
        <v>43.457568299259258</v>
      </c>
      <c r="U34" s="71">
        <f t="shared" si="17"/>
        <v>521.49081959111106</v>
      </c>
      <c r="V34" s="176">
        <f t="shared" si="13"/>
        <v>1.3037270489777484</v>
      </c>
      <c r="W34" s="48"/>
    </row>
    <row r="35" spans="1:23" s="59" customFormat="1">
      <c r="A35" s="185"/>
      <c r="B35" s="45">
        <v>28</v>
      </c>
      <c r="C35" s="131" t="s">
        <v>175</v>
      </c>
      <c r="D35" s="135"/>
      <c r="E35" s="133"/>
      <c r="F35" s="134">
        <v>36</v>
      </c>
      <c r="G35" s="140"/>
      <c r="H35" s="135"/>
      <c r="I35" s="136"/>
      <c r="J35" s="137"/>
      <c r="K35" s="137"/>
      <c r="L35" s="137"/>
      <c r="M35" s="155">
        <v>18.5</v>
      </c>
      <c r="N35" s="156">
        <f>L35+M35</f>
        <v>18.5</v>
      </c>
      <c r="O35" s="137">
        <f>F35*M35</f>
        <v>666</v>
      </c>
      <c r="P35" s="137">
        <f>F35*N35</f>
        <v>666</v>
      </c>
      <c r="Q35" s="67">
        <f t="shared" si="10"/>
        <v>0</v>
      </c>
      <c r="R35" s="167"/>
      <c r="S35" s="172">
        <f t="shared" si="11"/>
        <v>4.6365914786967721E-2</v>
      </c>
      <c r="T35" s="156">
        <f>N35</f>
        <v>18.5</v>
      </c>
      <c r="U35" s="71">
        <f t="shared" si="17"/>
        <v>666</v>
      </c>
      <c r="V35" s="176">
        <f t="shared" si="13"/>
        <v>0</v>
      </c>
      <c r="W35" s="48"/>
    </row>
    <row r="36" spans="1:23" s="59" customFormat="1">
      <c r="A36" s="185"/>
      <c r="B36" s="45">
        <v>28</v>
      </c>
      <c r="C36" s="131" t="s">
        <v>141</v>
      </c>
      <c r="D36" s="135"/>
      <c r="E36" s="133"/>
      <c r="F36" s="134">
        <v>36</v>
      </c>
      <c r="G36" s="140">
        <f>References!$B$31</f>
        <v>613</v>
      </c>
      <c r="H36" s="135">
        <f t="shared" si="9"/>
        <v>22068</v>
      </c>
      <c r="I36" s="136">
        <f>$D$122*H36</f>
        <v>14154.312509973317</v>
      </c>
      <c r="J36" s="137">
        <f>(References!$C$49*I36)</f>
        <v>20.523753139461309</v>
      </c>
      <c r="K36" s="137">
        <f>J36/References!$G$52</f>
        <v>20.944742462966946</v>
      </c>
      <c r="L36" s="137">
        <f t="shared" si="14"/>
        <v>0.58179840174908182</v>
      </c>
      <c r="M36" s="155">
        <v>52.79</v>
      </c>
      <c r="N36" s="156">
        <f t="shared" si="7"/>
        <v>53.371798401749082</v>
      </c>
      <c r="O36" s="137">
        <f t="shared" si="15"/>
        <v>1900.44</v>
      </c>
      <c r="P36" s="137">
        <f t="shared" si="16"/>
        <v>1921.3847424629669</v>
      </c>
      <c r="Q36" s="67">
        <f t="shared" si="10"/>
        <v>20.944742462966815</v>
      </c>
      <c r="R36" s="167"/>
      <c r="S36" s="172">
        <f t="shared" si="11"/>
        <v>0.13376390576879515</v>
      </c>
      <c r="T36" s="156">
        <f t="shared" si="12"/>
        <v>53.505562307517877</v>
      </c>
      <c r="U36" s="71">
        <f t="shared" si="17"/>
        <v>1926.2002430706436</v>
      </c>
      <c r="V36" s="176">
        <f t="shared" si="13"/>
        <v>4.8155006076767677</v>
      </c>
      <c r="W36" s="48"/>
    </row>
    <row r="37" spans="1:23" s="59" customFormat="1">
      <c r="A37" s="185"/>
      <c r="B37" s="45">
        <v>28</v>
      </c>
      <c r="C37" s="114" t="s">
        <v>142</v>
      </c>
      <c r="D37" s="56"/>
      <c r="E37" s="69"/>
      <c r="F37" s="116">
        <v>399.59999999999997</v>
      </c>
      <c r="G37" s="141">
        <f>References!$B$31</f>
        <v>613</v>
      </c>
      <c r="H37" s="68">
        <f t="shared" si="9"/>
        <v>244954.8</v>
      </c>
      <c r="I37" s="44">
        <f>$D$122*H37</f>
        <v>157112.86886070381</v>
      </c>
      <c r="J37" s="67">
        <f>(References!$C$49*I37)</f>
        <v>227.81365984802051</v>
      </c>
      <c r="K37" s="67">
        <f>J37/References!$G$52</f>
        <v>232.48664133893305</v>
      </c>
      <c r="L37" s="67">
        <f t="shared" si="14"/>
        <v>0.58179840174908182</v>
      </c>
      <c r="M37" s="153">
        <v>52.79</v>
      </c>
      <c r="N37" s="147">
        <f t="shared" si="7"/>
        <v>53.371798401749082</v>
      </c>
      <c r="O37" s="67">
        <f t="shared" si="15"/>
        <v>21094.883999999998</v>
      </c>
      <c r="P37" s="67">
        <f t="shared" si="16"/>
        <v>21327.37064133893</v>
      </c>
      <c r="Q37" s="67">
        <f t="shared" si="10"/>
        <v>232.4866413389318</v>
      </c>
      <c r="R37" s="167"/>
      <c r="S37" s="172">
        <f t="shared" si="11"/>
        <v>0.13376390576879515</v>
      </c>
      <c r="T37" s="173">
        <f t="shared" si="12"/>
        <v>53.505562307517877</v>
      </c>
      <c r="U37" s="71">
        <f t="shared" si="17"/>
        <v>21380.822698084143</v>
      </c>
      <c r="V37" s="176">
        <f t="shared" si="13"/>
        <v>53.452056745212758</v>
      </c>
      <c r="W37" s="48"/>
    </row>
    <row r="38" spans="1:23" s="59" customFormat="1">
      <c r="A38" s="185"/>
      <c r="B38" s="45">
        <v>28</v>
      </c>
      <c r="C38" s="114" t="s">
        <v>143</v>
      </c>
      <c r="D38" s="56"/>
      <c r="E38" s="69"/>
      <c r="F38" s="116">
        <v>1</v>
      </c>
      <c r="G38" s="141">
        <f>References!$B$31</f>
        <v>613</v>
      </c>
      <c r="H38" s="68">
        <f t="shared" ref="H38:H43" si="18">F38*G38</f>
        <v>613</v>
      </c>
      <c r="I38" s="44">
        <f>$D$122*H38</f>
        <v>393.17534749925881</v>
      </c>
      <c r="J38" s="67">
        <f>(References!$C$49*I38)</f>
        <v>0.57010425387392527</v>
      </c>
      <c r="K38" s="67">
        <f>J38/References!$G$52</f>
        <v>0.58179840174908182</v>
      </c>
      <c r="L38" s="67">
        <f t="shared" si="14"/>
        <v>0.58179840174908182</v>
      </c>
      <c r="M38" s="153">
        <v>55.7</v>
      </c>
      <c r="N38" s="147">
        <f t="shared" si="7"/>
        <v>56.281798401749086</v>
      </c>
      <c r="O38" s="67">
        <f t="shared" si="15"/>
        <v>55.7</v>
      </c>
      <c r="P38" s="67">
        <f t="shared" si="16"/>
        <v>56.281798401749086</v>
      </c>
      <c r="Q38" s="67">
        <f t="shared" si="10"/>
        <v>0.58179840174908293</v>
      </c>
      <c r="R38" s="167"/>
      <c r="S38" s="172">
        <f t="shared" si="11"/>
        <v>0.14105713885150095</v>
      </c>
      <c r="T38" s="173">
        <f t="shared" si="12"/>
        <v>56.422855540600587</v>
      </c>
      <c r="U38" s="71">
        <f t="shared" si="17"/>
        <v>56.422855540600587</v>
      </c>
      <c r="V38" s="176">
        <f t="shared" si="13"/>
        <v>0.14105713885150095</v>
      </c>
      <c r="W38" s="48"/>
    </row>
    <row r="39" spans="1:23" s="59" customFormat="1">
      <c r="A39" s="185"/>
      <c r="B39" s="45">
        <v>28</v>
      </c>
      <c r="C39" s="114" t="s">
        <v>144</v>
      </c>
      <c r="D39" s="56"/>
      <c r="E39" s="69"/>
      <c r="F39" s="115">
        <v>1</v>
      </c>
      <c r="G39" s="141">
        <f>References!$B$31</f>
        <v>613</v>
      </c>
      <c r="H39" s="68">
        <f t="shared" si="18"/>
        <v>613</v>
      </c>
      <c r="I39" s="44">
        <f>$D$122*H39</f>
        <v>393.17534749925881</v>
      </c>
      <c r="J39" s="67">
        <f>(References!$C$49*I39)</f>
        <v>0.57010425387392527</v>
      </c>
      <c r="K39" s="67">
        <f>J39/References!$G$52</f>
        <v>0.58179840174908182</v>
      </c>
      <c r="L39" s="67">
        <f t="shared" si="14"/>
        <v>0.58179840174908182</v>
      </c>
      <c r="M39" s="153">
        <v>56.9</v>
      </c>
      <c r="N39" s="147">
        <f t="shared" si="7"/>
        <v>57.481798401749082</v>
      </c>
      <c r="O39" s="67">
        <f t="shared" si="15"/>
        <v>56.9</v>
      </c>
      <c r="P39" s="67">
        <f t="shared" si="16"/>
        <v>57.481798401749082</v>
      </c>
      <c r="Q39" s="67">
        <f t="shared" si="10"/>
        <v>0.58179840174908293</v>
      </c>
      <c r="R39" s="167"/>
      <c r="S39" s="172">
        <f t="shared" si="11"/>
        <v>0.1440646576484923</v>
      </c>
      <c r="T39" s="173">
        <f t="shared" si="12"/>
        <v>57.625863059397574</v>
      </c>
      <c r="U39" s="71">
        <f t="shared" si="17"/>
        <v>57.625863059397574</v>
      </c>
      <c r="V39" s="176">
        <f t="shared" si="13"/>
        <v>0.1440646576484923</v>
      </c>
      <c r="W39" s="48"/>
    </row>
    <row r="40" spans="1:23" s="59" customFormat="1">
      <c r="A40" s="185"/>
      <c r="B40" s="45">
        <v>28</v>
      </c>
      <c r="C40" s="131" t="s">
        <v>176</v>
      </c>
      <c r="D40" s="135"/>
      <c r="E40" s="133"/>
      <c r="F40" s="134">
        <v>2</v>
      </c>
      <c r="G40" s="140"/>
      <c r="H40" s="135"/>
      <c r="I40" s="136"/>
      <c r="J40" s="137"/>
      <c r="K40" s="137"/>
      <c r="L40" s="137"/>
      <c r="M40" s="155">
        <v>18.75</v>
      </c>
      <c r="N40" s="156">
        <f>L40+M40</f>
        <v>18.75</v>
      </c>
      <c r="O40" s="137">
        <f>F40*M40</f>
        <v>37.5</v>
      </c>
      <c r="P40" s="137">
        <f>F40*N40</f>
        <v>37.5</v>
      </c>
      <c r="Q40" s="67">
        <f t="shared" si="10"/>
        <v>0</v>
      </c>
      <c r="R40" s="167"/>
      <c r="S40" s="172">
        <f t="shared" si="11"/>
        <v>4.6992481203005809E-2</v>
      </c>
      <c r="T40" s="156">
        <f>N40</f>
        <v>18.75</v>
      </c>
      <c r="U40" s="71">
        <f t="shared" si="17"/>
        <v>37.5</v>
      </c>
      <c r="V40" s="176">
        <f t="shared" si="13"/>
        <v>0</v>
      </c>
      <c r="W40" s="48"/>
    </row>
    <row r="41" spans="1:23" s="59" customFormat="1">
      <c r="A41" s="185"/>
      <c r="B41" s="45">
        <v>28</v>
      </c>
      <c r="C41" s="131" t="s">
        <v>145</v>
      </c>
      <c r="D41" s="135"/>
      <c r="E41" s="133"/>
      <c r="F41" s="134">
        <v>2</v>
      </c>
      <c r="G41" s="140">
        <v>766.25</v>
      </c>
      <c r="H41" s="138">
        <f t="shared" si="18"/>
        <v>1532.5</v>
      </c>
      <c r="I41" s="136">
        <f>$D$122*H41</f>
        <v>982.93836874814701</v>
      </c>
      <c r="J41" s="137">
        <f>(References!$C$49*I41)</f>
        <v>1.4252606346848131</v>
      </c>
      <c r="K41" s="137">
        <f>J41/References!$G$52</f>
        <v>1.4544960043727044</v>
      </c>
      <c r="L41" s="137">
        <f t="shared" si="14"/>
        <v>0.72724800218635222</v>
      </c>
      <c r="M41" s="155">
        <v>63.55</v>
      </c>
      <c r="N41" s="156">
        <f t="shared" si="7"/>
        <v>64.277248002186354</v>
      </c>
      <c r="O41" s="137">
        <f t="shared" si="15"/>
        <v>127.1</v>
      </c>
      <c r="P41" s="137">
        <f t="shared" si="16"/>
        <v>128.55449600437271</v>
      </c>
      <c r="Q41" s="67">
        <f t="shared" si="10"/>
        <v>1.4544960043727144</v>
      </c>
      <c r="R41" s="167"/>
      <c r="S41" s="172">
        <f t="shared" si="11"/>
        <v>0.16109585965459416</v>
      </c>
      <c r="T41" s="156">
        <f t="shared" si="12"/>
        <v>64.438343861840949</v>
      </c>
      <c r="U41" s="71">
        <f t="shared" si="17"/>
        <v>128.8766877236819</v>
      </c>
      <c r="V41" s="176">
        <f t="shared" si="13"/>
        <v>0.32219171930918833</v>
      </c>
      <c r="W41" s="48"/>
    </row>
    <row r="42" spans="1:23" s="59" customFormat="1">
      <c r="A42" s="185"/>
      <c r="B42" s="45">
        <v>28</v>
      </c>
      <c r="C42" s="114" t="s">
        <v>146</v>
      </c>
      <c r="D42" s="56"/>
      <c r="E42" s="69"/>
      <c r="F42" s="115">
        <v>19.98</v>
      </c>
      <c r="G42" s="141">
        <v>766.25</v>
      </c>
      <c r="H42" s="100">
        <f t="shared" si="18"/>
        <v>15309.675000000001</v>
      </c>
      <c r="I42" s="44">
        <f>$D$122*H42</f>
        <v>9819.5543037939897</v>
      </c>
      <c r="J42" s="67">
        <f>(References!$C$49*I42)</f>
        <v>14.238353740501283</v>
      </c>
      <c r="K42" s="67">
        <f>J42/References!$G$52</f>
        <v>14.530415083683318</v>
      </c>
      <c r="L42" s="67">
        <f t="shared" si="14"/>
        <v>0.72724800218635222</v>
      </c>
      <c r="M42" s="153">
        <v>63.55</v>
      </c>
      <c r="N42" s="147">
        <f t="shared" si="7"/>
        <v>64.277248002186354</v>
      </c>
      <c r="O42" s="67">
        <f t="shared" si="15"/>
        <v>1269.729</v>
      </c>
      <c r="P42" s="67">
        <f t="shared" si="16"/>
        <v>1284.2594150836833</v>
      </c>
      <c r="Q42" s="67">
        <f t="shared" si="10"/>
        <v>14.530415083683238</v>
      </c>
      <c r="R42" s="167"/>
      <c r="S42" s="172">
        <f t="shared" si="11"/>
        <v>0.16109585965459416</v>
      </c>
      <c r="T42" s="173">
        <f t="shared" si="12"/>
        <v>64.438343861840949</v>
      </c>
      <c r="U42" s="71">
        <f t="shared" si="17"/>
        <v>1287.4781103595822</v>
      </c>
      <c r="V42" s="176">
        <f t="shared" si="13"/>
        <v>3.2186952758988809</v>
      </c>
      <c r="W42" s="48"/>
    </row>
    <row r="43" spans="1:23" s="59" customFormat="1">
      <c r="A43" s="185"/>
      <c r="B43" s="45">
        <v>28</v>
      </c>
      <c r="C43" s="114" t="s">
        <v>147</v>
      </c>
      <c r="D43" s="56"/>
      <c r="E43" s="69"/>
      <c r="F43" s="116">
        <v>1</v>
      </c>
      <c r="G43" s="141">
        <v>766.25</v>
      </c>
      <c r="H43" s="100">
        <f t="shared" si="18"/>
        <v>766.25</v>
      </c>
      <c r="I43" s="44">
        <f>$D$122*H43</f>
        <v>491.46918437407351</v>
      </c>
      <c r="J43" s="67">
        <f>(References!$C$49*I43)</f>
        <v>0.71263031734240656</v>
      </c>
      <c r="K43" s="67">
        <f>J43/References!$G$52</f>
        <v>0.72724800218635222</v>
      </c>
      <c r="L43" s="67">
        <f t="shared" si="14"/>
        <v>0.72724800218635222</v>
      </c>
      <c r="M43" s="153">
        <v>70.88</v>
      </c>
      <c r="N43" s="147">
        <f t="shared" si="7"/>
        <v>71.607248002186353</v>
      </c>
      <c r="O43" s="67">
        <f t="shared" si="15"/>
        <v>70.88</v>
      </c>
      <c r="P43" s="67">
        <f t="shared" si="16"/>
        <v>71.607248002186353</v>
      </c>
      <c r="Q43" s="67">
        <f t="shared" si="10"/>
        <v>0.72724800218635721</v>
      </c>
      <c r="R43" s="167"/>
      <c r="S43" s="172">
        <f t="shared" si="11"/>
        <v>0.17946678697289542</v>
      </c>
      <c r="T43" s="173">
        <f t="shared" si="12"/>
        <v>71.786714789159248</v>
      </c>
      <c r="U43" s="71">
        <f t="shared" si="17"/>
        <v>71.786714789159248</v>
      </c>
      <c r="V43" s="176">
        <f t="shared" si="13"/>
        <v>0.17946678697289542</v>
      </c>
      <c r="W43" s="48"/>
    </row>
    <row r="44" spans="1:23" s="59" customFormat="1">
      <c r="A44" s="185"/>
      <c r="B44" s="45">
        <v>28</v>
      </c>
      <c r="C44" s="114" t="s">
        <v>148</v>
      </c>
      <c r="D44" s="56"/>
      <c r="E44" s="69"/>
      <c r="F44" s="116">
        <v>1</v>
      </c>
      <c r="G44" s="141">
        <v>766.25</v>
      </c>
      <c r="H44" s="100">
        <f t="shared" ref="H44:H51" si="19">F44*G44</f>
        <v>766.25</v>
      </c>
      <c r="I44" s="44">
        <f>$D$122*H44</f>
        <v>491.46918437407351</v>
      </c>
      <c r="J44" s="67">
        <f>(References!$C$49*I44)</f>
        <v>0.71263031734240656</v>
      </c>
      <c r="K44" s="67">
        <f>J44/References!$G$52</f>
        <v>0.72724800218635222</v>
      </c>
      <c r="L44" s="67">
        <f t="shared" ref="L44:L51" si="20">K44/F44</f>
        <v>0.72724800218635222</v>
      </c>
      <c r="M44" s="153">
        <v>66.22</v>
      </c>
      <c r="N44" s="147">
        <f t="shared" ref="N44:N51" si="21">L44+M44</f>
        <v>66.947248002186356</v>
      </c>
      <c r="O44" s="67">
        <f t="shared" ref="O44:O51" si="22">F44*M44</f>
        <v>66.22</v>
      </c>
      <c r="P44" s="67">
        <f t="shared" ref="P44:P51" si="23">F44*N44</f>
        <v>66.947248002186356</v>
      </c>
      <c r="Q44" s="67">
        <f t="shared" si="10"/>
        <v>0.72724800218635721</v>
      </c>
      <c r="R44" s="167"/>
      <c r="S44" s="172">
        <f t="shared" si="11"/>
        <v>0.16778758897790169</v>
      </c>
      <c r="T44" s="173">
        <f t="shared" si="12"/>
        <v>67.115035591164258</v>
      </c>
      <c r="U44" s="71">
        <f t="shared" si="17"/>
        <v>67.115035591164258</v>
      </c>
      <c r="V44" s="176">
        <f t="shared" si="13"/>
        <v>0.16778758897790169</v>
      </c>
      <c r="W44" s="48"/>
    </row>
    <row r="45" spans="1:23" s="59" customFormat="1">
      <c r="A45" s="185"/>
      <c r="B45" s="45" t="s">
        <v>192</v>
      </c>
      <c r="C45" s="131" t="s">
        <v>177</v>
      </c>
      <c r="D45" s="135"/>
      <c r="E45" s="133"/>
      <c r="F45" s="134">
        <v>7</v>
      </c>
      <c r="G45" s="140"/>
      <c r="H45" s="138"/>
      <c r="I45" s="136"/>
      <c r="J45" s="137"/>
      <c r="K45" s="137"/>
      <c r="L45" s="137"/>
      <c r="M45" s="155">
        <v>18.72</v>
      </c>
      <c r="N45" s="156">
        <f>L45+M45</f>
        <v>18.72</v>
      </c>
      <c r="O45" s="137">
        <f>F45*M45</f>
        <v>131.04</v>
      </c>
      <c r="P45" s="137">
        <f>F45*N45</f>
        <v>131.04</v>
      </c>
      <c r="Q45" s="67">
        <f t="shared" si="10"/>
        <v>0</v>
      </c>
      <c r="R45" s="167"/>
      <c r="S45" s="172">
        <f t="shared" si="11"/>
        <v>4.6917293233082802E-2</v>
      </c>
      <c r="T45" s="156">
        <f>N45</f>
        <v>18.72</v>
      </c>
      <c r="U45" s="71">
        <f t="shared" si="17"/>
        <v>131.04</v>
      </c>
      <c r="V45" s="176">
        <f t="shared" si="13"/>
        <v>0</v>
      </c>
      <c r="W45" s="48"/>
    </row>
    <row r="46" spans="1:23" s="59" customFormat="1">
      <c r="A46" s="185"/>
      <c r="B46" s="45" t="s">
        <v>192</v>
      </c>
      <c r="C46" s="131" t="s">
        <v>149</v>
      </c>
      <c r="D46" s="135"/>
      <c r="E46" s="133"/>
      <c r="F46" s="134">
        <v>7</v>
      </c>
      <c r="G46" s="140">
        <f>References!B32</f>
        <v>840</v>
      </c>
      <c r="H46" s="138">
        <f t="shared" si="19"/>
        <v>5880</v>
      </c>
      <c r="I46" s="136">
        <f>$D$122*H46</f>
        <v>3771.4046383289428</v>
      </c>
      <c r="J46" s="137">
        <f>(References!$C$49*I46)</f>
        <v>5.4685367255769668</v>
      </c>
      <c r="K46" s="137">
        <f>J46/References!$G$52</f>
        <v>5.5807089759944555</v>
      </c>
      <c r="L46" s="137">
        <f t="shared" si="20"/>
        <v>0.79724413942777939</v>
      </c>
      <c r="M46" s="155">
        <v>73.34</v>
      </c>
      <c r="N46" s="156">
        <f t="shared" si="21"/>
        <v>74.137244139427779</v>
      </c>
      <c r="O46" s="137">
        <f t="shared" si="22"/>
        <v>513.38</v>
      </c>
      <c r="P46" s="137">
        <f t="shared" si="23"/>
        <v>518.96070897599441</v>
      </c>
      <c r="Q46" s="67">
        <f t="shared" si="10"/>
        <v>5.580708975994412</v>
      </c>
      <c r="R46" s="167"/>
      <c r="S46" s="172">
        <f t="shared" si="11"/>
        <v>0.18580762942211493</v>
      </c>
      <c r="T46" s="156">
        <f t="shared" si="12"/>
        <v>74.323051768849894</v>
      </c>
      <c r="U46" s="71">
        <f t="shared" si="17"/>
        <v>520.26136238194931</v>
      </c>
      <c r="V46" s="176">
        <f t="shared" si="13"/>
        <v>1.300653405954904</v>
      </c>
      <c r="W46" s="48"/>
    </row>
    <row r="47" spans="1:23" s="59" customFormat="1">
      <c r="A47" s="185"/>
      <c r="B47" s="45" t="s">
        <v>192</v>
      </c>
      <c r="C47" s="114" t="s">
        <v>150</v>
      </c>
      <c r="D47" s="56"/>
      <c r="E47" s="69"/>
      <c r="F47" s="116">
        <v>76.59</v>
      </c>
      <c r="G47" s="139">
        <f>References!B32</f>
        <v>840</v>
      </c>
      <c r="H47" s="100">
        <f t="shared" si="19"/>
        <v>64335.600000000006</v>
      </c>
      <c r="I47" s="44">
        <f>$D$122*H47</f>
        <v>41264.554464230532</v>
      </c>
      <c r="J47" s="67">
        <f>(References!$C$49*I47)</f>
        <v>59.833603973134267</v>
      </c>
      <c r="K47" s="67">
        <f>J47/References!$G$52</f>
        <v>61.060928638773618</v>
      </c>
      <c r="L47" s="67">
        <f t="shared" si="20"/>
        <v>0.79724413942777927</v>
      </c>
      <c r="M47" s="153">
        <v>73.34</v>
      </c>
      <c r="N47" s="147">
        <f t="shared" si="21"/>
        <v>74.137244139427779</v>
      </c>
      <c r="O47" s="67">
        <f t="shared" si="22"/>
        <v>5617.1106000000009</v>
      </c>
      <c r="P47" s="67">
        <f t="shared" si="23"/>
        <v>5678.1715286387735</v>
      </c>
      <c r="Q47" s="67">
        <f t="shared" si="10"/>
        <v>61.060928638772566</v>
      </c>
      <c r="R47" s="167"/>
      <c r="S47" s="172">
        <f t="shared" si="11"/>
        <v>0.18580762942211493</v>
      </c>
      <c r="T47" s="173">
        <f t="shared" si="12"/>
        <v>74.323051768849894</v>
      </c>
      <c r="U47" s="71">
        <f t="shared" si="17"/>
        <v>5692.4025349762132</v>
      </c>
      <c r="V47" s="176">
        <f t="shared" si="13"/>
        <v>14.231006337439794</v>
      </c>
      <c r="W47" s="48"/>
    </row>
    <row r="48" spans="1:23" s="59" customFormat="1">
      <c r="A48" s="185"/>
      <c r="B48" s="45" t="s">
        <v>192</v>
      </c>
      <c r="C48" s="114" t="s">
        <v>151</v>
      </c>
      <c r="D48" s="56"/>
      <c r="E48" s="69"/>
      <c r="F48" s="116">
        <v>1</v>
      </c>
      <c r="G48" s="139">
        <f>References!B32</f>
        <v>840</v>
      </c>
      <c r="H48" s="100">
        <f t="shared" si="19"/>
        <v>840</v>
      </c>
      <c r="I48" s="44">
        <f>$D$122*H48</f>
        <v>538.77209118984899</v>
      </c>
      <c r="J48" s="67">
        <f>(References!$C$49*I48)</f>
        <v>0.78121953222528095</v>
      </c>
      <c r="K48" s="67">
        <f>J48/References!$G$52</f>
        <v>0.79724413942777927</v>
      </c>
      <c r="L48" s="67">
        <f t="shared" si="20"/>
        <v>0.79724413942777927</v>
      </c>
      <c r="M48" s="153">
        <v>79.45</v>
      </c>
      <c r="N48" s="147">
        <f t="shared" si="21"/>
        <v>80.247244139427778</v>
      </c>
      <c r="O48" s="67">
        <f t="shared" si="22"/>
        <v>79.45</v>
      </c>
      <c r="P48" s="67">
        <f t="shared" si="23"/>
        <v>80.247244139427778</v>
      </c>
      <c r="Q48" s="67">
        <f t="shared" si="10"/>
        <v>0.79724413942777517</v>
      </c>
      <c r="R48" s="167"/>
      <c r="S48" s="172">
        <f t="shared" si="11"/>
        <v>0.2011209126301452</v>
      </c>
      <c r="T48" s="173">
        <f t="shared" si="12"/>
        <v>80.448365052057923</v>
      </c>
      <c r="U48" s="71">
        <f t="shared" si="17"/>
        <v>80.448365052057923</v>
      </c>
      <c r="V48" s="176">
        <f t="shared" si="13"/>
        <v>0.2011209126301452</v>
      </c>
      <c r="W48" s="48"/>
    </row>
    <row r="49" spans="1:23" s="59" customFormat="1">
      <c r="A49" s="185"/>
      <c r="B49" s="45" t="s">
        <v>192</v>
      </c>
      <c r="C49" s="114" t="s">
        <v>194</v>
      </c>
      <c r="D49" s="56"/>
      <c r="E49" s="69"/>
      <c r="F49" s="116">
        <v>1</v>
      </c>
      <c r="G49" s="139">
        <v>12</v>
      </c>
      <c r="H49" s="100">
        <v>840</v>
      </c>
      <c r="I49" s="44">
        <f>$D$122*H49</f>
        <v>538.77209118984899</v>
      </c>
      <c r="J49" s="67">
        <f>(References!$C$49*I49)</f>
        <v>0.78121953222528095</v>
      </c>
      <c r="K49" s="67">
        <f>J49/References!$G$52</f>
        <v>0.79724413942777927</v>
      </c>
      <c r="L49" s="67">
        <f t="shared" si="20"/>
        <v>0.79724413942777927</v>
      </c>
      <c r="M49" s="153">
        <v>74.58</v>
      </c>
      <c r="N49" s="147">
        <f t="shared" si="21"/>
        <v>75.377244139427773</v>
      </c>
      <c r="O49" s="67">
        <f t="shared" si="22"/>
        <v>74.58</v>
      </c>
      <c r="P49" s="67">
        <f t="shared" si="23"/>
        <v>75.377244139427773</v>
      </c>
      <c r="Q49" s="67">
        <f t="shared" si="10"/>
        <v>0.79724413942777517</v>
      </c>
      <c r="R49" s="167"/>
      <c r="S49" s="172">
        <f t="shared" si="11"/>
        <v>0.18891539884567976</v>
      </c>
      <c r="T49" s="173">
        <f t="shared" si="12"/>
        <v>75.566159538273453</v>
      </c>
      <c r="U49" s="71">
        <f t="shared" si="17"/>
        <v>75.566159538273453</v>
      </c>
      <c r="V49" s="176">
        <f t="shared" si="13"/>
        <v>0.18891539884567976</v>
      </c>
      <c r="W49" s="48"/>
    </row>
    <row r="50" spans="1:23" s="59" customFormat="1">
      <c r="A50" s="185"/>
      <c r="B50" s="45" t="s">
        <v>192</v>
      </c>
      <c r="C50" s="131" t="s">
        <v>178</v>
      </c>
      <c r="D50" s="135"/>
      <c r="E50" s="133"/>
      <c r="F50" s="134">
        <v>1</v>
      </c>
      <c r="G50" s="140"/>
      <c r="H50" s="138"/>
      <c r="I50" s="136"/>
      <c r="J50" s="137"/>
      <c r="K50" s="137"/>
      <c r="L50" s="137"/>
      <c r="M50" s="155">
        <v>20.04</v>
      </c>
      <c r="N50" s="156">
        <f>L50+M50</f>
        <v>20.04</v>
      </c>
      <c r="O50" s="137">
        <f>F50*M50</f>
        <v>20.04</v>
      </c>
      <c r="P50" s="137">
        <f>F50*N50</f>
        <v>20.04</v>
      </c>
      <c r="Q50" s="67">
        <f t="shared" si="10"/>
        <v>0</v>
      </c>
      <c r="R50" s="167"/>
      <c r="S50" s="172">
        <f t="shared" si="11"/>
        <v>5.0225563909773285E-2</v>
      </c>
      <c r="T50" s="156">
        <f>N50</f>
        <v>20.04</v>
      </c>
      <c r="U50" s="71">
        <f t="shared" si="17"/>
        <v>20.04</v>
      </c>
      <c r="V50" s="176">
        <f t="shared" si="13"/>
        <v>0</v>
      </c>
      <c r="W50" s="48"/>
    </row>
    <row r="51" spans="1:23" s="59" customFormat="1">
      <c r="A51" s="185"/>
      <c r="B51" s="45" t="s">
        <v>192</v>
      </c>
      <c r="C51" s="131" t="s">
        <v>152</v>
      </c>
      <c r="D51" s="135"/>
      <c r="E51" s="133"/>
      <c r="F51" s="134">
        <v>1</v>
      </c>
      <c r="G51" s="174">
        <f>References!B33</f>
        <v>980</v>
      </c>
      <c r="H51" s="138">
        <f t="shared" si="19"/>
        <v>980</v>
      </c>
      <c r="I51" s="136">
        <f t="shared" ref="I51:I58" si="24">$D$122*H51</f>
        <v>628.56743972149047</v>
      </c>
      <c r="J51" s="137">
        <f>(References!$C$49*I51)</f>
        <v>0.91142278759616113</v>
      </c>
      <c r="K51" s="137">
        <f>J51/References!$G$52</f>
        <v>0.93011816266574254</v>
      </c>
      <c r="L51" s="137">
        <f t="shared" si="20"/>
        <v>0.93011816266574254</v>
      </c>
      <c r="M51" s="155">
        <v>83.35</v>
      </c>
      <c r="N51" s="156">
        <f t="shared" si="21"/>
        <v>84.280118162665744</v>
      </c>
      <c r="O51" s="137">
        <f t="shared" si="22"/>
        <v>83.35</v>
      </c>
      <c r="P51" s="137">
        <f t="shared" si="23"/>
        <v>84.280118162665744</v>
      </c>
      <c r="Q51" s="67">
        <f t="shared" si="10"/>
        <v>0.93011816266574954</v>
      </c>
      <c r="R51" s="167"/>
      <c r="S51" s="172">
        <f t="shared" si="11"/>
        <v>0.21122836632247299</v>
      </c>
      <c r="T51" s="156">
        <f t="shared" si="12"/>
        <v>84.491346528988217</v>
      </c>
      <c r="U51" s="71">
        <f t="shared" si="17"/>
        <v>84.491346528988217</v>
      </c>
      <c r="V51" s="176">
        <f t="shared" si="13"/>
        <v>0.21122836632247299</v>
      </c>
      <c r="W51" s="48"/>
    </row>
    <row r="52" spans="1:23" s="59" customFormat="1">
      <c r="A52" s="185"/>
      <c r="B52" s="45" t="s">
        <v>192</v>
      </c>
      <c r="C52" s="114" t="s">
        <v>153</v>
      </c>
      <c r="D52" s="56"/>
      <c r="E52" s="69"/>
      <c r="F52" s="115">
        <v>23.310000000000002</v>
      </c>
      <c r="G52" s="175">
        <f>References!B33</f>
        <v>980</v>
      </c>
      <c r="H52" s="100">
        <f t="shared" ref="H52:H73" si="25">F52*G52</f>
        <v>22843.800000000003</v>
      </c>
      <c r="I52" s="44">
        <f t="shared" si="24"/>
        <v>14651.907019907943</v>
      </c>
      <c r="J52" s="67">
        <f>(References!$C$49*I52)</f>
        <v>21.245265178866518</v>
      </c>
      <c r="K52" s="67">
        <f>J52/References!$G$52</f>
        <v>21.681054371738462</v>
      </c>
      <c r="L52" s="67">
        <f t="shared" ref="L52:L73" si="26">K52/F52</f>
        <v>0.93011816266574254</v>
      </c>
      <c r="M52" s="153">
        <v>83.35</v>
      </c>
      <c r="N52" s="147">
        <f t="shared" ref="N52:N73" si="27">L52+M52</f>
        <v>84.280118162665744</v>
      </c>
      <c r="O52" s="67">
        <f t="shared" ref="O52:O73" si="28">F52*M52</f>
        <v>1942.8885</v>
      </c>
      <c r="P52" s="67">
        <f t="shared" ref="P52:P73" si="29">F52*N52</f>
        <v>1964.5695543717386</v>
      </c>
      <c r="Q52" s="67">
        <f t="shared" si="10"/>
        <v>21.681054371738583</v>
      </c>
      <c r="R52" s="167"/>
      <c r="S52" s="172">
        <f t="shared" si="11"/>
        <v>0.21122836632247299</v>
      </c>
      <c r="T52" s="173">
        <f t="shared" si="12"/>
        <v>84.491346528988217</v>
      </c>
      <c r="U52" s="71">
        <f t="shared" si="17"/>
        <v>1969.4932875907155</v>
      </c>
      <c r="V52" s="176">
        <f t="shared" si="13"/>
        <v>4.9237332189768495</v>
      </c>
      <c r="W52" s="48"/>
    </row>
    <row r="53" spans="1:23" s="59" customFormat="1">
      <c r="A53" s="185"/>
      <c r="B53" s="45" t="s">
        <v>192</v>
      </c>
      <c r="C53" s="114" t="s">
        <v>154</v>
      </c>
      <c r="D53" s="56"/>
      <c r="E53" s="69"/>
      <c r="F53" s="115">
        <v>1</v>
      </c>
      <c r="G53" s="175">
        <f>References!B33</f>
        <v>980</v>
      </c>
      <c r="H53" s="100">
        <f t="shared" si="25"/>
        <v>980</v>
      </c>
      <c r="I53" s="44">
        <f t="shared" si="24"/>
        <v>628.56743972149047</v>
      </c>
      <c r="J53" s="67">
        <f>(References!$C$49*I53)</f>
        <v>0.91142278759616113</v>
      </c>
      <c r="K53" s="67">
        <f>J53/References!$G$52</f>
        <v>0.93011816266574254</v>
      </c>
      <c r="L53" s="67">
        <f t="shared" si="26"/>
        <v>0.93011816266574254</v>
      </c>
      <c r="M53" s="153">
        <v>88.43</v>
      </c>
      <c r="N53" s="147">
        <f t="shared" si="27"/>
        <v>89.360118162665756</v>
      </c>
      <c r="O53" s="67">
        <f t="shared" si="28"/>
        <v>88.43</v>
      </c>
      <c r="P53" s="67">
        <f t="shared" si="29"/>
        <v>89.360118162665756</v>
      </c>
      <c r="Q53" s="67">
        <f t="shared" si="10"/>
        <v>0.93011816266574954</v>
      </c>
      <c r="R53" s="167"/>
      <c r="S53" s="172">
        <f t="shared" si="11"/>
        <v>0.22396019589639593</v>
      </c>
      <c r="T53" s="173">
        <f t="shared" si="12"/>
        <v>89.584078358562152</v>
      </c>
      <c r="U53" s="71">
        <f t="shared" si="17"/>
        <v>89.584078358562152</v>
      </c>
      <c r="V53" s="176">
        <f t="shared" si="13"/>
        <v>0.22396019589639593</v>
      </c>
      <c r="W53" s="48"/>
    </row>
    <row r="54" spans="1:23" s="59" customFormat="1">
      <c r="A54" s="185"/>
      <c r="B54" s="45" t="s">
        <v>192</v>
      </c>
      <c r="C54" s="114" t="s">
        <v>155</v>
      </c>
      <c r="D54" s="56"/>
      <c r="E54" s="69"/>
      <c r="F54" s="115">
        <v>1</v>
      </c>
      <c r="G54" s="175">
        <f>References!B33</f>
        <v>980</v>
      </c>
      <c r="H54" s="100">
        <f t="shared" si="25"/>
        <v>980</v>
      </c>
      <c r="I54" s="44">
        <f t="shared" si="24"/>
        <v>628.56743972149047</v>
      </c>
      <c r="J54" s="67">
        <f>(References!$C$49*I54)</f>
        <v>0.91142278759616113</v>
      </c>
      <c r="K54" s="67">
        <f>J54/References!$G$52</f>
        <v>0.93011816266574254</v>
      </c>
      <c r="L54" s="67">
        <f t="shared" si="26"/>
        <v>0.93011816266574254</v>
      </c>
      <c r="M54" s="153">
        <v>85.61</v>
      </c>
      <c r="N54" s="147">
        <f t="shared" si="27"/>
        <v>86.540118162665749</v>
      </c>
      <c r="O54" s="67">
        <f t="shared" si="28"/>
        <v>85.61</v>
      </c>
      <c r="P54" s="67">
        <f t="shared" si="29"/>
        <v>86.540118162665749</v>
      </c>
      <c r="Q54" s="67">
        <f t="shared" si="10"/>
        <v>0.93011816266574954</v>
      </c>
      <c r="R54" s="167"/>
      <c r="S54" s="172">
        <f t="shared" si="11"/>
        <v>0.21689252672346981</v>
      </c>
      <c r="T54" s="173">
        <f t="shared" si="12"/>
        <v>86.757010689389219</v>
      </c>
      <c r="U54" s="71">
        <f t="shared" si="17"/>
        <v>86.757010689389219</v>
      </c>
      <c r="V54" s="176">
        <f t="shared" si="13"/>
        <v>0.21689252672346981</v>
      </c>
      <c r="W54" s="48"/>
    </row>
    <row r="55" spans="1:23" s="59" customFormat="1">
      <c r="A55" s="185"/>
      <c r="B55" s="45" t="s">
        <v>192</v>
      </c>
      <c r="C55" s="131" t="s">
        <v>179</v>
      </c>
      <c r="D55" s="135"/>
      <c r="E55" s="133"/>
      <c r="F55" s="134">
        <v>1</v>
      </c>
      <c r="G55" s="140"/>
      <c r="H55" s="138"/>
      <c r="I55" s="136">
        <f t="shared" si="24"/>
        <v>0</v>
      </c>
      <c r="J55" s="137">
        <f>(References!$C$49*I55)</f>
        <v>0</v>
      </c>
      <c r="K55" s="137">
        <f>J55/References!$G$52</f>
        <v>0</v>
      </c>
      <c r="L55" s="137">
        <f t="shared" si="26"/>
        <v>0</v>
      </c>
      <c r="M55" s="155">
        <v>25.73</v>
      </c>
      <c r="N55" s="156">
        <f>L55+M55</f>
        <v>25.73</v>
      </c>
      <c r="O55" s="137">
        <f>F55*M55</f>
        <v>25.73</v>
      </c>
      <c r="P55" s="137">
        <f>F55*N55</f>
        <v>25.73</v>
      </c>
      <c r="Q55" s="67">
        <f t="shared" si="10"/>
        <v>0</v>
      </c>
      <c r="R55" s="167"/>
      <c r="S55" s="172">
        <f t="shared" si="11"/>
        <v>6.4486215538845926E-2</v>
      </c>
      <c r="T55" s="156">
        <f>N55</f>
        <v>25.73</v>
      </c>
      <c r="U55" s="71">
        <f t="shared" si="17"/>
        <v>25.73</v>
      </c>
      <c r="V55" s="176">
        <f t="shared" si="13"/>
        <v>0</v>
      </c>
      <c r="W55" s="48"/>
    </row>
    <row r="56" spans="1:23" s="59" customFormat="1">
      <c r="A56" s="185"/>
      <c r="B56" s="45" t="s">
        <v>192</v>
      </c>
      <c r="C56" s="131" t="s">
        <v>156</v>
      </c>
      <c r="D56" s="135"/>
      <c r="E56" s="133"/>
      <c r="F56" s="134">
        <v>1</v>
      </c>
      <c r="G56" s="140">
        <v>1312.5</v>
      </c>
      <c r="H56" s="138">
        <f t="shared" ref="H56" si="30">F56*G56</f>
        <v>1312.5</v>
      </c>
      <c r="I56" s="136">
        <f t="shared" ref="I56" si="31">$D$122*H56</f>
        <v>841.83139248413897</v>
      </c>
      <c r="J56" s="137">
        <f>(References!$C$49*I56)</f>
        <v>1.2206555191020014</v>
      </c>
      <c r="K56" s="137">
        <f>J56/References!$G$52</f>
        <v>1.2456939678559051</v>
      </c>
      <c r="L56" s="137">
        <f t="shared" ref="L56" si="32">K56/F56</f>
        <v>1.2456939678559051</v>
      </c>
      <c r="M56" s="155">
        <v>99.7</v>
      </c>
      <c r="N56" s="157">
        <f t="shared" ref="N56" si="33">L56+M56</f>
        <v>100.9456939678559</v>
      </c>
      <c r="O56" s="137">
        <f t="shared" ref="O56" si="34">F56*M56</f>
        <v>99.7</v>
      </c>
      <c r="P56" s="137">
        <f t="shared" ref="P56" si="35">F56*N56</f>
        <v>100.9456939678559</v>
      </c>
      <c r="Q56" s="67">
        <f t="shared" ref="Q56" si="36">+P56-O56</f>
        <v>1.2456939678558996</v>
      </c>
      <c r="R56" s="167"/>
      <c r="S56" s="172">
        <f t="shared" si="11"/>
        <v>0.25299672673646967</v>
      </c>
      <c r="T56" s="157">
        <f t="shared" si="12"/>
        <v>101.19869069459237</v>
      </c>
      <c r="U56" s="71">
        <f t="shared" si="17"/>
        <v>101.19869069459237</v>
      </c>
      <c r="V56" s="176">
        <f t="shared" si="13"/>
        <v>0.25299672673646967</v>
      </c>
      <c r="W56" s="48"/>
    </row>
    <row r="57" spans="1:23" s="59" customFormat="1">
      <c r="A57" s="185"/>
      <c r="B57" s="45" t="s">
        <v>192</v>
      </c>
      <c r="C57" s="114" t="s">
        <v>157</v>
      </c>
      <c r="D57" s="56"/>
      <c r="E57" s="69"/>
      <c r="F57" s="115">
        <v>15</v>
      </c>
      <c r="G57" s="141">
        <v>1312.5</v>
      </c>
      <c r="H57" s="100">
        <f t="shared" si="25"/>
        <v>19687.5</v>
      </c>
      <c r="I57" s="44">
        <f t="shared" si="24"/>
        <v>12627.470887262085</v>
      </c>
      <c r="J57" s="67">
        <f>(References!$C$49*I57)</f>
        <v>18.309832786530023</v>
      </c>
      <c r="K57" s="67">
        <f>J57/References!$G$52</f>
        <v>18.685409517838579</v>
      </c>
      <c r="L57" s="67">
        <f t="shared" si="26"/>
        <v>1.2456939678559054</v>
      </c>
      <c r="M57" s="153">
        <v>106.1</v>
      </c>
      <c r="N57" s="147">
        <f t="shared" si="27"/>
        <v>107.34569396785589</v>
      </c>
      <c r="O57" s="67">
        <f t="shared" si="28"/>
        <v>1591.5</v>
      </c>
      <c r="P57" s="67">
        <f t="shared" si="29"/>
        <v>1610.1854095178385</v>
      </c>
      <c r="Q57" s="67">
        <f t="shared" si="10"/>
        <v>18.68540951783848</v>
      </c>
      <c r="R57" s="167"/>
      <c r="S57" s="172">
        <f t="shared" si="11"/>
        <v>0.2690368269871044</v>
      </c>
      <c r="T57" s="173">
        <f t="shared" si="12"/>
        <v>107.614730794843</v>
      </c>
      <c r="U57" s="71">
        <f t="shared" si="17"/>
        <v>1614.2209619226451</v>
      </c>
      <c r="V57" s="176">
        <f t="shared" si="13"/>
        <v>4.0355524048065945</v>
      </c>
      <c r="W57" s="48"/>
    </row>
    <row r="58" spans="1:23" s="59" customFormat="1">
      <c r="A58" s="185"/>
      <c r="B58" s="45" t="s">
        <v>192</v>
      </c>
      <c r="C58" s="114" t="s">
        <v>158</v>
      </c>
      <c r="D58" s="56"/>
      <c r="E58" s="69"/>
      <c r="F58" s="115">
        <v>1</v>
      </c>
      <c r="G58" s="141">
        <v>1312.5</v>
      </c>
      <c r="H58" s="100">
        <f t="shared" si="25"/>
        <v>1312.5</v>
      </c>
      <c r="I58" s="44">
        <f t="shared" si="24"/>
        <v>841.83139248413897</v>
      </c>
      <c r="J58" s="67">
        <f>(References!$C$49*I58)</f>
        <v>1.2206555191020014</v>
      </c>
      <c r="K58" s="67">
        <f>J58/References!$G$52</f>
        <v>1.2456939678559051</v>
      </c>
      <c r="L58" s="67">
        <f t="shared" si="26"/>
        <v>1.2456939678559051</v>
      </c>
      <c r="M58" s="153">
        <v>103.49</v>
      </c>
      <c r="N58" s="147">
        <f t="shared" si="27"/>
        <v>104.73569396785589</v>
      </c>
      <c r="O58" s="67">
        <f t="shared" si="28"/>
        <v>103.49</v>
      </c>
      <c r="P58" s="67">
        <f t="shared" si="29"/>
        <v>104.73569396785589</v>
      </c>
      <c r="Q58" s="67">
        <f t="shared" si="10"/>
        <v>1.2456939678558996</v>
      </c>
      <c r="R58" s="167"/>
      <c r="S58" s="172">
        <f t="shared" si="11"/>
        <v>0.26249547360365</v>
      </c>
      <c r="T58" s="173">
        <f t="shared" si="12"/>
        <v>104.99818944145954</v>
      </c>
      <c r="U58" s="71">
        <f t="shared" si="17"/>
        <v>104.99818944145954</v>
      </c>
      <c r="V58" s="176">
        <f t="shared" si="13"/>
        <v>0.26249547360365</v>
      </c>
      <c r="W58" s="48"/>
    </row>
    <row r="59" spans="1:23" s="59" customFormat="1">
      <c r="A59" s="185"/>
      <c r="B59" s="45"/>
      <c r="C59" s="129" t="s">
        <v>159</v>
      </c>
      <c r="D59" s="56"/>
      <c r="E59" s="69"/>
      <c r="F59" s="115"/>
      <c r="G59" s="139"/>
      <c r="H59" s="100"/>
      <c r="I59" s="44"/>
      <c r="J59" s="67"/>
      <c r="K59" s="67"/>
      <c r="L59" s="67"/>
      <c r="M59" s="153"/>
      <c r="N59" s="147"/>
      <c r="O59" s="67"/>
      <c r="P59" s="67"/>
      <c r="Q59" s="67"/>
      <c r="R59" s="167"/>
      <c r="S59" s="172"/>
      <c r="T59" s="173"/>
      <c r="U59" s="71">
        <f t="shared" si="17"/>
        <v>0</v>
      </c>
      <c r="V59" s="176">
        <f t="shared" si="13"/>
        <v>0</v>
      </c>
      <c r="W59" s="48"/>
    </row>
    <row r="60" spans="1:23" s="59" customFormat="1">
      <c r="A60" s="185"/>
      <c r="B60" s="45">
        <v>29</v>
      </c>
      <c r="C60" s="114" t="s">
        <v>160</v>
      </c>
      <c r="D60" s="56"/>
      <c r="E60" s="69"/>
      <c r="F60" s="115">
        <v>4.33</v>
      </c>
      <c r="G60" s="139">
        <f>References!B26</f>
        <v>29</v>
      </c>
      <c r="H60" s="100">
        <f t="shared" si="25"/>
        <v>125.57000000000001</v>
      </c>
      <c r="I60" s="44">
        <f t="shared" ref="I60:I73" si="37">$D$122*H60</f>
        <v>80.540013679415878</v>
      </c>
      <c r="J60" s="67">
        <f>(References!$C$49*I60)</f>
        <v>0.11678301983515302</v>
      </c>
      <c r="K60" s="67">
        <f>J60/References!$G$52</f>
        <v>0.11917850784279316</v>
      </c>
      <c r="L60" s="67">
        <f t="shared" si="26"/>
        <v>2.7523904813578096E-2</v>
      </c>
      <c r="M60" s="153">
        <v>3.05</v>
      </c>
      <c r="N60" s="147">
        <f t="shared" si="27"/>
        <v>3.0775239048135781</v>
      </c>
      <c r="O60" s="67">
        <f t="shared" si="28"/>
        <v>13.2065</v>
      </c>
      <c r="P60" s="67">
        <f t="shared" si="29"/>
        <v>13.325678507842794</v>
      </c>
      <c r="Q60" s="67">
        <f t="shared" ref="Q60:Q73" si="38">+P60-O60</f>
        <v>0.11917850784279338</v>
      </c>
      <c r="R60" s="167"/>
      <c r="S60" s="172">
        <f t="shared" si="11"/>
        <v>7.7130924932671263E-3</v>
      </c>
      <c r="T60" s="173">
        <f t="shared" si="12"/>
        <v>3.0852369973068452</v>
      </c>
      <c r="U60" s="71">
        <f t="shared" si="17"/>
        <v>13.35907619833864</v>
      </c>
      <c r="V60" s="176">
        <f t="shared" si="13"/>
        <v>3.3397690495846177E-2</v>
      </c>
      <c r="W60" s="48"/>
    </row>
    <row r="61" spans="1:23" s="59" customFormat="1">
      <c r="A61" s="185"/>
      <c r="B61" s="45">
        <v>29</v>
      </c>
      <c r="C61" s="114" t="s">
        <v>161</v>
      </c>
      <c r="D61" s="56"/>
      <c r="E61" s="69"/>
      <c r="F61" s="115">
        <v>1</v>
      </c>
      <c r="G61" s="139">
        <f>References!B26</f>
        <v>29</v>
      </c>
      <c r="H61" s="100">
        <f t="shared" si="25"/>
        <v>29</v>
      </c>
      <c r="I61" s="44">
        <f t="shared" si="37"/>
        <v>18.60046505298288</v>
      </c>
      <c r="J61" s="67">
        <f>(References!$C$49*I61)</f>
        <v>2.6970674326825175E-2</v>
      </c>
      <c r="K61" s="67">
        <f>J61/References!$G$52</f>
        <v>2.7523904813578096E-2</v>
      </c>
      <c r="L61" s="67">
        <f t="shared" si="26"/>
        <v>2.7523904813578096E-2</v>
      </c>
      <c r="M61" s="153">
        <v>3.05</v>
      </c>
      <c r="N61" s="147">
        <f t="shared" si="27"/>
        <v>3.0775239048135781</v>
      </c>
      <c r="O61" s="67">
        <f t="shared" si="28"/>
        <v>3.05</v>
      </c>
      <c r="P61" s="67">
        <f t="shared" si="29"/>
        <v>3.0775239048135781</v>
      </c>
      <c r="Q61" s="67">
        <f t="shared" si="38"/>
        <v>2.7523904813578248E-2</v>
      </c>
      <c r="R61" s="167"/>
      <c r="S61" s="172">
        <f t="shared" si="11"/>
        <v>7.7130924932671263E-3</v>
      </c>
      <c r="T61" s="173">
        <f t="shared" si="12"/>
        <v>3.0852369973068452</v>
      </c>
      <c r="U61" s="71">
        <f t="shared" si="17"/>
        <v>3.0852369973068452</v>
      </c>
      <c r="V61" s="176">
        <f t="shared" si="13"/>
        <v>7.7130924932671263E-3</v>
      </c>
      <c r="W61" s="48"/>
    </row>
    <row r="62" spans="1:23" s="59" customFormat="1">
      <c r="A62" s="185"/>
      <c r="B62" s="45">
        <v>29</v>
      </c>
      <c r="C62" s="114" t="s">
        <v>162</v>
      </c>
      <c r="D62" s="56"/>
      <c r="E62" s="69"/>
      <c r="F62" s="115">
        <v>4.33</v>
      </c>
      <c r="G62" s="139">
        <f>References!B21</f>
        <v>47</v>
      </c>
      <c r="H62" s="100">
        <f t="shared" si="25"/>
        <v>203.51</v>
      </c>
      <c r="I62" s="44">
        <f t="shared" si="37"/>
        <v>130.53036699767401</v>
      </c>
      <c r="J62" s="67">
        <f>(References!$C$49*I62)</f>
        <v>0.1892690321466273</v>
      </c>
      <c r="K62" s="67">
        <f>J62/References!$G$52</f>
        <v>0.19315137477969926</v>
      </c>
      <c r="L62" s="67">
        <f t="shared" si="26"/>
        <v>4.4607707801316225E-2</v>
      </c>
      <c r="M62" s="153">
        <v>4.0999999999999996</v>
      </c>
      <c r="N62" s="147">
        <f t="shared" si="27"/>
        <v>4.1446077078013159</v>
      </c>
      <c r="O62" s="67">
        <f t="shared" si="28"/>
        <v>17.753</v>
      </c>
      <c r="P62" s="67">
        <f t="shared" si="29"/>
        <v>17.946151374779699</v>
      </c>
      <c r="Q62" s="67">
        <f t="shared" si="38"/>
        <v>0.19315137477969913</v>
      </c>
      <c r="R62" s="167"/>
      <c r="S62" s="172">
        <f t="shared" si="11"/>
        <v>1.0387487989476973E-2</v>
      </c>
      <c r="T62" s="173">
        <f t="shared" si="12"/>
        <v>4.1549951957907929</v>
      </c>
      <c r="U62" s="71">
        <f t="shared" si="17"/>
        <v>17.991129197774132</v>
      </c>
      <c r="V62" s="176">
        <f t="shared" si="13"/>
        <v>4.497782299443287E-2</v>
      </c>
      <c r="W62" s="48"/>
    </row>
    <row r="63" spans="1:23" s="59" customFormat="1">
      <c r="A63" s="185"/>
      <c r="B63" s="45">
        <v>29</v>
      </c>
      <c r="C63" s="114" t="s">
        <v>163</v>
      </c>
      <c r="D63" s="56"/>
      <c r="E63" s="69"/>
      <c r="F63" s="115">
        <v>1</v>
      </c>
      <c r="G63" s="139">
        <f>References!B21</f>
        <v>47</v>
      </c>
      <c r="H63" s="100">
        <f t="shared" si="25"/>
        <v>47</v>
      </c>
      <c r="I63" s="44">
        <f t="shared" si="37"/>
        <v>30.145581292765357</v>
      </c>
      <c r="J63" s="67">
        <f>(References!$C$49*I63)</f>
        <v>4.3711092874509763E-2</v>
      </c>
      <c r="K63" s="67">
        <f>J63/References!$G$52</f>
        <v>4.4607707801316218E-2</v>
      </c>
      <c r="L63" s="67">
        <f t="shared" si="26"/>
        <v>4.4607707801316218E-2</v>
      </c>
      <c r="M63" s="153">
        <v>4.0999999999999996</v>
      </c>
      <c r="N63" s="147">
        <f t="shared" si="27"/>
        <v>4.1446077078013159</v>
      </c>
      <c r="O63" s="67">
        <f t="shared" si="28"/>
        <v>4.0999999999999996</v>
      </c>
      <c r="P63" s="67">
        <f t="shared" si="29"/>
        <v>4.1446077078013159</v>
      </c>
      <c r="Q63" s="67">
        <f t="shared" si="38"/>
        <v>4.4607707801316288E-2</v>
      </c>
      <c r="R63" s="167"/>
      <c r="S63" s="172">
        <f t="shared" si="11"/>
        <v>1.0387487989476973E-2</v>
      </c>
      <c r="T63" s="173">
        <f t="shared" si="12"/>
        <v>4.1549951957907929</v>
      </c>
      <c r="U63" s="71">
        <f t="shared" si="17"/>
        <v>4.1549951957907929</v>
      </c>
      <c r="V63" s="176">
        <f t="shared" si="13"/>
        <v>1.0387487989476973E-2</v>
      </c>
      <c r="W63" s="48"/>
    </row>
    <row r="64" spans="1:23" s="59" customFormat="1">
      <c r="A64" s="185"/>
      <c r="B64" s="45">
        <v>29</v>
      </c>
      <c r="C64" s="114" t="s">
        <v>164</v>
      </c>
      <c r="D64" s="56"/>
      <c r="E64" s="69"/>
      <c r="F64" s="115">
        <v>21.65</v>
      </c>
      <c r="G64" s="139">
        <f>References!B22</f>
        <v>68</v>
      </c>
      <c r="H64" s="100">
        <f t="shared" si="25"/>
        <v>1472.1999999999998</v>
      </c>
      <c r="I64" s="44">
        <f t="shared" si="37"/>
        <v>944.26222934487566</v>
      </c>
      <c r="J64" s="67">
        <f>(References!$C$49*I64)</f>
        <v>1.3691802325500697</v>
      </c>
      <c r="K64" s="67">
        <f>J64/References!$G$52</f>
        <v>1.3972652643637817</v>
      </c>
      <c r="L64" s="67">
        <f t="shared" si="26"/>
        <v>6.4538811287010708E-2</v>
      </c>
      <c r="M64" s="153">
        <v>5.22</v>
      </c>
      <c r="N64" s="147">
        <f t="shared" si="27"/>
        <v>5.2845388112870104</v>
      </c>
      <c r="O64" s="67">
        <f t="shared" si="28"/>
        <v>113.01299999999999</v>
      </c>
      <c r="P64" s="67">
        <f t="shared" si="29"/>
        <v>114.41026526436377</v>
      </c>
      <c r="Q64" s="67">
        <f t="shared" si="38"/>
        <v>1.3972652643637815</v>
      </c>
      <c r="R64" s="167"/>
      <c r="S64" s="172">
        <f t="shared" si="11"/>
        <v>1.3244458173651275E-2</v>
      </c>
      <c r="T64" s="173">
        <f t="shared" si="12"/>
        <v>5.2977832694606617</v>
      </c>
      <c r="U64" s="71">
        <f t="shared" si="17"/>
        <v>114.69700778382332</v>
      </c>
      <c r="V64" s="176">
        <f t="shared" si="13"/>
        <v>0.2867425194595512</v>
      </c>
      <c r="W64" s="48"/>
    </row>
    <row r="65" spans="1:28" s="59" customFormat="1">
      <c r="A65" s="185"/>
      <c r="B65" s="45">
        <v>29</v>
      </c>
      <c r="C65" s="114" t="s">
        <v>165</v>
      </c>
      <c r="D65" s="56"/>
      <c r="E65" s="69"/>
      <c r="F65" s="115">
        <v>1</v>
      </c>
      <c r="G65" s="139">
        <f>References!B22</f>
        <v>68</v>
      </c>
      <c r="H65" s="100">
        <f t="shared" si="25"/>
        <v>68</v>
      </c>
      <c r="I65" s="44">
        <f t="shared" si="37"/>
        <v>43.61488357251158</v>
      </c>
      <c r="J65" s="67">
        <f>(References!$C$49*I65)</f>
        <v>6.3241581180141782E-2</v>
      </c>
      <c r="K65" s="67">
        <f>J65/References!$G$52</f>
        <v>6.4538811287010694E-2</v>
      </c>
      <c r="L65" s="67">
        <f t="shared" si="26"/>
        <v>6.4538811287010694E-2</v>
      </c>
      <c r="M65" s="153">
        <v>5.22</v>
      </c>
      <c r="N65" s="147">
        <f t="shared" si="27"/>
        <v>5.2845388112870104</v>
      </c>
      <c r="O65" s="67">
        <f t="shared" si="28"/>
        <v>5.22</v>
      </c>
      <c r="P65" s="67">
        <f t="shared" si="29"/>
        <v>5.2845388112870104</v>
      </c>
      <c r="Q65" s="67">
        <f t="shared" si="38"/>
        <v>6.4538811287010667E-2</v>
      </c>
      <c r="R65" s="167"/>
      <c r="S65" s="172">
        <f t="shared" si="11"/>
        <v>1.3244458173651275E-2</v>
      </c>
      <c r="T65" s="173">
        <f t="shared" si="12"/>
        <v>5.2977832694606617</v>
      </c>
      <c r="U65" s="71">
        <f t="shared" si="17"/>
        <v>5.2977832694606617</v>
      </c>
      <c r="V65" s="176">
        <f t="shared" si="13"/>
        <v>1.3244458173651275E-2</v>
      </c>
      <c r="W65" s="48"/>
    </row>
    <row r="66" spans="1:28" s="59" customFormat="1">
      <c r="A66" s="185"/>
      <c r="B66" s="45">
        <v>29</v>
      </c>
      <c r="C66" s="114" t="s">
        <v>162</v>
      </c>
      <c r="D66" s="56"/>
      <c r="E66" s="69"/>
      <c r="F66" s="115">
        <v>4.33</v>
      </c>
      <c r="G66" s="139">
        <f>References!B21</f>
        <v>47</v>
      </c>
      <c r="H66" s="100">
        <f t="shared" si="25"/>
        <v>203.51</v>
      </c>
      <c r="I66" s="44">
        <f t="shared" si="37"/>
        <v>130.53036699767401</v>
      </c>
      <c r="J66" s="67">
        <f>(References!$C$49*I66)</f>
        <v>0.1892690321466273</v>
      </c>
      <c r="K66" s="67">
        <f>J66/References!$G$52</f>
        <v>0.19315137477969926</v>
      </c>
      <c r="L66" s="67">
        <f t="shared" si="26"/>
        <v>4.4607707801316225E-2</v>
      </c>
      <c r="M66" s="153">
        <v>4.0999999999999996</v>
      </c>
      <c r="N66" s="147">
        <f t="shared" si="27"/>
        <v>4.1446077078013159</v>
      </c>
      <c r="O66" s="67">
        <f t="shared" si="28"/>
        <v>17.753</v>
      </c>
      <c r="P66" s="67">
        <f t="shared" si="29"/>
        <v>17.946151374779699</v>
      </c>
      <c r="Q66" s="67">
        <f t="shared" si="38"/>
        <v>0.19315137477969913</v>
      </c>
      <c r="R66" s="167"/>
      <c r="S66" s="172">
        <f t="shared" si="11"/>
        <v>1.0387487989476973E-2</v>
      </c>
      <c r="T66" s="173">
        <f t="shared" si="12"/>
        <v>4.1549951957907929</v>
      </c>
      <c r="U66" s="71">
        <f t="shared" si="17"/>
        <v>17.991129197774132</v>
      </c>
      <c r="V66" s="176">
        <f t="shared" si="13"/>
        <v>4.497782299443287E-2</v>
      </c>
      <c r="W66" s="48"/>
    </row>
    <row r="67" spans="1:28" s="59" customFormat="1">
      <c r="A67" s="185"/>
      <c r="B67" s="45">
        <v>29</v>
      </c>
      <c r="C67" s="114" t="s">
        <v>163</v>
      </c>
      <c r="D67" s="56"/>
      <c r="E67" s="69"/>
      <c r="F67" s="115">
        <v>1</v>
      </c>
      <c r="G67" s="139">
        <f>References!B21</f>
        <v>47</v>
      </c>
      <c r="H67" s="100">
        <f t="shared" si="25"/>
        <v>47</v>
      </c>
      <c r="I67" s="44">
        <f t="shared" si="37"/>
        <v>30.145581292765357</v>
      </c>
      <c r="J67" s="67">
        <f>(References!$C$49*I67)</f>
        <v>4.3711092874509763E-2</v>
      </c>
      <c r="K67" s="67">
        <f>J67/References!$G$52</f>
        <v>4.4607707801316218E-2</v>
      </c>
      <c r="L67" s="67">
        <f t="shared" si="26"/>
        <v>4.4607707801316218E-2</v>
      </c>
      <c r="M67" s="153">
        <v>4.0999999999999996</v>
      </c>
      <c r="N67" s="147">
        <f t="shared" si="27"/>
        <v>4.1446077078013159</v>
      </c>
      <c r="O67" s="67">
        <f t="shared" si="28"/>
        <v>4.0999999999999996</v>
      </c>
      <c r="P67" s="67">
        <f t="shared" si="29"/>
        <v>4.1446077078013159</v>
      </c>
      <c r="Q67" s="67">
        <f t="shared" si="38"/>
        <v>4.4607707801316288E-2</v>
      </c>
      <c r="R67" s="167"/>
      <c r="S67" s="172">
        <f t="shared" si="11"/>
        <v>1.0387487989476973E-2</v>
      </c>
      <c r="T67" s="173">
        <f t="shared" si="12"/>
        <v>4.1549951957907929</v>
      </c>
      <c r="U67" s="71">
        <f t="shared" si="17"/>
        <v>4.1549951957907929</v>
      </c>
      <c r="V67" s="176">
        <f t="shared" si="13"/>
        <v>1.0387487989476973E-2</v>
      </c>
      <c r="W67" s="48"/>
    </row>
    <row r="68" spans="1:28" s="59" customFormat="1">
      <c r="A68" s="185"/>
      <c r="B68" s="45">
        <v>29</v>
      </c>
      <c r="C68" s="114" t="s">
        <v>166</v>
      </c>
      <c r="D68" s="56"/>
      <c r="E68" s="69"/>
      <c r="F68" s="115">
        <v>4.33</v>
      </c>
      <c r="G68" s="139">
        <f>References!B27</f>
        <v>175</v>
      </c>
      <c r="H68" s="100">
        <f t="shared" si="25"/>
        <v>757.75</v>
      </c>
      <c r="I68" s="44">
        <f t="shared" si="37"/>
        <v>486.01732392750955</v>
      </c>
      <c r="J68" s="67">
        <f>(References!$C$49*I68)</f>
        <v>0.70472511969488882</v>
      </c>
      <c r="K68" s="67">
        <f>J68/References!$G$52</f>
        <v>0.71918065077547588</v>
      </c>
      <c r="L68" s="67">
        <f t="shared" si="26"/>
        <v>0.166092529047454</v>
      </c>
      <c r="M68" s="153">
        <v>14.6</v>
      </c>
      <c r="N68" s="147">
        <f t="shared" si="27"/>
        <v>14.766092529047453</v>
      </c>
      <c r="O68" s="67">
        <f t="shared" si="28"/>
        <v>63.217999999999996</v>
      </c>
      <c r="P68" s="67">
        <f t="shared" si="29"/>
        <v>63.937180650775474</v>
      </c>
      <c r="Q68" s="67">
        <f t="shared" si="38"/>
        <v>0.71918065077547766</v>
      </c>
      <c r="R68" s="167"/>
      <c r="S68" s="172">
        <f t="shared" si="11"/>
        <v>3.7007750699366682E-2</v>
      </c>
      <c r="T68" s="173">
        <f t="shared" si="12"/>
        <v>14.80310027974682</v>
      </c>
      <c r="U68" s="71">
        <f t="shared" si="17"/>
        <v>64.097424211303732</v>
      </c>
      <c r="V68" s="176">
        <f t="shared" si="13"/>
        <v>0.16024356052825794</v>
      </c>
      <c r="W68" s="48"/>
    </row>
    <row r="69" spans="1:28" s="59" customFormat="1">
      <c r="A69" s="185"/>
      <c r="B69" s="45">
        <v>29</v>
      </c>
      <c r="C69" s="114" t="s">
        <v>167</v>
      </c>
      <c r="D69" s="56"/>
      <c r="E69" s="69"/>
      <c r="F69" s="115">
        <v>1</v>
      </c>
      <c r="G69" s="139">
        <f>References!B27</f>
        <v>175</v>
      </c>
      <c r="H69" s="100">
        <f t="shared" si="25"/>
        <v>175</v>
      </c>
      <c r="I69" s="44">
        <f t="shared" si="37"/>
        <v>112.24418566455186</v>
      </c>
      <c r="J69" s="67">
        <f>(References!$C$49*I69)</f>
        <v>0.16275406921360019</v>
      </c>
      <c r="K69" s="67">
        <f>J69/References!$G$52</f>
        <v>0.16609252904745403</v>
      </c>
      <c r="L69" s="67">
        <f t="shared" si="26"/>
        <v>0.16609252904745403</v>
      </c>
      <c r="M69" s="153">
        <v>20.02</v>
      </c>
      <c r="N69" s="147">
        <f t="shared" si="27"/>
        <v>20.186092529047453</v>
      </c>
      <c r="O69" s="67">
        <f t="shared" si="28"/>
        <v>20.02</v>
      </c>
      <c r="P69" s="67">
        <f t="shared" si="29"/>
        <v>20.186092529047453</v>
      </c>
      <c r="Q69" s="67">
        <f t="shared" si="38"/>
        <v>0.16609252904745375</v>
      </c>
      <c r="R69" s="167"/>
      <c r="S69" s="172">
        <f t="shared" si="11"/>
        <v>5.0591710599114492E-2</v>
      </c>
      <c r="T69" s="173">
        <f t="shared" si="12"/>
        <v>20.236684239646568</v>
      </c>
      <c r="U69" s="71">
        <f t="shared" si="17"/>
        <v>20.236684239646568</v>
      </c>
      <c r="V69" s="176">
        <f t="shared" si="13"/>
        <v>5.0591710599114492E-2</v>
      </c>
      <c r="W69" s="48"/>
    </row>
    <row r="70" spans="1:28" s="59" customFormat="1">
      <c r="A70" s="185"/>
      <c r="B70" s="45">
        <v>29</v>
      </c>
      <c r="C70" s="114" t="s">
        <v>168</v>
      </c>
      <c r="D70" s="56"/>
      <c r="E70" s="69"/>
      <c r="F70" s="115">
        <v>4.33</v>
      </c>
      <c r="G70" s="139">
        <f>References!B28</f>
        <v>250</v>
      </c>
      <c r="H70" s="100">
        <f t="shared" si="25"/>
        <v>1082.5</v>
      </c>
      <c r="I70" s="44">
        <f t="shared" si="37"/>
        <v>694.31046275358506</v>
      </c>
      <c r="J70" s="67">
        <f>(References!$C$49*I70)</f>
        <v>1.0067501709926983</v>
      </c>
      <c r="K70" s="67">
        <f>J70/References!$G$52</f>
        <v>1.0274009296792512</v>
      </c>
      <c r="L70" s="67">
        <f t="shared" si="26"/>
        <v>0.23727504149636286</v>
      </c>
      <c r="M70" s="153">
        <v>20.92</v>
      </c>
      <c r="N70" s="147">
        <f t="shared" si="27"/>
        <v>21.157275041496366</v>
      </c>
      <c r="O70" s="67">
        <f t="shared" si="28"/>
        <v>90.583600000000004</v>
      </c>
      <c r="P70" s="67">
        <f t="shared" si="29"/>
        <v>91.611000929679264</v>
      </c>
      <c r="Q70" s="67">
        <f t="shared" si="38"/>
        <v>1.0274009296792599</v>
      </c>
      <c r="R70" s="167"/>
      <c r="S70" s="172">
        <f t="shared" si="11"/>
        <v>5.3025751983700076E-2</v>
      </c>
      <c r="T70" s="173">
        <f t="shared" si="12"/>
        <v>21.210300793480066</v>
      </c>
      <c r="U70" s="71">
        <f t="shared" si="17"/>
        <v>91.840602435768687</v>
      </c>
      <c r="V70" s="176">
        <f t="shared" si="13"/>
        <v>0.22960150608942342</v>
      </c>
      <c r="W70" s="48"/>
    </row>
    <row r="71" spans="1:28" s="59" customFormat="1">
      <c r="A71" s="185"/>
      <c r="B71" s="45">
        <v>29</v>
      </c>
      <c r="C71" s="114" t="s">
        <v>169</v>
      </c>
      <c r="D71" s="56"/>
      <c r="E71" s="69"/>
      <c r="F71" s="115">
        <v>1</v>
      </c>
      <c r="G71" s="139">
        <f>References!B28</f>
        <v>250</v>
      </c>
      <c r="H71" s="100">
        <f t="shared" si="25"/>
        <v>250</v>
      </c>
      <c r="I71" s="44">
        <f t="shared" si="37"/>
        <v>160.34883666364553</v>
      </c>
      <c r="J71" s="67">
        <f>(References!$C$49*I71)</f>
        <v>0.232505813162286</v>
      </c>
      <c r="K71" s="67">
        <f>J71/References!$G$52</f>
        <v>0.23727504149636289</v>
      </c>
      <c r="L71" s="67">
        <f t="shared" si="26"/>
        <v>0.23727504149636289</v>
      </c>
      <c r="M71" s="153">
        <v>20.92</v>
      </c>
      <c r="N71" s="147">
        <f t="shared" si="27"/>
        <v>21.157275041496366</v>
      </c>
      <c r="O71" s="67">
        <f t="shared" si="28"/>
        <v>20.92</v>
      </c>
      <c r="P71" s="67">
        <f t="shared" si="29"/>
        <v>21.157275041496366</v>
      </c>
      <c r="Q71" s="67">
        <f t="shared" si="38"/>
        <v>0.23727504149636403</v>
      </c>
      <c r="R71" s="167"/>
      <c r="S71" s="172">
        <f t="shared" si="11"/>
        <v>5.3025751983700076E-2</v>
      </c>
      <c r="T71" s="173">
        <f t="shared" si="12"/>
        <v>21.210300793480066</v>
      </c>
      <c r="U71" s="71">
        <f t="shared" si="17"/>
        <v>21.210300793480066</v>
      </c>
      <c r="V71" s="176">
        <f t="shared" si="13"/>
        <v>5.3025751983700076E-2</v>
      </c>
      <c r="W71" s="48"/>
    </row>
    <row r="72" spans="1:28" s="59" customFormat="1">
      <c r="A72" s="185"/>
      <c r="B72" s="45" t="s">
        <v>193</v>
      </c>
      <c r="C72" s="114" t="s">
        <v>170</v>
      </c>
      <c r="D72" s="56"/>
      <c r="E72" s="69"/>
      <c r="F72" s="115">
        <v>4.33</v>
      </c>
      <c r="G72" s="139">
        <f>References!B29</f>
        <v>324</v>
      </c>
      <c r="H72" s="100">
        <f t="shared" si="25"/>
        <v>1402.92</v>
      </c>
      <c r="I72" s="44">
        <f t="shared" si="37"/>
        <v>899.82635972864637</v>
      </c>
      <c r="J72" s="67">
        <f>(References!$C$49*I72)</f>
        <v>1.3047482216065371</v>
      </c>
      <c r="K72" s="67">
        <f>J72/References!$G$52</f>
        <v>1.3315116048643099</v>
      </c>
      <c r="L72" s="67">
        <f t="shared" si="26"/>
        <v>0.30750845377928632</v>
      </c>
      <c r="M72" s="153">
        <v>26.52</v>
      </c>
      <c r="N72" s="147">
        <f t="shared" si="27"/>
        <v>26.827508453779284</v>
      </c>
      <c r="O72" s="67">
        <f t="shared" si="28"/>
        <v>114.83159999999999</v>
      </c>
      <c r="P72" s="67">
        <f t="shared" si="29"/>
        <v>116.1631116048643</v>
      </c>
      <c r="Q72" s="67">
        <f t="shared" si="38"/>
        <v>1.3315116048643034</v>
      </c>
      <c r="R72" s="167"/>
      <c r="S72" s="172">
        <f t="shared" si="11"/>
        <v>6.723686329267764E-2</v>
      </c>
      <c r="T72" s="173">
        <f t="shared" si="12"/>
        <v>26.894745317071962</v>
      </c>
      <c r="U72" s="71">
        <f t="shared" si="17"/>
        <v>116.45424722292159</v>
      </c>
      <c r="V72" s="176">
        <f t="shared" si="13"/>
        <v>0.2911356180572966</v>
      </c>
      <c r="W72" s="48"/>
    </row>
    <row r="73" spans="1:28" s="59" customFormat="1">
      <c r="A73" s="185"/>
      <c r="B73" s="45" t="s">
        <v>193</v>
      </c>
      <c r="C73" s="114" t="s">
        <v>171</v>
      </c>
      <c r="D73" s="56"/>
      <c r="E73" s="69"/>
      <c r="F73" s="115">
        <v>1</v>
      </c>
      <c r="G73" s="139">
        <f>References!B29</f>
        <v>324</v>
      </c>
      <c r="H73" s="100">
        <f t="shared" si="25"/>
        <v>324</v>
      </c>
      <c r="I73" s="44">
        <f t="shared" si="37"/>
        <v>207.8120923160846</v>
      </c>
      <c r="J73" s="67">
        <f>(References!$C$49*I73)</f>
        <v>0.30132753385832267</v>
      </c>
      <c r="K73" s="67">
        <f>J73/References!$G$52</f>
        <v>0.30750845377928632</v>
      </c>
      <c r="L73" s="67">
        <f t="shared" si="26"/>
        <v>0.30750845377928632</v>
      </c>
      <c r="M73" s="153">
        <v>26.52</v>
      </c>
      <c r="N73" s="147">
        <f t="shared" si="27"/>
        <v>26.827508453779284</v>
      </c>
      <c r="O73" s="67">
        <f t="shared" si="28"/>
        <v>26.52</v>
      </c>
      <c r="P73" s="67">
        <f t="shared" si="29"/>
        <v>26.827508453779284</v>
      </c>
      <c r="Q73" s="67">
        <f t="shared" si="38"/>
        <v>0.30750845377928471</v>
      </c>
      <c r="R73" s="167"/>
      <c r="S73" s="172">
        <f t="shared" si="11"/>
        <v>6.723686329267764E-2</v>
      </c>
      <c r="T73" s="173">
        <f t="shared" si="12"/>
        <v>26.894745317071962</v>
      </c>
      <c r="U73" s="71">
        <f t="shared" si="17"/>
        <v>26.894745317071962</v>
      </c>
      <c r="V73" s="176">
        <f t="shared" si="13"/>
        <v>6.723686329267764E-2</v>
      </c>
      <c r="W73" s="48"/>
    </row>
    <row r="74" spans="1:28" s="59" customFormat="1">
      <c r="A74" s="185"/>
      <c r="B74" s="45"/>
      <c r="C74" s="114"/>
      <c r="D74" s="56"/>
      <c r="E74" s="69"/>
      <c r="F74" s="115"/>
      <c r="G74" s="139"/>
      <c r="H74" s="68"/>
      <c r="I74" s="44"/>
      <c r="J74" s="67"/>
      <c r="K74" s="67"/>
      <c r="L74" s="67"/>
      <c r="M74" s="67"/>
      <c r="N74" s="67"/>
      <c r="O74" s="67"/>
      <c r="P74" s="67"/>
      <c r="Q74" s="67"/>
      <c r="R74" s="167"/>
      <c r="S74" s="71"/>
      <c r="T74" s="173"/>
      <c r="U74" s="71">
        <f t="shared" si="17"/>
        <v>0</v>
      </c>
      <c r="V74" s="71"/>
      <c r="W74" s="48"/>
    </row>
    <row r="75" spans="1:28" s="59" customFormat="1">
      <c r="A75" s="46"/>
      <c r="B75" s="25"/>
      <c r="C75" s="47"/>
      <c r="D75" s="49">
        <f>SUM(D16:D51)</f>
        <v>0</v>
      </c>
      <c r="E75" s="49">
        <f>SUM(E16:E51)</f>
        <v>0</v>
      </c>
      <c r="F75" s="49">
        <f>SUM(F16:F74)</f>
        <v>85711.03</v>
      </c>
      <c r="G75" s="142">
        <f>SUM(G16:G74)</f>
        <v>21447.5</v>
      </c>
      <c r="H75" s="49">
        <f>SUM(H16:H74)</f>
        <v>10162855.055000002</v>
      </c>
      <c r="I75" s="49">
        <f>SUM(I16:I74)</f>
        <v>6518407.9410019973</v>
      </c>
      <c r="J75" s="73"/>
      <c r="K75" s="73"/>
      <c r="L75" s="73"/>
      <c r="M75" s="73"/>
      <c r="N75" s="73"/>
      <c r="O75" s="128">
        <f>SUM(O16:O74)</f>
        <v>974476.22560000001</v>
      </c>
      <c r="P75" s="128">
        <f>SUM(P16:P74)</f>
        <v>984121.79301958706</v>
      </c>
      <c r="Q75" s="128">
        <f>SUM(Q16:Q74)</f>
        <v>9645.5674195865959</v>
      </c>
      <c r="R75" s="169"/>
      <c r="S75" s="165"/>
      <c r="T75" s="165"/>
      <c r="U75" s="128">
        <f>SUM(U16:U74)</f>
        <v>986524.32626023737</v>
      </c>
      <c r="V75" s="128">
        <f>SUM(V16:V74)</f>
        <v>2402.533240650559</v>
      </c>
      <c r="W75" s="48"/>
      <c r="X75" s="178">
        <f>U75/O75-1</f>
        <v>1.236366813651002E-2</v>
      </c>
      <c r="Y75" s="59" t="s">
        <v>201</v>
      </c>
    </row>
    <row r="76" spans="1:28">
      <c r="C76" s="63"/>
      <c r="D76" s="64">
        <f>D15+D75</f>
        <v>3410</v>
      </c>
      <c r="E76" s="64"/>
      <c r="F76" s="98">
        <f>F15+F75</f>
        <v>262911.03000000003</v>
      </c>
      <c r="G76" s="64"/>
      <c r="H76" s="64">
        <f>H15+H75</f>
        <v>20637599.055</v>
      </c>
      <c r="I76" s="64">
        <f>I15+I75</f>
        <v>13236860</v>
      </c>
      <c r="J76" s="67"/>
      <c r="K76" s="75"/>
      <c r="L76" s="75"/>
      <c r="M76" s="75"/>
      <c r="N76" s="75"/>
      <c r="O76" s="75">
        <f>O15+O75</f>
        <v>1983036.7456</v>
      </c>
      <c r="P76" s="75">
        <f>P15+P75</f>
        <v>2002623.8942886423</v>
      </c>
      <c r="Q76" s="75">
        <f>Q15+Q75</f>
        <v>19587.14868864177</v>
      </c>
      <c r="R76" s="169"/>
      <c r="S76" s="75"/>
      <c r="T76" s="75"/>
      <c r="U76" s="75">
        <f>U15+U75</f>
        <v>2007579.0643745784</v>
      </c>
      <c r="V76" s="75">
        <f>V15+V75</f>
        <v>4955.1700859364064</v>
      </c>
      <c r="W76" s="48"/>
      <c r="X76" s="178">
        <f>U76/O76-1</f>
        <v>1.2376129100498678E-2</v>
      </c>
      <c r="Y76" s="59" t="s">
        <v>201</v>
      </c>
      <c r="AB76" s="187"/>
    </row>
    <row r="77" spans="1:28">
      <c r="G77" s="143"/>
      <c r="J77" s="55"/>
      <c r="P77" s="60"/>
      <c r="R77" s="170"/>
      <c r="W77" s="48"/>
      <c r="X77" s="60">
        <f>U75-O75</f>
        <v>12048.100660237367</v>
      </c>
    </row>
    <row r="78" spans="1:28">
      <c r="G78" s="143"/>
      <c r="J78" s="55"/>
      <c r="P78" s="60"/>
      <c r="R78" s="170"/>
      <c r="W78" s="48"/>
      <c r="X78" s="60">
        <f>U76-O76</f>
        <v>24542.318774578394</v>
      </c>
      <c r="AB78" s="31"/>
    </row>
    <row r="79" spans="1:28">
      <c r="A79" s="76"/>
      <c r="B79" s="77"/>
      <c r="C79" s="81" t="s">
        <v>91</v>
      </c>
      <c r="D79" s="78"/>
      <c r="E79" s="76"/>
      <c r="F79" s="76"/>
      <c r="G79" s="144"/>
      <c r="H79" s="76"/>
      <c r="I79" s="79"/>
      <c r="J79" s="80"/>
      <c r="K79" s="76"/>
      <c r="L79" s="76"/>
      <c r="M79" s="76"/>
      <c r="N79" s="76"/>
      <c r="O79" s="76"/>
      <c r="P79" s="76"/>
      <c r="Q79" s="76"/>
      <c r="R79" s="170"/>
      <c r="S79" s="76"/>
      <c r="T79" s="76"/>
      <c r="U79" s="76"/>
      <c r="V79" s="76"/>
      <c r="W79" s="48"/>
    </row>
    <row r="80" spans="1:28" s="59" customFormat="1" ht="15" customHeight="1">
      <c r="A80" s="185" t="s">
        <v>49</v>
      </c>
      <c r="B80" s="45">
        <v>20</v>
      </c>
      <c r="C80" s="114" t="s">
        <v>112</v>
      </c>
      <c r="D80" s="68">
        <v>0</v>
      </c>
      <c r="E80" s="69">
        <f>References!$B$7</f>
        <v>4.333333333333333</v>
      </c>
      <c r="F80" s="68">
        <f>E80*12</f>
        <v>52</v>
      </c>
      <c r="G80" s="68">
        <f>References!B14</f>
        <v>34</v>
      </c>
      <c r="H80" s="68">
        <f>F80*G80</f>
        <v>1768</v>
      </c>
      <c r="I80" s="44">
        <f t="shared" ref="I80:I93" si="39">$D$122*H80</f>
        <v>1133.9869728853012</v>
      </c>
      <c r="J80" s="67">
        <f>(References!$C$49*I80)</f>
        <v>1.6442811106836865</v>
      </c>
      <c r="K80" s="67">
        <f>J80/References!$G$52</f>
        <v>1.6780090934622784</v>
      </c>
      <c r="L80" s="67">
        <f>K80/F80*E80</f>
        <v>0.13983409112185652</v>
      </c>
      <c r="M80" s="153">
        <v>12.94</v>
      </c>
      <c r="N80" s="147">
        <f>L80+M80</f>
        <v>13.079834091121857</v>
      </c>
      <c r="O80" s="117"/>
      <c r="P80" s="67"/>
      <c r="Q80" s="67"/>
      <c r="R80" s="167"/>
      <c r="S80" s="172">
        <f t="shared" ref="S80:S93" si="40">N80/(1-$S$4)-N80</f>
        <v>3.2781539075493527E-2</v>
      </c>
      <c r="T80" s="173">
        <f t="shared" ref="T80:T93" si="41">N80+S80</f>
        <v>13.11261563019735</v>
      </c>
      <c r="U80" s="57"/>
      <c r="V80" s="67"/>
      <c r="W80" s="48"/>
    </row>
    <row r="81" spans="1:23" s="59" customFormat="1">
      <c r="A81" s="185"/>
      <c r="B81" s="45">
        <v>20</v>
      </c>
      <c r="C81" s="99" t="s">
        <v>113</v>
      </c>
      <c r="D81" s="68">
        <v>0</v>
      </c>
      <c r="E81" s="69">
        <f>References!$B$7</f>
        <v>4.333333333333333</v>
      </c>
      <c r="F81" s="68">
        <f t="shared" ref="F81:F90" si="42">E81*12</f>
        <v>52</v>
      </c>
      <c r="G81" s="68">
        <f>References!B15</f>
        <v>51</v>
      </c>
      <c r="H81" s="68">
        <f t="shared" ref="H81:H90" si="43">F81*G81</f>
        <v>2652</v>
      </c>
      <c r="I81" s="44">
        <f t="shared" si="39"/>
        <v>1700.9804593279516</v>
      </c>
      <c r="J81" s="67">
        <f>(References!$C$49*I81)</f>
        <v>2.4664216660255298</v>
      </c>
      <c r="K81" s="67">
        <f>J81/References!$G$52</f>
        <v>2.5170136401934173</v>
      </c>
      <c r="L81" s="67">
        <f>K81/F81*E81</f>
        <v>0.20975113668278478</v>
      </c>
      <c r="M81" s="153">
        <v>17.420000000000002</v>
      </c>
      <c r="N81" s="147">
        <f>L81+M81</f>
        <v>17.629751136682785</v>
      </c>
      <c r="O81" s="67"/>
      <c r="P81" s="67"/>
      <c r="Q81" s="67"/>
      <c r="R81" s="167"/>
      <c r="S81" s="172">
        <f t="shared" si="40"/>
        <v>4.4184839941561194E-2</v>
      </c>
      <c r="T81" s="173">
        <f t="shared" si="41"/>
        <v>17.673935976624346</v>
      </c>
      <c r="U81" s="57"/>
      <c r="V81" s="67"/>
      <c r="W81" s="48"/>
    </row>
    <row r="82" spans="1:23" s="59" customFormat="1">
      <c r="A82" s="185"/>
      <c r="B82" s="45">
        <v>20</v>
      </c>
      <c r="C82" s="99" t="s">
        <v>114</v>
      </c>
      <c r="D82" s="68">
        <v>0</v>
      </c>
      <c r="E82" s="69">
        <f>References!$B$7</f>
        <v>4.333333333333333</v>
      </c>
      <c r="F82" s="68">
        <f t="shared" si="42"/>
        <v>52</v>
      </c>
      <c r="G82" s="68">
        <f>References!B16</f>
        <v>77</v>
      </c>
      <c r="H82" s="68">
        <f t="shared" si="43"/>
        <v>4004</v>
      </c>
      <c r="I82" s="44">
        <f t="shared" si="39"/>
        <v>2568.1469680049468</v>
      </c>
      <c r="J82" s="67">
        <f>(References!$C$49*I82)</f>
        <v>3.7238131036071724</v>
      </c>
      <c r="K82" s="67">
        <f>J82/References!$G$52</f>
        <v>3.8001970646057481</v>
      </c>
      <c r="L82" s="67">
        <f t="shared" ref="L82:L90" si="44">K82/F82*E82</f>
        <v>0.31668308871714562</v>
      </c>
      <c r="M82" s="153">
        <v>22.35</v>
      </c>
      <c r="N82" s="147">
        <f t="shared" ref="N82:N90" si="45">L82+M82</f>
        <v>22.666683088717146</v>
      </c>
      <c r="O82" s="67"/>
      <c r="P82" s="67"/>
      <c r="Q82" s="67"/>
      <c r="R82" s="167"/>
      <c r="S82" s="172">
        <f t="shared" si="40"/>
        <v>5.6808729545654302E-2</v>
      </c>
      <c r="T82" s="173">
        <f t="shared" si="41"/>
        <v>22.723491818262801</v>
      </c>
      <c r="U82" s="57"/>
      <c r="V82" s="67"/>
      <c r="W82" s="48"/>
    </row>
    <row r="83" spans="1:23" s="59" customFormat="1">
      <c r="A83" s="185"/>
      <c r="B83" s="45">
        <v>20</v>
      </c>
      <c r="C83" s="99" t="s">
        <v>115</v>
      </c>
      <c r="D83" s="68">
        <v>0</v>
      </c>
      <c r="E83" s="69">
        <f>References!$B$7</f>
        <v>4.333333333333333</v>
      </c>
      <c r="F83" s="68">
        <f t="shared" si="42"/>
        <v>52</v>
      </c>
      <c r="G83" s="68">
        <f>References!B17</f>
        <v>97</v>
      </c>
      <c r="H83" s="68">
        <f t="shared" si="43"/>
        <v>5044</v>
      </c>
      <c r="I83" s="44">
        <f t="shared" si="39"/>
        <v>3235.198128525712</v>
      </c>
      <c r="J83" s="67">
        <f>(References!$C$49*I83)</f>
        <v>4.691037286362282</v>
      </c>
      <c r="K83" s="67">
        <f>J83/References!$G$52</f>
        <v>4.7872612372306174</v>
      </c>
      <c r="L83" s="67">
        <f t="shared" si="44"/>
        <v>0.39893843643588472</v>
      </c>
      <c r="M83" s="153">
        <v>27.6</v>
      </c>
      <c r="N83" s="147">
        <f t="shared" si="45"/>
        <v>27.998938436435886</v>
      </c>
      <c r="O83" s="67"/>
      <c r="P83" s="67"/>
      <c r="Q83" s="67"/>
      <c r="R83" s="167"/>
      <c r="S83" s="172">
        <f t="shared" si="40"/>
        <v>7.0172778036177164E-2</v>
      </c>
      <c r="T83" s="173">
        <f t="shared" si="41"/>
        <v>28.069111214472063</v>
      </c>
      <c r="U83" s="57"/>
      <c r="V83" s="67"/>
      <c r="W83" s="48"/>
    </row>
    <row r="84" spans="1:23" s="59" customFormat="1">
      <c r="A84" s="185"/>
      <c r="B84" s="45">
        <v>20</v>
      </c>
      <c r="C84" s="99" t="s">
        <v>116</v>
      </c>
      <c r="D84" s="68">
        <v>0</v>
      </c>
      <c r="E84" s="69">
        <f>References!$B$7</f>
        <v>4.333333333333333</v>
      </c>
      <c r="F84" s="68">
        <f t="shared" si="42"/>
        <v>52</v>
      </c>
      <c r="G84" s="68">
        <f>References!B18</f>
        <v>117</v>
      </c>
      <c r="H84" s="68">
        <f t="shared" si="43"/>
        <v>6084</v>
      </c>
      <c r="I84" s="44">
        <f t="shared" si="39"/>
        <v>3902.2492890464773</v>
      </c>
      <c r="J84" s="67">
        <f>(References!$C$49*I84)</f>
        <v>5.6582614691173916</v>
      </c>
      <c r="K84" s="67">
        <f>J84/References!$G$52</f>
        <v>5.7743254098554866</v>
      </c>
      <c r="L84" s="67">
        <f t="shared" si="44"/>
        <v>0.48119378415462388</v>
      </c>
      <c r="M84" s="153">
        <v>33.11</v>
      </c>
      <c r="N84" s="147">
        <f t="shared" si="45"/>
        <v>33.591193784154626</v>
      </c>
      <c r="O84" s="67"/>
      <c r="P84" s="67"/>
      <c r="Q84" s="67"/>
      <c r="R84" s="167"/>
      <c r="S84" s="172">
        <f t="shared" si="40"/>
        <v>8.4188455599381484E-2</v>
      </c>
      <c r="T84" s="173">
        <f t="shared" si="41"/>
        <v>33.675382239754008</v>
      </c>
      <c r="U84" s="57"/>
      <c r="V84" s="67"/>
      <c r="W84" s="48"/>
    </row>
    <row r="85" spans="1:23" s="59" customFormat="1">
      <c r="A85" s="185"/>
      <c r="B85" s="45">
        <v>20</v>
      </c>
      <c r="C85" s="99" t="s">
        <v>117</v>
      </c>
      <c r="D85" s="68">
        <v>0</v>
      </c>
      <c r="E85" s="69">
        <f>References!$B$7</f>
        <v>4.333333333333333</v>
      </c>
      <c r="F85" s="68">
        <f t="shared" si="42"/>
        <v>52</v>
      </c>
      <c r="G85" s="68">
        <f>References!B19</f>
        <v>157</v>
      </c>
      <c r="H85" s="68">
        <f t="shared" si="43"/>
        <v>8164</v>
      </c>
      <c r="I85" s="44">
        <f t="shared" si="39"/>
        <v>5236.3516100880079</v>
      </c>
      <c r="J85" s="67">
        <f>(References!$C$49*I85)</f>
        <v>7.5927098346276107</v>
      </c>
      <c r="K85" s="67">
        <f>J85/References!$G$52</f>
        <v>7.7484537551052259</v>
      </c>
      <c r="L85" s="67">
        <f t="shared" si="44"/>
        <v>0.64570447959210209</v>
      </c>
      <c r="M85" s="153">
        <v>39.58</v>
      </c>
      <c r="N85" s="147">
        <f>L85+M85</f>
        <v>40.225704479592103</v>
      </c>
      <c r="O85" s="67"/>
      <c r="P85" s="67"/>
      <c r="Q85" s="67"/>
      <c r="R85" s="167"/>
      <c r="S85" s="172">
        <f t="shared" si="40"/>
        <v>0.10081630195386282</v>
      </c>
      <c r="T85" s="173">
        <f t="shared" si="41"/>
        <v>40.326520781545966</v>
      </c>
      <c r="U85" s="57"/>
      <c r="V85" s="67"/>
      <c r="W85" s="48"/>
    </row>
    <row r="86" spans="1:23" s="59" customFormat="1">
      <c r="A86" s="185"/>
      <c r="B86" s="45">
        <v>20</v>
      </c>
      <c r="C86" s="99" t="s">
        <v>110</v>
      </c>
      <c r="D86" s="68">
        <v>0</v>
      </c>
      <c r="E86" s="69">
        <f>References!B9</f>
        <v>1</v>
      </c>
      <c r="F86" s="68">
        <f t="shared" si="42"/>
        <v>12</v>
      </c>
      <c r="G86" s="68">
        <f>References!B14</f>
        <v>34</v>
      </c>
      <c r="H86" s="68">
        <f t="shared" si="43"/>
        <v>408</v>
      </c>
      <c r="I86" s="44">
        <f t="shared" si="39"/>
        <v>261.68930143506947</v>
      </c>
      <c r="J86" s="67">
        <f>(References!$C$49*I86)</f>
        <v>0.37944948708085069</v>
      </c>
      <c r="K86" s="67">
        <f>J86/References!$G$52</f>
        <v>0.38723286772206417</v>
      </c>
      <c r="L86" s="67">
        <f t="shared" si="44"/>
        <v>3.2269405643505347E-2</v>
      </c>
      <c r="M86" s="153">
        <v>5.0599999999999996</v>
      </c>
      <c r="N86" s="147">
        <f t="shared" si="45"/>
        <v>5.0922694056435054</v>
      </c>
      <c r="O86" s="67"/>
      <c r="P86" s="67"/>
      <c r="Q86" s="67"/>
      <c r="R86" s="167"/>
      <c r="S86" s="172">
        <f t="shared" si="40"/>
        <v>1.2762579964018528E-2</v>
      </c>
      <c r="T86" s="173">
        <f t="shared" si="41"/>
        <v>5.1050319856075239</v>
      </c>
      <c r="U86" s="57"/>
      <c r="V86" s="67"/>
      <c r="W86" s="48"/>
    </row>
    <row r="87" spans="1:23" s="59" customFormat="1">
      <c r="A87" s="185"/>
      <c r="B87" s="45">
        <v>20</v>
      </c>
      <c r="C87" s="99" t="s">
        <v>111</v>
      </c>
      <c r="D87" s="68">
        <v>0</v>
      </c>
      <c r="E87" s="69">
        <f>References!C9</f>
        <v>2</v>
      </c>
      <c r="F87" s="68">
        <f t="shared" si="42"/>
        <v>24</v>
      </c>
      <c r="G87" s="68">
        <f>References!B14</f>
        <v>34</v>
      </c>
      <c r="H87" s="68">
        <f t="shared" si="43"/>
        <v>816</v>
      </c>
      <c r="I87" s="44">
        <f t="shared" si="39"/>
        <v>523.37860287013893</v>
      </c>
      <c r="J87" s="67">
        <f>(References!$C$49*I87)</f>
        <v>0.75889897416170138</v>
      </c>
      <c r="K87" s="67">
        <f>J87/References!$G$52</f>
        <v>0.77446573544412833</v>
      </c>
      <c r="L87" s="67">
        <f t="shared" si="44"/>
        <v>6.4538811287010694E-2</v>
      </c>
      <c r="M87" s="153">
        <v>10.17</v>
      </c>
      <c r="N87" s="147">
        <f t="shared" si="45"/>
        <v>10.234538811287011</v>
      </c>
      <c r="O87" s="67"/>
      <c r="P87" s="67"/>
      <c r="Q87" s="67"/>
      <c r="R87" s="167"/>
      <c r="S87" s="172">
        <f t="shared" si="40"/>
        <v>2.5650473211245028E-2</v>
      </c>
      <c r="T87" s="173">
        <f t="shared" si="41"/>
        <v>10.260189284498257</v>
      </c>
      <c r="U87" s="57"/>
      <c r="V87" s="67"/>
      <c r="W87" s="48"/>
    </row>
    <row r="88" spans="1:23" s="59" customFormat="1">
      <c r="A88" s="185"/>
      <c r="B88" s="45">
        <v>20</v>
      </c>
      <c r="C88" s="99" t="s">
        <v>181</v>
      </c>
      <c r="D88" s="68">
        <v>0</v>
      </c>
      <c r="E88" s="69">
        <f>References!$B$7</f>
        <v>4.333333333333333</v>
      </c>
      <c r="F88" s="68">
        <f t="shared" si="42"/>
        <v>52</v>
      </c>
      <c r="G88" s="68">
        <f>References!B14</f>
        <v>34</v>
      </c>
      <c r="H88" s="68">
        <f t="shared" si="43"/>
        <v>1768</v>
      </c>
      <c r="I88" s="44">
        <f t="shared" si="39"/>
        <v>1133.9869728853012</v>
      </c>
      <c r="J88" s="67">
        <f>(References!$C$49*I88)</f>
        <v>1.6442811106836865</v>
      </c>
      <c r="K88" s="67">
        <f>J88/References!$G$52</f>
        <v>1.6780090934622784</v>
      </c>
      <c r="L88" s="67">
        <f t="shared" si="44"/>
        <v>0.13983409112185652</v>
      </c>
      <c r="M88" s="153">
        <v>13.63</v>
      </c>
      <c r="N88" s="147">
        <f t="shared" si="45"/>
        <v>13.769834091121858</v>
      </c>
      <c r="O88" s="67"/>
      <c r="P88" s="67"/>
      <c r="Q88" s="67"/>
      <c r="R88" s="167"/>
      <c r="S88" s="172">
        <f t="shared" si="40"/>
        <v>3.4510862383763552E-2</v>
      </c>
      <c r="T88" s="173">
        <f t="shared" si="41"/>
        <v>13.804344953505622</v>
      </c>
      <c r="U88" s="57"/>
      <c r="V88" s="67"/>
      <c r="W88" s="48"/>
    </row>
    <row r="89" spans="1:23" s="59" customFormat="1">
      <c r="A89" s="185"/>
      <c r="B89" s="45">
        <v>20</v>
      </c>
      <c r="C89" s="99" t="s">
        <v>182</v>
      </c>
      <c r="D89" s="68">
        <v>0</v>
      </c>
      <c r="E89" s="69">
        <f>References!$B$7</f>
        <v>4.333333333333333</v>
      </c>
      <c r="F89" s="68">
        <f t="shared" si="42"/>
        <v>52</v>
      </c>
      <c r="G89" s="68">
        <f>References!B22</f>
        <v>68</v>
      </c>
      <c r="H89" s="68">
        <f t="shared" si="43"/>
        <v>3536</v>
      </c>
      <c r="I89" s="44">
        <f t="shared" si="39"/>
        <v>2267.9739457706023</v>
      </c>
      <c r="J89" s="67">
        <f>(References!$C$49*I89)</f>
        <v>3.2885622213673731</v>
      </c>
      <c r="K89" s="67">
        <f>J89/References!$G$52</f>
        <v>3.3560181869245569</v>
      </c>
      <c r="L89" s="67">
        <f t="shared" si="44"/>
        <v>0.27966818224371304</v>
      </c>
      <c r="M89" s="153">
        <v>22.94</v>
      </c>
      <c r="N89" s="147">
        <f t="shared" si="45"/>
        <v>23.219668182243716</v>
      </c>
      <c r="O89" s="67"/>
      <c r="P89" s="67"/>
      <c r="Q89" s="67"/>
      <c r="R89" s="167"/>
      <c r="S89" s="172">
        <f t="shared" si="40"/>
        <v>5.8194657098354696E-2</v>
      </c>
      <c r="T89" s="173">
        <f t="shared" si="41"/>
        <v>23.27786283934207</v>
      </c>
      <c r="U89" s="57"/>
      <c r="V89" s="67"/>
      <c r="W89" s="48"/>
    </row>
    <row r="90" spans="1:23" s="59" customFormat="1">
      <c r="A90" s="185"/>
      <c r="B90" s="45">
        <v>20</v>
      </c>
      <c r="C90" s="99" t="s">
        <v>183</v>
      </c>
      <c r="D90" s="68">
        <v>0</v>
      </c>
      <c r="E90" s="69">
        <f>References!$B$7</f>
        <v>4.333333333333333</v>
      </c>
      <c r="F90" s="68">
        <f t="shared" si="42"/>
        <v>52</v>
      </c>
      <c r="G90" s="68">
        <f>References!B13</f>
        <v>20</v>
      </c>
      <c r="H90" s="68">
        <f t="shared" si="43"/>
        <v>1040</v>
      </c>
      <c r="I90" s="44">
        <f t="shared" si="39"/>
        <v>667.05116052076539</v>
      </c>
      <c r="J90" s="67">
        <f>(References!$C$49*I90)</f>
        <v>0.9672241827551098</v>
      </c>
      <c r="K90" s="67">
        <f>J90/References!$G$52</f>
        <v>0.98706417262486967</v>
      </c>
      <c r="L90" s="67">
        <f t="shared" si="44"/>
        <v>8.225534771873913E-2</v>
      </c>
      <c r="M90" s="153">
        <v>11.57</v>
      </c>
      <c r="N90" s="147">
        <f t="shared" si="45"/>
        <v>11.652255347718739</v>
      </c>
      <c r="O90" s="67"/>
      <c r="P90" s="67"/>
      <c r="Q90" s="67"/>
      <c r="R90" s="167"/>
      <c r="S90" s="172">
        <f t="shared" si="40"/>
        <v>2.920364748801596E-2</v>
      </c>
      <c r="T90" s="173">
        <f t="shared" si="41"/>
        <v>11.681458995206755</v>
      </c>
      <c r="U90" s="57"/>
      <c r="V90" s="67"/>
      <c r="W90" s="48"/>
    </row>
    <row r="91" spans="1:23" s="59" customFormat="1" ht="15" customHeight="1">
      <c r="A91" s="127"/>
      <c r="B91" s="45">
        <v>20</v>
      </c>
      <c r="C91" s="42" t="s">
        <v>184</v>
      </c>
      <c r="D91" s="68">
        <v>0</v>
      </c>
      <c r="E91" s="69">
        <f>References!$B$7</f>
        <v>4.333333333333333</v>
      </c>
      <c r="F91" s="68">
        <f>E91*12</f>
        <v>52</v>
      </c>
      <c r="G91" s="68">
        <f>References!B14</f>
        <v>34</v>
      </c>
      <c r="H91" s="68">
        <f>F91*G91</f>
        <v>1768</v>
      </c>
      <c r="I91" s="44">
        <f t="shared" si="39"/>
        <v>1133.9869728853012</v>
      </c>
      <c r="J91" s="67">
        <f>(References!$C$49*I91)</f>
        <v>1.6442811106836865</v>
      </c>
      <c r="K91" s="67">
        <f>J91/References!$G$52</f>
        <v>1.6780090934622784</v>
      </c>
      <c r="L91" s="67">
        <f>K91/F91*E91</f>
        <v>0.13983409112185652</v>
      </c>
      <c r="M91" s="153">
        <v>8.41</v>
      </c>
      <c r="N91" s="147">
        <f>L91+M91</f>
        <v>8.5498340911218573</v>
      </c>
      <c r="O91" s="67"/>
      <c r="P91" s="67"/>
      <c r="Q91" s="67"/>
      <c r="R91" s="167"/>
      <c r="S91" s="172">
        <f t="shared" si="40"/>
        <v>2.1428155616845856E-2</v>
      </c>
      <c r="T91" s="173">
        <f t="shared" si="41"/>
        <v>8.5712622467387032</v>
      </c>
      <c r="U91" s="57"/>
      <c r="V91" s="67"/>
      <c r="W91" s="48"/>
    </row>
    <row r="92" spans="1:23" s="59" customFormat="1">
      <c r="A92" s="127"/>
      <c r="B92" s="45" t="s">
        <v>100</v>
      </c>
      <c r="C92" s="130" t="s">
        <v>108</v>
      </c>
      <c r="D92" s="68">
        <v>0</v>
      </c>
      <c r="E92" s="69">
        <f>References!B9</f>
        <v>1</v>
      </c>
      <c r="F92" s="68">
        <f>E92*12</f>
        <v>12</v>
      </c>
      <c r="G92" s="68">
        <f>References!B24</f>
        <v>34</v>
      </c>
      <c r="H92" s="68">
        <f>F92*G92</f>
        <v>408</v>
      </c>
      <c r="I92" s="44">
        <f t="shared" si="39"/>
        <v>261.68930143506947</v>
      </c>
      <c r="J92" s="67">
        <f>(References!$C$49*I92)</f>
        <v>0.37944948708085069</v>
      </c>
      <c r="K92" s="67">
        <f>J92/References!$G$52</f>
        <v>0.38723286772206417</v>
      </c>
      <c r="L92" s="67">
        <f>K92/F92*E92</f>
        <v>3.2269405643505347E-2</v>
      </c>
      <c r="M92" s="153">
        <v>2.61</v>
      </c>
      <c r="N92" s="147">
        <f>L92+M92</f>
        <v>2.6422694056435052</v>
      </c>
      <c r="O92" s="67"/>
      <c r="P92" s="67"/>
      <c r="Q92" s="67"/>
      <c r="R92" s="167"/>
      <c r="S92" s="172">
        <f t="shared" si="40"/>
        <v>6.6222290868256373E-3</v>
      </c>
      <c r="T92" s="173">
        <f t="shared" si="41"/>
        <v>2.6488916347303308</v>
      </c>
      <c r="U92" s="57"/>
      <c r="V92" s="67"/>
      <c r="W92" s="48"/>
    </row>
    <row r="93" spans="1:23" s="59" customFormat="1">
      <c r="A93" s="127"/>
      <c r="B93" s="45">
        <v>21</v>
      </c>
      <c r="C93" s="59" t="s">
        <v>109</v>
      </c>
      <c r="D93" s="68">
        <v>0</v>
      </c>
      <c r="E93" s="69">
        <f>References!B9</f>
        <v>1</v>
      </c>
      <c r="F93" s="68">
        <f>E93*12</f>
        <v>12</v>
      </c>
      <c r="G93" s="68">
        <f>References!B42</f>
        <v>125</v>
      </c>
      <c r="H93" s="68">
        <f>F93*G93</f>
        <v>1500</v>
      </c>
      <c r="I93" s="44">
        <f t="shared" si="39"/>
        <v>962.09301998187311</v>
      </c>
      <c r="J93" s="67">
        <f>(References!$C$49*I93)</f>
        <v>1.3950348789737159</v>
      </c>
      <c r="K93" s="67">
        <f>J93/References!$G$52</f>
        <v>1.4236502489781773</v>
      </c>
      <c r="L93" s="67">
        <f>K93/F93*E93</f>
        <v>0.11863752074818144</v>
      </c>
      <c r="M93" s="153">
        <v>10.35</v>
      </c>
      <c r="N93" s="147">
        <f>L93+M93</f>
        <v>10.468637520748182</v>
      </c>
      <c r="O93" s="67"/>
      <c r="P93" s="67"/>
      <c r="Q93" s="67"/>
      <c r="R93" s="167"/>
      <c r="S93" s="172">
        <f t="shared" si="40"/>
        <v>2.6237186768792498E-2</v>
      </c>
      <c r="T93" s="173">
        <f t="shared" si="41"/>
        <v>10.494874707516974</v>
      </c>
      <c r="U93" s="57"/>
      <c r="V93" s="67"/>
      <c r="W93" s="48"/>
    </row>
    <row r="94" spans="1:23" s="59" customFormat="1">
      <c r="A94" s="127"/>
      <c r="B94" s="45"/>
      <c r="C94" s="101"/>
      <c r="D94" s="68"/>
      <c r="E94" s="69"/>
      <c r="F94" s="68"/>
      <c r="G94" s="68"/>
      <c r="H94" s="68"/>
      <c r="I94" s="44"/>
      <c r="J94" s="67"/>
      <c r="K94" s="67"/>
      <c r="L94" s="67"/>
      <c r="M94" s="87"/>
      <c r="N94" s="67"/>
      <c r="O94" s="67"/>
      <c r="P94" s="67"/>
      <c r="Q94" s="67"/>
      <c r="R94" s="167"/>
      <c r="S94" s="67"/>
      <c r="T94" s="67"/>
      <c r="U94" s="57"/>
      <c r="V94" s="67"/>
      <c r="W94" s="48"/>
    </row>
    <row r="95" spans="1:23" s="59" customFormat="1">
      <c r="A95" s="119"/>
      <c r="B95" s="120"/>
      <c r="C95" s="101"/>
      <c r="D95" s="121"/>
      <c r="E95" s="122"/>
      <c r="F95" s="123"/>
      <c r="G95" s="123"/>
      <c r="H95" s="123"/>
      <c r="I95" s="124"/>
      <c r="J95" s="125"/>
      <c r="K95" s="125"/>
      <c r="L95" s="125"/>
      <c r="M95" s="126"/>
      <c r="N95" s="125"/>
      <c r="O95" s="125"/>
      <c r="P95" s="125"/>
      <c r="Q95" s="125"/>
      <c r="R95" s="167"/>
      <c r="S95" s="125"/>
      <c r="T95" s="125"/>
      <c r="U95" s="57"/>
      <c r="V95" s="67"/>
      <c r="W95" s="48"/>
    </row>
    <row r="96" spans="1:23" s="59" customFormat="1">
      <c r="A96" s="184" t="s">
        <v>14</v>
      </c>
      <c r="B96" s="45">
        <v>21</v>
      </c>
      <c r="C96" s="99" t="s">
        <v>119</v>
      </c>
      <c r="D96" s="56">
        <v>0</v>
      </c>
      <c r="E96" s="69">
        <f>References!$B$9</f>
        <v>1</v>
      </c>
      <c r="F96" s="68">
        <f>E96*12</f>
        <v>12</v>
      </c>
      <c r="G96" s="68">
        <f>References!B42</f>
        <v>125</v>
      </c>
      <c r="H96" s="68">
        <f>F96*G96</f>
        <v>1500</v>
      </c>
      <c r="I96" s="44">
        <f t="shared" ref="I96:I111" si="46">$D$122*H96</f>
        <v>962.09301998187311</v>
      </c>
      <c r="J96" s="67">
        <f>(References!$C$49*I96)</f>
        <v>1.3950348789737159</v>
      </c>
      <c r="K96" s="67">
        <f>J96/References!$G$52</f>
        <v>1.4236502489781773</v>
      </c>
      <c r="L96" s="67">
        <f>K96/F96</f>
        <v>0.11863752074818144</v>
      </c>
      <c r="M96" s="153">
        <v>9.4499999999999993</v>
      </c>
      <c r="N96" s="147">
        <f>L96+M96</f>
        <v>9.5686375207481813</v>
      </c>
      <c r="O96" s="67"/>
      <c r="P96" s="67"/>
      <c r="Q96" s="67"/>
      <c r="R96" s="167"/>
      <c r="S96" s="172">
        <f t="shared" ref="S96:S111" si="47">N96/(1-$S$4)-N96</f>
        <v>2.398154767104721E-2</v>
      </c>
      <c r="T96" s="173">
        <f t="shared" ref="T96:T111" si="48">N96+S96</f>
        <v>9.5926190684192285</v>
      </c>
      <c r="U96" s="57"/>
      <c r="V96" s="67"/>
      <c r="W96" s="48"/>
    </row>
    <row r="97" spans="1:23" s="59" customFormat="1">
      <c r="A97" s="185"/>
      <c r="B97" s="45">
        <v>21</v>
      </c>
      <c r="C97" s="99" t="s">
        <v>120</v>
      </c>
      <c r="D97" s="56">
        <v>0</v>
      </c>
      <c r="E97" s="69">
        <f>References!$B$9</f>
        <v>1</v>
      </c>
      <c r="F97" s="68">
        <f>E97*12</f>
        <v>12</v>
      </c>
      <c r="G97" s="68">
        <f>References!B42</f>
        <v>125</v>
      </c>
      <c r="H97" s="68">
        <f>F97*G97</f>
        <v>1500</v>
      </c>
      <c r="I97" s="44">
        <f t="shared" si="46"/>
        <v>962.09301998187311</v>
      </c>
      <c r="J97" s="67">
        <f>(References!$C$49*I97)</f>
        <v>1.3950348789737159</v>
      </c>
      <c r="K97" s="67">
        <f>J97/References!$G$52</f>
        <v>1.4236502489781773</v>
      </c>
      <c r="L97" s="67">
        <f>K97/F97</f>
        <v>0.11863752074818144</v>
      </c>
      <c r="M97" s="153">
        <v>10.83</v>
      </c>
      <c r="N97" s="147">
        <f>L97+M97</f>
        <v>10.948637520748182</v>
      </c>
      <c r="O97" s="67"/>
      <c r="P97" s="67"/>
      <c r="Q97" s="67"/>
      <c r="R97" s="167"/>
      <c r="S97" s="172">
        <f t="shared" si="47"/>
        <v>2.7440194287589037E-2</v>
      </c>
      <c r="T97" s="173">
        <f t="shared" si="48"/>
        <v>10.976077715035771</v>
      </c>
      <c r="U97" s="57"/>
      <c r="V97" s="67"/>
      <c r="W97" s="48"/>
    </row>
    <row r="98" spans="1:23" s="59" customFormat="1">
      <c r="A98" s="185"/>
      <c r="B98" s="45">
        <v>21</v>
      </c>
      <c r="C98" s="99" t="s">
        <v>121</v>
      </c>
      <c r="D98" s="56">
        <v>0</v>
      </c>
      <c r="E98" s="69">
        <f>References!$B$9</f>
        <v>1</v>
      </c>
      <c r="F98" s="68">
        <f>E98*12</f>
        <v>12</v>
      </c>
      <c r="G98" s="68">
        <f>References!B42</f>
        <v>125</v>
      </c>
      <c r="H98" s="68">
        <f>F98*G98</f>
        <v>1500</v>
      </c>
      <c r="I98" s="44">
        <f t="shared" si="46"/>
        <v>962.09301998187311</v>
      </c>
      <c r="J98" s="67">
        <f>(References!$C$49*I98)</f>
        <v>1.3950348789737159</v>
      </c>
      <c r="K98" s="67">
        <f>J98/References!$G$52</f>
        <v>1.4236502489781773</v>
      </c>
      <c r="L98" s="67">
        <f>K98/F98</f>
        <v>0.11863752074818144</v>
      </c>
      <c r="M98" s="153">
        <v>9.86</v>
      </c>
      <c r="N98" s="147">
        <f>L98+M98</f>
        <v>9.9786375207481814</v>
      </c>
      <c r="O98" s="67"/>
      <c r="P98" s="67"/>
      <c r="Q98" s="67"/>
      <c r="R98" s="167"/>
      <c r="S98" s="172">
        <f t="shared" si="47"/>
        <v>2.5009116593352587E-2</v>
      </c>
      <c r="T98" s="173">
        <f t="shared" si="48"/>
        <v>10.003646637341534</v>
      </c>
      <c r="U98" s="57"/>
      <c r="V98" s="67"/>
      <c r="W98" s="48"/>
    </row>
    <row r="99" spans="1:23" s="59" customFormat="1">
      <c r="A99" s="185"/>
      <c r="B99" s="45" t="s">
        <v>187</v>
      </c>
      <c r="C99" s="145" t="s">
        <v>156</v>
      </c>
      <c r="D99" s="68"/>
      <c r="E99" s="69">
        <f>References!$B$9</f>
        <v>1</v>
      </c>
      <c r="F99" s="116">
        <v>1</v>
      </c>
      <c r="G99" s="68">
        <v>1312.5</v>
      </c>
      <c r="H99" s="100">
        <f>F99*G99</f>
        <v>1312.5</v>
      </c>
      <c r="I99" s="44">
        <f t="shared" si="46"/>
        <v>841.83139248413897</v>
      </c>
      <c r="J99" s="67">
        <f>(References!$C$49*I99)</f>
        <v>1.2206555191020014</v>
      </c>
      <c r="K99" s="67">
        <f>J99/References!$G$52</f>
        <v>1.2456939678559051</v>
      </c>
      <c r="L99" s="67">
        <f>K99/F99</f>
        <v>1.2456939678559051</v>
      </c>
      <c r="M99" s="153">
        <v>99.7</v>
      </c>
      <c r="N99" s="151">
        <f t="shared" ref="N99:N107" si="49">L99+M99</f>
        <v>100.9456939678559</v>
      </c>
      <c r="O99" s="67"/>
      <c r="P99" s="67"/>
      <c r="Q99" s="67"/>
      <c r="R99" s="167"/>
      <c r="S99" s="172">
        <f t="shared" si="47"/>
        <v>0.25299672673646967</v>
      </c>
      <c r="T99" s="173">
        <f t="shared" si="48"/>
        <v>101.19869069459237</v>
      </c>
      <c r="U99" s="57"/>
      <c r="V99" s="67"/>
      <c r="W99" s="48"/>
    </row>
    <row r="100" spans="1:23" s="59" customFormat="1">
      <c r="A100" s="185"/>
      <c r="B100" s="45" t="s">
        <v>187</v>
      </c>
      <c r="C100" s="146" t="s">
        <v>131</v>
      </c>
      <c r="D100" s="56">
        <v>0</v>
      </c>
      <c r="E100" s="69">
        <f>References!$B$9</f>
        <v>1</v>
      </c>
      <c r="F100" s="68">
        <f t="shared" ref="F100:F107" si="50">E100*12</f>
        <v>12</v>
      </c>
      <c r="G100" s="68">
        <f>References!B28</f>
        <v>250</v>
      </c>
      <c r="H100" s="100">
        <f t="shared" ref="H100:H107" si="51">F100*G100</f>
        <v>3000</v>
      </c>
      <c r="I100" s="44">
        <f t="shared" si="46"/>
        <v>1924.1860399637462</v>
      </c>
      <c r="J100" s="67">
        <f>(References!$C$49*I100)</f>
        <v>2.7900697579474318</v>
      </c>
      <c r="K100" s="67">
        <f>J100/References!$G$52</f>
        <v>2.8473004979563545</v>
      </c>
      <c r="L100" s="67">
        <f t="shared" ref="L100:L107" si="52">K100/F100</f>
        <v>0.23727504149636289</v>
      </c>
      <c r="M100" s="153">
        <v>24.08</v>
      </c>
      <c r="N100" s="147">
        <f t="shared" si="49"/>
        <v>24.317275041496362</v>
      </c>
      <c r="O100" s="67"/>
      <c r="P100" s="67"/>
      <c r="Q100" s="67"/>
      <c r="R100" s="167"/>
      <c r="S100" s="172">
        <f t="shared" si="47"/>
        <v>6.094555148244396E-2</v>
      </c>
      <c r="T100" s="173">
        <f t="shared" si="48"/>
        <v>24.378220592978806</v>
      </c>
      <c r="U100" s="57"/>
      <c r="V100" s="67"/>
      <c r="W100" s="48"/>
    </row>
    <row r="101" spans="1:23" s="59" customFormat="1">
      <c r="A101" s="185"/>
      <c r="B101" s="45" t="s">
        <v>187</v>
      </c>
      <c r="C101" s="146" t="s">
        <v>132</v>
      </c>
      <c r="D101" s="56">
        <v>0</v>
      </c>
      <c r="E101" s="69">
        <f>References!$B$9</f>
        <v>1</v>
      </c>
      <c r="F101" s="68">
        <f t="shared" si="50"/>
        <v>12</v>
      </c>
      <c r="G101" s="68">
        <f>References!B28</f>
        <v>250</v>
      </c>
      <c r="H101" s="100">
        <f t="shared" si="51"/>
        <v>3000</v>
      </c>
      <c r="I101" s="44">
        <f t="shared" si="46"/>
        <v>1924.1860399637462</v>
      </c>
      <c r="J101" s="67">
        <f>(References!$C$49*I101)</f>
        <v>2.7900697579474318</v>
      </c>
      <c r="K101" s="67">
        <f>J101/References!$G$52</f>
        <v>2.8473004979563545</v>
      </c>
      <c r="L101" s="67">
        <f t="shared" si="52"/>
        <v>0.23727504149636289</v>
      </c>
      <c r="M101" s="153">
        <v>21.75</v>
      </c>
      <c r="N101" s="147">
        <f t="shared" si="49"/>
        <v>21.987275041496364</v>
      </c>
      <c r="O101" s="67"/>
      <c r="P101" s="67"/>
      <c r="Q101" s="67"/>
      <c r="R101" s="167"/>
      <c r="S101" s="172">
        <f t="shared" si="47"/>
        <v>5.5105952484950649E-2</v>
      </c>
      <c r="T101" s="173">
        <f t="shared" si="48"/>
        <v>22.042380993981315</v>
      </c>
      <c r="U101" s="57"/>
      <c r="V101" s="67"/>
      <c r="W101" s="48"/>
    </row>
    <row r="102" spans="1:23" s="59" customFormat="1">
      <c r="A102" s="185"/>
      <c r="B102" s="45" t="s">
        <v>187</v>
      </c>
      <c r="C102" s="42" t="s">
        <v>135</v>
      </c>
      <c r="D102" s="56">
        <v>0</v>
      </c>
      <c r="E102" s="69">
        <f>References!$B$9</f>
        <v>1</v>
      </c>
      <c r="F102" s="68">
        <f t="shared" si="50"/>
        <v>12</v>
      </c>
      <c r="G102" s="68">
        <f>References!B29</f>
        <v>324</v>
      </c>
      <c r="H102" s="100">
        <f t="shared" si="51"/>
        <v>3888</v>
      </c>
      <c r="I102" s="44">
        <f t="shared" si="46"/>
        <v>2493.745107793015</v>
      </c>
      <c r="J102" s="67">
        <f>(References!$C$49*I102)</f>
        <v>3.6159304062998716</v>
      </c>
      <c r="K102" s="67">
        <f>J102/References!$G$52</f>
        <v>3.6901014453514356</v>
      </c>
      <c r="L102" s="67">
        <f t="shared" si="52"/>
        <v>0.30750845377928632</v>
      </c>
      <c r="M102" s="153">
        <v>31.57</v>
      </c>
      <c r="N102" s="147">
        <f t="shared" si="49"/>
        <v>31.877508453779285</v>
      </c>
      <c r="O102" s="67"/>
      <c r="P102" s="67"/>
      <c r="Q102" s="67"/>
      <c r="R102" s="167"/>
      <c r="S102" s="172">
        <f t="shared" si="47"/>
        <v>7.9893504896688228E-2</v>
      </c>
      <c r="T102" s="173">
        <f t="shared" si="48"/>
        <v>31.957401958675973</v>
      </c>
      <c r="U102" s="57"/>
      <c r="V102" s="67"/>
      <c r="W102" s="48"/>
    </row>
    <row r="103" spans="1:23" s="59" customFormat="1">
      <c r="A103" s="185"/>
      <c r="B103" s="45" t="s">
        <v>187</v>
      </c>
      <c r="C103" s="42" t="s">
        <v>136</v>
      </c>
      <c r="D103" s="56">
        <v>0</v>
      </c>
      <c r="E103" s="69">
        <f>References!$B$9</f>
        <v>1</v>
      </c>
      <c r="F103" s="68">
        <f t="shared" si="50"/>
        <v>12</v>
      </c>
      <c r="G103" s="68">
        <f>References!B29</f>
        <v>324</v>
      </c>
      <c r="H103" s="100">
        <f t="shared" si="51"/>
        <v>3888</v>
      </c>
      <c r="I103" s="44">
        <f t="shared" si="46"/>
        <v>2493.745107793015</v>
      </c>
      <c r="J103" s="67">
        <f>(References!$C$49*I103)</f>
        <v>3.6159304062998716</v>
      </c>
      <c r="K103" s="67">
        <f>J103/References!$G$52</f>
        <v>3.6901014453514356</v>
      </c>
      <c r="L103" s="67">
        <f t="shared" si="52"/>
        <v>0.30750845377928632</v>
      </c>
      <c r="M103" s="153">
        <v>28.72</v>
      </c>
      <c r="N103" s="147">
        <f t="shared" si="49"/>
        <v>29.027508453779284</v>
      </c>
      <c r="O103" s="67"/>
      <c r="P103" s="67"/>
      <c r="Q103" s="67"/>
      <c r="R103" s="167"/>
      <c r="S103" s="172">
        <f t="shared" si="47"/>
        <v>7.2750647753831998E-2</v>
      </c>
      <c r="T103" s="173">
        <f t="shared" si="48"/>
        <v>29.100259101533116</v>
      </c>
      <c r="U103" s="57"/>
      <c r="V103" s="67"/>
      <c r="W103" s="48"/>
    </row>
    <row r="104" spans="1:23" s="59" customFormat="1">
      <c r="A104" s="185"/>
      <c r="B104" s="45" t="s">
        <v>187</v>
      </c>
      <c r="C104" s="146" t="s">
        <v>139</v>
      </c>
      <c r="D104" s="56">
        <v>0</v>
      </c>
      <c r="E104" s="69">
        <f>References!$B$9</f>
        <v>1</v>
      </c>
      <c r="F104" s="68">
        <f t="shared" si="50"/>
        <v>12</v>
      </c>
      <c r="G104" s="68">
        <f>References!B30</f>
        <v>473</v>
      </c>
      <c r="H104" s="100">
        <f t="shared" si="51"/>
        <v>5676</v>
      </c>
      <c r="I104" s="44">
        <f t="shared" si="46"/>
        <v>3640.5599876114079</v>
      </c>
      <c r="J104" s="67">
        <f>(References!$C$49*I104)</f>
        <v>5.2788119820365411</v>
      </c>
      <c r="K104" s="67">
        <f>J104/References!$G$52</f>
        <v>5.3870925421334226</v>
      </c>
      <c r="L104" s="67">
        <f t="shared" si="52"/>
        <v>0.44892437851111855</v>
      </c>
      <c r="M104" s="153">
        <v>42</v>
      </c>
      <c r="N104" s="147">
        <f t="shared" si="49"/>
        <v>42.448924378511116</v>
      </c>
      <c r="O104" s="67"/>
      <c r="P104" s="67"/>
      <c r="Q104" s="67"/>
      <c r="R104" s="167"/>
      <c r="S104" s="172">
        <f t="shared" si="47"/>
        <v>0.10638828165040337</v>
      </c>
      <c r="T104" s="173">
        <f t="shared" si="48"/>
        <v>42.555312660161519</v>
      </c>
      <c r="U104" s="57"/>
      <c r="V104" s="67"/>
      <c r="W104" s="48"/>
    </row>
    <row r="105" spans="1:23" s="59" customFormat="1">
      <c r="A105" s="185"/>
      <c r="B105" s="45" t="s">
        <v>186</v>
      </c>
      <c r="C105" s="99" t="s">
        <v>122</v>
      </c>
      <c r="D105" s="56">
        <v>0</v>
      </c>
      <c r="E105" s="69">
        <f>References!$B$9</f>
        <v>1</v>
      </c>
      <c r="F105" s="68">
        <f t="shared" si="50"/>
        <v>12</v>
      </c>
      <c r="G105" s="68">
        <f>References!B22</f>
        <v>68</v>
      </c>
      <c r="H105" s="68">
        <f t="shared" si="51"/>
        <v>816</v>
      </c>
      <c r="I105" s="44">
        <f t="shared" si="46"/>
        <v>523.37860287013893</v>
      </c>
      <c r="J105" s="67">
        <f>(References!$C$49*I105)</f>
        <v>0.75889897416170138</v>
      </c>
      <c r="K105" s="67">
        <f>J105/References!$G$52</f>
        <v>0.77446573544412833</v>
      </c>
      <c r="L105" s="67">
        <f t="shared" si="52"/>
        <v>6.4538811287010694E-2</v>
      </c>
      <c r="M105" s="153">
        <v>5.84</v>
      </c>
      <c r="N105" s="147">
        <f t="shared" si="49"/>
        <v>5.9045388112870105</v>
      </c>
      <c r="O105" s="67"/>
      <c r="P105" s="67"/>
      <c r="Q105" s="67"/>
      <c r="R105" s="167"/>
      <c r="S105" s="172">
        <f t="shared" si="47"/>
        <v>1.4798342885431026E-2</v>
      </c>
      <c r="T105" s="173">
        <f t="shared" si="48"/>
        <v>5.9193371541724416</v>
      </c>
      <c r="U105" s="57"/>
      <c r="V105" s="67"/>
      <c r="W105" s="48"/>
    </row>
    <row r="106" spans="1:23" s="59" customFormat="1">
      <c r="A106" s="185"/>
      <c r="B106" s="45" t="s">
        <v>186</v>
      </c>
      <c r="C106" s="99" t="s">
        <v>118</v>
      </c>
      <c r="D106" s="56">
        <v>0</v>
      </c>
      <c r="E106" s="69">
        <f>References!$B$9</f>
        <v>1</v>
      </c>
      <c r="F106" s="68">
        <f t="shared" si="50"/>
        <v>12</v>
      </c>
      <c r="G106" s="68">
        <f>References!B21</f>
        <v>47</v>
      </c>
      <c r="H106" s="100">
        <f t="shared" si="51"/>
        <v>564</v>
      </c>
      <c r="I106" s="44">
        <f t="shared" si="46"/>
        <v>361.74697551318428</v>
      </c>
      <c r="J106" s="67">
        <f>(References!$C$49*I106)</f>
        <v>0.52453311449411721</v>
      </c>
      <c r="K106" s="67">
        <f>J106/References!$G$52</f>
        <v>0.53529249361579467</v>
      </c>
      <c r="L106" s="67">
        <f t="shared" si="52"/>
        <v>4.4607707801316225E-2</v>
      </c>
      <c r="M106" s="153">
        <v>5.6</v>
      </c>
      <c r="N106" s="147">
        <f t="shared" si="49"/>
        <v>5.6446077078013159</v>
      </c>
      <c r="O106" s="67"/>
      <c r="P106" s="67"/>
      <c r="Q106" s="67"/>
      <c r="R106" s="167"/>
      <c r="S106" s="172">
        <f t="shared" si="47"/>
        <v>1.4146886485717047E-2</v>
      </c>
      <c r="T106" s="173">
        <f t="shared" si="48"/>
        <v>5.658754594287033</v>
      </c>
      <c r="U106" s="57"/>
      <c r="V106" s="67"/>
      <c r="W106" s="48"/>
    </row>
    <row r="107" spans="1:23" s="59" customFormat="1">
      <c r="A107" s="185"/>
      <c r="B107" s="45" t="s">
        <v>185</v>
      </c>
      <c r="C107" s="99" t="s">
        <v>202</v>
      </c>
      <c r="D107" s="56">
        <v>0</v>
      </c>
      <c r="E107" s="69">
        <f>References!$B$9</f>
        <v>1</v>
      </c>
      <c r="F107" s="68">
        <f t="shared" si="50"/>
        <v>12</v>
      </c>
      <c r="G107" s="68">
        <f>References!B21</f>
        <v>47</v>
      </c>
      <c r="H107" s="100">
        <f t="shared" si="51"/>
        <v>564</v>
      </c>
      <c r="I107" s="44">
        <f t="shared" si="46"/>
        <v>361.74697551318428</v>
      </c>
      <c r="J107" s="67">
        <f>(References!$C$49*I107)</f>
        <v>0.52453311449411721</v>
      </c>
      <c r="K107" s="67">
        <f>J107/References!$G$52</f>
        <v>0.53529249361579467</v>
      </c>
      <c r="L107" s="67">
        <f t="shared" si="52"/>
        <v>4.4607707801316225E-2</v>
      </c>
      <c r="M107" s="153">
        <v>4.03</v>
      </c>
      <c r="N107" s="147">
        <f t="shared" si="49"/>
        <v>4.0746077078013165</v>
      </c>
      <c r="O107" s="67"/>
      <c r="P107" s="67"/>
      <c r="Q107" s="67"/>
      <c r="R107" s="167"/>
      <c r="S107" s="172">
        <f t="shared" si="47"/>
        <v>1.0212049392985811E-2</v>
      </c>
      <c r="T107" s="173">
        <f t="shared" si="48"/>
        <v>4.0848197571943023</v>
      </c>
      <c r="U107" s="57"/>
      <c r="V107" s="67"/>
      <c r="W107" s="48"/>
    </row>
    <row r="108" spans="1:23" s="59" customFormat="1">
      <c r="A108" s="185"/>
      <c r="B108" s="45" t="s">
        <v>185</v>
      </c>
      <c r="C108" s="146" t="s">
        <v>104</v>
      </c>
      <c r="D108" s="56">
        <v>0</v>
      </c>
      <c r="E108" s="69">
        <f>References!$B$9</f>
        <v>1</v>
      </c>
      <c r="F108" s="68">
        <f>E108*12</f>
        <v>12</v>
      </c>
      <c r="G108" s="68">
        <f>References!B31</f>
        <v>613</v>
      </c>
      <c r="H108" s="100">
        <f>F108*G108</f>
        <v>7356</v>
      </c>
      <c r="I108" s="44">
        <f t="shared" si="46"/>
        <v>4718.1041699911057</v>
      </c>
      <c r="J108" s="67">
        <f>(References!$C$49*I108)</f>
        <v>6.8412510464871028</v>
      </c>
      <c r="K108" s="67">
        <f>J108/References!$G$52</f>
        <v>6.9815808209889818</v>
      </c>
      <c r="L108" s="67">
        <f>K108/F108</f>
        <v>0.58179840174908182</v>
      </c>
      <c r="M108" s="153">
        <v>47.73</v>
      </c>
      <c r="N108" s="147">
        <f>L108+M108</f>
        <v>48.31179840174908</v>
      </c>
      <c r="O108" s="67"/>
      <c r="P108" s="67"/>
      <c r="Q108" s="67"/>
      <c r="R108" s="167"/>
      <c r="S108" s="172">
        <f t="shared" si="47"/>
        <v>0.12108220150813764</v>
      </c>
      <c r="T108" s="173">
        <f t="shared" si="48"/>
        <v>48.432880603257217</v>
      </c>
      <c r="U108" s="57"/>
      <c r="V108" s="67"/>
      <c r="W108" s="48"/>
    </row>
    <row r="109" spans="1:23" s="59" customFormat="1">
      <c r="A109" s="185"/>
      <c r="B109" s="45" t="s">
        <v>185</v>
      </c>
      <c r="C109" s="146" t="s">
        <v>105</v>
      </c>
      <c r="D109" s="56">
        <v>0</v>
      </c>
      <c r="E109" s="69">
        <f>References!$B$9</f>
        <v>1</v>
      </c>
      <c r="F109" s="68">
        <f>E109*12</f>
        <v>12</v>
      </c>
      <c r="G109" s="68">
        <f>References!B32</f>
        <v>840</v>
      </c>
      <c r="H109" s="68">
        <f>F109*G109</f>
        <v>10080</v>
      </c>
      <c r="I109" s="44">
        <f t="shared" si="46"/>
        <v>6465.2650942781875</v>
      </c>
      <c r="J109" s="67">
        <f>(References!$C$49*I109)</f>
        <v>9.3746343867033719</v>
      </c>
      <c r="K109" s="67">
        <f>J109/References!$G$52</f>
        <v>9.5669296731333517</v>
      </c>
      <c r="L109" s="67">
        <f>K109/F109</f>
        <v>0.79724413942777927</v>
      </c>
      <c r="M109" s="153">
        <v>65.73</v>
      </c>
      <c r="N109" s="147">
        <f>L109+M109</f>
        <v>66.527244139427779</v>
      </c>
      <c r="O109" s="67"/>
      <c r="P109" s="67"/>
      <c r="Q109" s="67"/>
      <c r="R109" s="167"/>
      <c r="S109" s="172">
        <f t="shared" si="47"/>
        <v>0.16673494771785613</v>
      </c>
      <c r="T109" s="173">
        <f t="shared" si="48"/>
        <v>66.693979087145635</v>
      </c>
      <c r="U109" s="57"/>
      <c r="V109" s="67"/>
      <c r="W109" s="48"/>
    </row>
    <row r="110" spans="1:23" s="59" customFormat="1">
      <c r="A110" s="185"/>
      <c r="B110" s="45" t="s">
        <v>185</v>
      </c>
      <c r="C110" s="146" t="s">
        <v>106</v>
      </c>
      <c r="D110" s="56">
        <v>0</v>
      </c>
      <c r="E110" s="69">
        <f>References!$B$9</f>
        <v>1</v>
      </c>
      <c r="F110" s="68">
        <f>E110*12</f>
        <v>12</v>
      </c>
      <c r="G110" s="68">
        <f>References!B33</f>
        <v>980</v>
      </c>
      <c r="H110" s="100">
        <f>F110*G110</f>
        <v>11760</v>
      </c>
      <c r="I110" s="44">
        <f t="shared" si="46"/>
        <v>7542.8092766578857</v>
      </c>
      <c r="J110" s="67">
        <f>(References!$C$49*I110)</f>
        <v>10.937073451153934</v>
      </c>
      <c r="K110" s="67">
        <f>J110/References!$G$52</f>
        <v>11.161417951988911</v>
      </c>
      <c r="L110" s="67">
        <f>K110/F110</f>
        <v>0.93011816266574254</v>
      </c>
      <c r="M110" s="153">
        <v>82.45</v>
      </c>
      <c r="N110" s="147">
        <f>L110+M110</f>
        <v>83.380118162665752</v>
      </c>
      <c r="O110" s="67"/>
      <c r="P110" s="67"/>
      <c r="Q110" s="67"/>
      <c r="R110" s="167"/>
      <c r="S110" s="172">
        <f t="shared" si="47"/>
        <v>0.20897272722471882</v>
      </c>
      <c r="T110" s="173">
        <f t="shared" si="48"/>
        <v>83.589090889890471</v>
      </c>
      <c r="U110" s="57"/>
      <c r="V110" s="67"/>
      <c r="W110" s="48"/>
    </row>
    <row r="111" spans="1:23" s="59" customFormat="1">
      <c r="A111" s="185"/>
      <c r="B111" s="45" t="s">
        <v>185</v>
      </c>
      <c r="C111" s="146" t="s">
        <v>107</v>
      </c>
      <c r="D111" s="56">
        <v>0</v>
      </c>
      <c r="E111" s="69">
        <f>References!$B$9</f>
        <v>1</v>
      </c>
      <c r="F111" s="68">
        <f>E111*12</f>
        <v>12</v>
      </c>
      <c r="G111" s="68">
        <v>1312.5</v>
      </c>
      <c r="H111" s="100">
        <f>F111*G111</f>
        <v>15750</v>
      </c>
      <c r="I111" s="44">
        <f t="shared" si="46"/>
        <v>10101.976709809667</v>
      </c>
      <c r="J111" s="67">
        <f>(References!$C$49*I111)</f>
        <v>14.647866229224016</v>
      </c>
      <c r="K111" s="67">
        <f>J111/References!$G$52</f>
        <v>14.948327614270861</v>
      </c>
      <c r="L111" s="67">
        <f>K111/F111</f>
        <v>1.2456939678559051</v>
      </c>
      <c r="M111" s="153">
        <v>98.73</v>
      </c>
      <c r="N111" s="147">
        <f>L111+M111</f>
        <v>99.975693967855904</v>
      </c>
      <c r="O111" s="67"/>
      <c r="P111" s="67"/>
      <c r="Q111" s="67"/>
      <c r="R111" s="167"/>
      <c r="S111" s="172">
        <f t="shared" si="47"/>
        <v>0.25056564904224388</v>
      </c>
      <c r="T111" s="173">
        <f t="shared" si="48"/>
        <v>100.22625961689815</v>
      </c>
      <c r="U111" s="57"/>
      <c r="V111" s="67"/>
      <c r="W111" s="48"/>
    </row>
    <row r="112" spans="1:23" s="59" customFormat="1">
      <c r="A112" s="119"/>
      <c r="B112" s="120"/>
      <c r="C112" s="148"/>
      <c r="D112" s="121"/>
      <c r="E112" s="122"/>
      <c r="F112" s="123"/>
      <c r="G112" s="123"/>
      <c r="H112" s="149"/>
      <c r="I112" s="124"/>
      <c r="J112" s="125"/>
      <c r="K112" s="125"/>
      <c r="L112" s="125"/>
      <c r="M112" s="154"/>
      <c r="N112" s="150"/>
      <c r="O112" s="67"/>
      <c r="P112" s="67"/>
      <c r="Q112" s="67"/>
      <c r="R112" s="67"/>
      <c r="S112" s="67"/>
      <c r="T112" s="67"/>
      <c r="U112" s="57"/>
      <c r="V112" s="67"/>
      <c r="W112" s="48"/>
    </row>
    <row r="113" spans="1:23" s="59" customFormat="1">
      <c r="A113" s="127"/>
      <c r="B113" s="45"/>
      <c r="C113" s="118"/>
      <c r="D113" s="56"/>
      <c r="E113" s="69"/>
      <c r="F113" s="68"/>
      <c r="G113" s="68"/>
      <c r="H113" s="100"/>
      <c r="I113" s="44"/>
      <c r="J113" s="67"/>
      <c r="K113" s="67"/>
      <c r="L113" s="67"/>
      <c r="M113" s="67"/>
      <c r="N113" s="67"/>
      <c r="P113" s="67"/>
      <c r="Q113" s="67"/>
      <c r="R113" s="67"/>
      <c r="S113" s="67"/>
      <c r="T113" s="67"/>
      <c r="U113" s="57"/>
      <c r="V113" s="67"/>
      <c r="W113" s="48"/>
    </row>
    <row r="114" spans="1:23" s="59" customFormat="1">
      <c r="A114" s="127"/>
      <c r="B114" s="45"/>
      <c r="C114" s="118"/>
      <c r="D114" s="56"/>
      <c r="E114" s="69"/>
      <c r="F114" s="68"/>
      <c r="G114" s="68"/>
      <c r="H114" s="100"/>
      <c r="I114" s="44"/>
      <c r="J114" s="67"/>
      <c r="K114" s="67"/>
      <c r="L114" s="67"/>
      <c r="M114" s="67"/>
      <c r="N114" s="67"/>
      <c r="P114" s="67"/>
      <c r="Q114" s="67"/>
      <c r="R114" s="67"/>
      <c r="S114" s="67"/>
      <c r="T114" s="67"/>
      <c r="U114" s="57"/>
      <c r="V114" s="67"/>
      <c r="W114" s="48"/>
    </row>
    <row r="115" spans="1:23" s="59" customFormat="1">
      <c r="A115" s="127"/>
      <c r="B115" s="45"/>
      <c r="C115" s="118"/>
      <c r="D115" s="56"/>
      <c r="E115" s="69"/>
      <c r="F115" s="68"/>
      <c r="G115" s="68"/>
      <c r="H115" s="100"/>
      <c r="I115" s="44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57"/>
      <c r="V115" s="67"/>
      <c r="W115" s="48"/>
    </row>
    <row r="116" spans="1:23">
      <c r="A116" s="62"/>
      <c r="C116" s="65"/>
      <c r="P116" s="60"/>
      <c r="W116" s="59"/>
    </row>
    <row r="117" spans="1:23">
      <c r="A117" s="62"/>
      <c r="C117" s="186" t="s">
        <v>86</v>
      </c>
      <c r="D117" s="186"/>
      <c r="E117" s="86"/>
      <c r="F117" s="86"/>
      <c r="W117" s="59"/>
    </row>
    <row r="118" spans="1:23">
      <c r="A118" s="62"/>
      <c r="D118" s="54" t="s">
        <v>16</v>
      </c>
      <c r="E118" s="36"/>
      <c r="F118" s="36"/>
      <c r="J118" s="39"/>
      <c r="O118" s="58"/>
      <c r="W118" s="59"/>
    </row>
    <row r="119" spans="1:23">
      <c r="A119" s="62"/>
      <c r="C119" s="57" t="s">
        <v>32</v>
      </c>
      <c r="D119" s="66">
        <v>6618.43</v>
      </c>
      <c r="E119" s="56"/>
      <c r="F119" s="56"/>
      <c r="G119" s="43"/>
      <c r="J119" s="39"/>
      <c r="O119" s="58"/>
      <c r="W119" s="59"/>
    </row>
    <row r="120" spans="1:23">
      <c r="A120" s="62"/>
      <c r="C120" s="57" t="s">
        <v>33</v>
      </c>
      <c r="D120" s="35">
        <f>D119*2000</f>
        <v>13236860</v>
      </c>
      <c r="E120" s="35"/>
      <c r="F120" s="35"/>
      <c r="G120" s="35"/>
      <c r="H120" s="105"/>
      <c r="J120" s="39"/>
      <c r="W120" s="59"/>
    </row>
    <row r="121" spans="1:23">
      <c r="A121" s="62"/>
      <c r="C121" s="57" t="s">
        <v>4</v>
      </c>
      <c r="D121" s="35">
        <f>F15+F75</f>
        <v>262911.03000000003</v>
      </c>
      <c r="E121" s="56"/>
      <c r="F121" s="56"/>
      <c r="G121" s="56"/>
      <c r="H121" s="106"/>
      <c r="J121" s="39"/>
      <c r="O121" s="58"/>
      <c r="P121" s="30"/>
      <c r="W121" s="59"/>
    </row>
    <row r="122" spans="1:23">
      <c r="C122" s="40" t="s">
        <v>11</v>
      </c>
      <c r="D122" s="34">
        <f>D120/$H$76</f>
        <v>0.64139534665458209</v>
      </c>
      <c r="E122" s="34"/>
      <c r="F122" s="34"/>
      <c r="G122" s="34"/>
      <c r="H122" s="30"/>
      <c r="J122" s="39"/>
      <c r="M122" s="38"/>
      <c r="N122" s="38"/>
      <c r="O122" s="37"/>
      <c r="W122" s="59"/>
    </row>
    <row r="123" spans="1:23">
      <c r="G123" s="42"/>
      <c r="H123" s="31"/>
      <c r="J123" s="39"/>
      <c r="M123" s="41"/>
      <c r="N123" s="29"/>
      <c r="O123" s="60"/>
      <c r="W123" s="59"/>
    </row>
    <row r="124" spans="1:23">
      <c r="D124" s="33"/>
      <c r="E124" s="32"/>
      <c r="G124" s="42"/>
      <c r="H124" s="31"/>
      <c r="J124" s="39"/>
      <c r="M124" s="41"/>
      <c r="N124" s="161"/>
      <c r="O124" s="60"/>
      <c r="W124" s="59"/>
    </row>
    <row r="125" spans="1:23">
      <c r="D125" s="33"/>
      <c r="E125" s="32"/>
      <c r="G125" s="42"/>
      <c r="H125" s="31"/>
      <c r="J125" s="39"/>
      <c r="M125" s="41"/>
      <c r="N125" s="29"/>
      <c r="O125" s="60"/>
      <c r="W125" s="59"/>
    </row>
    <row r="126" spans="1:23">
      <c r="D126" s="57"/>
      <c r="I126" s="57"/>
      <c r="W126" s="59"/>
    </row>
    <row r="127" spans="1:23">
      <c r="D127" s="57"/>
      <c r="E127" s="39"/>
      <c r="I127" s="57"/>
      <c r="W127" s="59"/>
    </row>
    <row r="128" spans="1:23">
      <c r="D128" s="57"/>
      <c r="I128" s="57"/>
      <c r="W128" s="59"/>
    </row>
    <row r="129" spans="4:9">
      <c r="D129" s="57"/>
      <c r="I129" s="57"/>
    </row>
    <row r="130" spans="4:9">
      <c r="D130" s="57"/>
    </row>
    <row r="139" spans="4:9">
      <c r="I139" s="31"/>
    </row>
    <row r="141" spans="4:9">
      <c r="I141" s="158"/>
    </row>
    <row r="144" spans="4:9">
      <c r="G144" s="159"/>
    </row>
    <row r="148" spans="7:7">
      <c r="G148" s="160"/>
    </row>
  </sheetData>
  <autoFilter ref="A4:V115" xr:uid="{00000000-0009-0000-0000-000001000000}"/>
  <mergeCells count="7">
    <mergeCell ref="M2:Q3"/>
    <mergeCell ref="S2:S3"/>
    <mergeCell ref="A5:A14"/>
    <mergeCell ref="C117:D117"/>
    <mergeCell ref="A80:A90"/>
    <mergeCell ref="A16:A74"/>
    <mergeCell ref="A96:A111"/>
  </mergeCells>
  <phoneticPr fontId="0" type="noConversion"/>
  <pageMargins left="0.2" right="0.22" top="0.63" bottom="0.34" header="0.19" footer="0.17"/>
  <pageSetup paperSize="3" scale="61" fitToHeight="0" orientation="landscape" horizontalDpi="4294967293" r:id="rId1"/>
  <headerFooter>
    <oddHeader>&amp;C&amp;"-,Bold"&amp;12Basin Disposal of Walla Walla&amp;"-,Regular"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2021-11-15T08:00:00+00:00</OpenedDate>
    <SignificantOrder xmlns="dc463f71-b30c-4ab2-9473-d307f9d35888">false</SignificantOrder>
    <Date1 xmlns="dc463f71-b30c-4ab2-9473-d307f9d35888">2021-11-15T08:00:00+00:00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of Washington, LLC</CaseCompanyNames>
    <Nickname xmlns="http://schemas.microsoft.com/sharepoint/v3" xsi:nil="true"/>
    <DocketNumber xmlns="dc463f71-b30c-4ab2-9473-d307f9d35888">210886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6474900827CF4A980B55CDA17F1EB3" ma:contentTypeVersion="44" ma:contentTypeDescription="" ma:contentTypeScope="" ma:versionID="190af3f50ba187910d7f135ef2855c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38375-1189-4892-A6D2-BB556694395F}">
  <ds:schemaRefs>
    <ds:schemaRef ds:uri="http://schemas.openxmlformats.org/package/2006/metadata/core-properties"/>
    <ds:schemaRef ds:uri="http://purl.org/dc/dcmitype/"/>
    <ds:schemaRef ds:uri="http://purl.org/dc/terms/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D2A8CD0-AF00-40F2-B31E-5B94DD90AA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AAD4F7-9687-45B9-9FDD-1B7A000E8A9B}"/>
</file>

<file path=customXml/itemProps4.xml><?xml version="1.0" encoding="utf-8"?>
<ds:datastoreItem xmlns:ds="http://schemas.openxmlformats.org/officeDocument/2006/customXml" ds:itemID="{20D81A17-20EB-45FB-9CD5-DB3938E10E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References</vt:lpstr>
      <vt:lpstr>Disposal Increase Calculations</vt:lpstr>
      <vt:lpstr>SourceNotes</vt:lpstr>
      <vt:lpstr>'Disposal Increase Calculations'!Print_Area</vt:lpstr>
      <vt:lpstr>'Disposal Increase Calculations'!Print_Titles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Francisco Alcala</cp:lastModifiedBy>
  <cp:lastPrinted>2019-10-21T23:29:31Z</cp:lastPrinted>
  <dcterms:created xsi:type="dcterms:W3CDTF">2013-10-29T22:33:54Z</dcterms:created>
  <dcterms:modified xsi:type="dcterms:W3CDTF">2021-11-12T17:54:52Z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0x0101006E56B4D1795A2E4DB2F0B01679ED314A00E66474900827CF4A980B55CDA17F1EB3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